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chartsheets/sheet1.xml" ContentType="application/vnd.openxmlformats-officedocument.spreadsheetml.chartsheet+xml"/>
  <Override PartName="/xl/chartsheets/sheet2.xml" ContentType="application/vnd.openxmlformats-officedocument.spreadsheetml.chartsheet+xml"/>
  <Override PartName="/xl/chartsheets/sheet3.xml" ContentType="application/vnd.openxmlformats-officedocument.spreadsheetml.chartsheet+xml"/>
  <Override PartName="/xl/chartsheets/sheet4.xml" ContentType="application/vnd.openxmlformats-officedocument.spreadsheetml.chartsheet+xml"/>
  <Override PartName="/xl/chartsheets/sheet5.xml" ContentType="application/vnd.openxmlformats-officedocument.spreadsheetml.chart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drawings/drawing1.xml" ContentType="application/vnd.openxmlformats-officedocument.drawing+xml"/>
  <Override PartName="/xl/charts/chart1.xml" ContentType="application/vnd.openxmlformats-officedocument.drawingml.chart+xml"/>
  <Override PartName="/xl/drawings/drawing2.xml" ContentType="application/vnd.openxmlformats-officedocument.drawing+xml"/>
  <Override PartName="/xl/charts/chart2.xml" ContentType="application/vnd.openxmlformats-officedocument.drawingml.chart+xml"/>
  <Override PartName="/xl/drawings/drawing3.xml" ContentType="application/vnd.openxmlformats-officedocument.drawing+xml"/>
  <Override PartName="/xl/charts/chart3.xml" ContentType="application/vnd.openxmlformats-officedocument.drawingml.chart+xml"/>
  <Override PartName="/xl/drawings/drawing4.xml" ContentType="application/vnd.openxmlformats-officedocument.drawing+xml"/>
  <Override PartName="/xl/charts/chart4.xml" ContentType="application/vnd.openxmlformats-officedocument.drawingml.chart+xml"/>
  <Override PartName="/xl/drawings/drawing5.xml" ContentType="application/vnd.openxmlformats-officedocument.drawing+xml"/>
  <Override PartName="/xl/charts/chart5.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0" yWindow="345" windowWidth="20730" windowHeight="11160" tabRatio="934" firstSheet="1" activeTab="18"/>
  </bookViews>
  <sheets>
    <sheet name="Összefoglaló " sheetId="181" r:id="rId1"/>
    <sheet name="1.Onbe" sheetId="113" r:id="rId2"/>
    <sheet name="1.A Norm" sheetId="114" r:id="rId3"/>
    <sheet name="2.Onki" sheetId="115" r:id="rId4"/>
    <sheet name="3.Inbe " sheetId="173" r:id="rId5"/>
    <sheet name="3A Inbe" sheetId="153" r:id="rId6"/>
    <sheet name="4.Inki" sheetId="174" r:id="rId7"/>
    <sheet name="5.Infelhki" sheetId="175" r:id="rId8"/>
    <sheet name="6.Önk.műk." sheetId="105" r:id="rId9"/>
    <sheet name="6.A Alapítv" sheetId="106" state="hidden" r:id="rId10"/>
    <sheet name="7.Beruh." sheetId="177" r:id="rId11"/>
    <sheet name="8.Felúj." sheetId="176" state="hidden" r:id="rId12"/>
    <sheet name="8.Projekt" sheetId="144" r:id="rId13"/>
    <sheet name="9.MVP és hazai" sheetId="148" r:id="rId14"/>
    <sheet name="10.EKF" sheetId="149" r:id="rId15"/>
    <sheet name="11.Mérleg" sheetId="178" r:id="rId16"/>
    <sheet name="13.Létszám" sheetId="150" state="hidden" r:id="rId17"/>
    <sheet name="14. Többéves" sheetId="172" state="hidden" r:id="rId18"/>
    <sheet name="12.Hitel" sheetId="49" r:id="rId19"/>
    <sheet name="15.A Beruh.hitel" sheetId="159" state="hidden" r:id="rId20"/>
    <sheet name="15.B Beruh.hitel" sheetId="126" state="hidden" r:id="rId21"/>
    <sheet name="13.EU" sheetId="160" r:id="rId22"/>
    <sheet name="17.Közv.tám." sheetId="151" state="hidden" r:id="rId23"/>
    <sheet name="Diagram_bevetelek" sheetId="167" state="hidden" r:id="rId24"/>
    <sheet name="Diagram_kiadasok" sheetId="168" state="hidden" r:id="rId25"/>
    <sheet name="Diagram_kozponti" sheetId="169" state="hidden" r:id="rId26"/>
    <sheet name="Diagram_lefedettseg" sheetId="170" state="hidden" r:id="rId27"/>
    <sheet name="Diagram_mukodesi" sheetId="171" state="hidden" r:id="rId28"/>
  </sheets>
  <externalReferences>
    <externalReference r:id="rId29"/>
    <externalReference r:id="rId30"/>
    <externalReference r:id="rId31"/>
    <externalReference r:id="rId32"/>
    <externalReference r:id="rId33"/>
    <externalReference r:id="rId34"/>
  </externalReferences>
  <definedNames>
    <definedName name="_4._sz._sor_részletezése" localSheetId="2">#REF!</definedName>
    <definedName name="_4._sz._sor_részletezése" localSheetId="1">#REF!</definedName>
    <definedName name="_4._sz._sor_részletezése" localSheetId="14">#REF!</definedName>
    <definedName name="_4._sz._sor_részletezése" localSheetId="22">#REF!</definedName>
    <definedName name="_4._sz._sor_részletezése" localSheetId="7">#REF!</definedName>
    <definedName name="_4._sz._sor_részletezése" localSheetId="9">#REF!</definedName>
    <definedName name="_4._sz._sor_részletezése" localSheetId="10">#REF!</definedName>
    <definedName name="_4._sz._sor_részletezése" localSheetId="11">#REF!</definedName>
    <definedName name="_4._sz._sor_részletezése" localSheetId="12">#REF!</definedName>
    <definedName name="_4._sz._sor_részletezése" localSheetId="13">#REF!</definedName>
    <definedName name="_4._sz._sor_részletezése" localSheetId="0">#REF!</definedName>
    <definedName name="_4._sz._sor_részletezése">#REF!</definedName>
    <definedName name="_xlnm.Print_Titles" localSheetId="1">'1.Onbe'!$6:$8</definedName>
    <definedName name="_xlnm.Print_Titles" localSheetId="14">'10.EKF'!$6:$10</definedName>
    <definedName name="_xlnm.Print_Titles" localSheetId="21">'13.EU'!$7:$11</definedName>
    <definedName name="_xlnm.Print_Titles" localSheetId="16">'13.Létszám'!$7:$7</definedName>
    <definedName name="_xlnm.Print_Titles" localSheetId="17">'14. Többéves'!$5:$8</definedName>
    <definedName name="_xlnm.Print_Titles" localSheetId="3">'2.Onki'!$6:$8</definedName>
    <definedName name="_xlnm.Print_Titles" localSheetId="4">'3.Inbe '!$6:$9</definedName>
    <definedName name="_xlnm.Print_Titles" localSheetId="5">'3A Inbe'!$6:$9</definedName>
    <definedName name="_xlnm.Print_Titles" localSheetId="6">'4.Inki'!$6:$9</definedName>
    <definedName name="_xlnm.Print_Titles" localSheetId="7">'5.Infelhki'!$6:$9</definedName>
    <definedName name="_xlnm.Print_Titles" localSheetId="9">'6.A Alapítv'!$7:$10</definedName>
    <definedName name="_xlnm.Print_Titles" localSheetId="8">'6.Önk.műk.'!$6:$9</definedName>
    <definedName name="_xlnm.Print_Titles" localSheetId="10">'7.Beruh.'!$6:$10</definedName>
    <definedName name="_xlnm.Print_Titles" localSheetId="11">'8.Felúj.'!$5:$9</definedName>
    <definedName name="_xlnm.Print_Titles" localSheetId="12">'8.Projekt'!$6:$10</definedName>
    <definedName name="_xlnm.Print_Titles" localSheetId="13">'9.MVP és hazai'!$5:$9</definedName>
    <definedName name="_xlnm.Print_Titles" localSheetId="0">'Összefoglaló '!$4:$6</definedName>
    <definedName name="_xlnm.Print_Area" localSheetId="2">'1.A Norm'!$A$1:$G$42</definedName>
    <definedName name="_xlnm.Print_Area" localSheetId="1">'1.Onbe'!$A$1:$M$65</definedName>
    <definedName name="_xlnm.Print_Area" localSheetId="14">'10.EKF'!$A$1:$Q$225</definedName>
    <definedName name="_xlnm.Print_Area" localSheetId="15">'11.Mérleg'!$A$1:$I$40</definedName>
    <definedName name="_xlnm.Print_Area" localSheetId="18">'12.Hitel'!$A$1:$S$17</definedName>
    <definedName name="_xlnm.Print_Area" localSheetId="16">'13.Létszám'!$A$1:$G$35</definedName>
    <definedName name="_xlnm.Print_Area" localSheetId="17">'14. Többéves'!$A$1:$F$86</definedName>
    <definedName name="_xlnm.Print_Area" localSheetId="19">'15.A Beruh.hitel'!$A$1:$F$33</definedName>
    <definedName name="_xlnm.Print_Area" localSheetId="20">'15.B Beruh.hitel'!$A$1:$C$13</definedName>
    <definedName name="_xlnm.Print_Area" localSheetId="3">'2.Onki'!$A$1:$M$42</definedName>
    <definedName name="_xlnm.Print_Area" localSheetId="4">'3.Inbe '!$A$1:$O$170</definedName>
    <definedName name="_xlnm.Print_Area" localSheetId="5">'3A Inbe'!$A$1:$H$31</definedName>
    <definedName name="_xlnm.Print_Area" localSheetId="6">'4.Inki'!$A$1:$R$333</definedName>
    <definedName name="_xlnm.Print_Area" localSheetId="7">'5.Infelhki'!$A$1:$L$149</definedName>
    <definedName name="_xlnm.Print_Area" localSheetId="9">'6.A Alapítv'!$A$1:$C$72</definedName>
    <definedName name="_xlnm.Print_Area" localSheetId="8">'6.Önk.műk.'!$A$1:$N$1000</definedName>
    <definedName name="_xlnm.Print_Area" localSheetId="10">'7.Beruh.'!$A$1:$M$345</definedName>
    <definedName name="_xlnm.Print_Area" localSheetId="11">'8.Felúj.'!$A$1:$L$142</definedName>
    <definedName name="_xlnm.Print_Area" localSheetId="12">'8.Projekt'!$A$1:$P$214</definedName>
    <definedName name="_xlnm.Print_Area" localSheetId="13">'9.MVP és hazai'!$A$1:$P$122</definedName>
    <definedName name="_xlnm.Print_Area" localSheetId="0">'Összefoglaló '!$A$1:$E$199</definedName>
  </definedNames>
  <calcPr calcId="145621"/>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L25" i="115" l="1"/>
  <c r="L16" i="49" l="1"/>
  <c r="S17" i="49" l="1"/>
  <c r="R17" i="49"/>
  <c r="Q17" i="49"/>
  <c r="O17" i="49"/>
  <c r="N17" i="49"/>
  <c r="M17" i="49"/>
  <c r="I17" i="49" l="1"/>
  <c r="K16" i="49"/>
  <c r="P16" i="49" s="1"/>
  <c r="K10" i="49"/>
  <c r="K11" i="49"/>
  <c r="K12" i="49"/>
  <c r="K13" i="49"/>
  <c r="K14" i="49"/>
  <c r="K15" i="49"/>
  <c r="K9" i="49"/>
  <c r="J17" i="49"/>
  <c r="K17" i="49" l="1"/>
  <c r="M24" i="115" l="1"/>
  <c r="E14" i="181" l="1"/>
  <c r="C16" i="114" l="1"/>
  <c r="F30" i="114"/>
  <c r="F31" i="114"/>
  <c r="G30" i="114"/>
  <c r="G31" i="114"/>
  <c r="F10" i="114"/>
  <c r="G10" i="114" s="1"/>
  <c r="F40" i="114"/>
  <c r="E32" i="114"/>
  <c r="D32" i="114"/>
  <c r="C32" i="114"/>
  <c r="G40" i="114"/>
  <c r="F35" i="114"/>
  <c r="G35" i="114" s="1"/>
  <c r="L21" i="115" l="1"/>
  <c r="N457" i="105"/>
  <c r="E68" i="181"/>
  <c r="E187" i="181"/>
  <c r="K991" i="105" l="1"/>
  <c r="L991" i="105"/>
  <c r="M991" i="105"/>
  <c r="J991" i="105"/>
  <c r="L17" i="115" l="1"/>
  <c r="K17" i="115"/>
  <c r="J17" i="115"/>
  <c r="M51" i="113"/>
  <c r="E189" i="181" l="1"/>
  <c r="E193" i="181"/>
  <c r="E36" i="181"/>
  <c r="V46" i="160" l="1"/>
  <c r="O46" i="160"/>
  <c r="L174" i="174"/>
  <c r="M174" i="174"/>
  <c r="N174" i="174"/>
  <c r="O174" i="174"/>
  <c r="P174" i="174"/>
  <c r="Q174" i="174"/>
  <c r="R174" i="174"/>
  <c r="K174" i="174"/>
  <c r="L144" i="174"/>
  <c r="M144" i="174"/>
  <c r="K144" i="174"/>
  <c r="J143" i="174"/>
  <c r="N149" i="173"/>
  <c r="G149" i="173"/>
  <c r="H149" i="173"/>
  <c r="I149" i="173"/>
  <c r="J149" i="173"/>
  <c r="K149" i="173"/>
  <c r="L149" i="173"/>
  <c r="M149" i="173"/>
  <c r="F149" i="173"/>
  <c r="O118" i="173"/>
  <c r="H119" i="173"/>
  <c r="O119" i="173" s="1"/>
  <c r="G46" i="160" l="1"/>
  <c r="J144" i="174"/>
  <c r="O149" i="173"/>
  <c r="O28" i="160"/>
  <c r="L323" i="174" l="1"/>
  <c r="M323" i="174"/>
  <c r="N323" i="174"/>
  <c r="O323" i="174"/>
  <c r="P323" i="174"/>
  <c r="Q323" i="174"/>
  <c r="R323" i="174"/>
  <c r="K323" i="174"/>
  <c r="L55" i="173"/>
  <c r="F55" i="173"/>
  <c r="F76" i="173"/>
  <c r="M145" i="173"/>
  <c r="L145" i="173"/>
  <c r="N145" i="173"/>
  <c r="G145" i="173"/>
  <c r="I145" i="173"/>
  <c r="F145" i="173"/>
  <c r="O144" i="173"/>
  <c r="L56" i="174"/>
  <c r="M56" i="174"/>
  <c r="N56" i="174"/>
  <c r="O56" i="174"/>
  <c r="P56" i="174"/>
  <c r="Q56" i="174"/>
  <c r="R56" i="174"/>
  <c r="K56" i="174"/>
  <c r="L41" i="174"/>
  <c r="M41" i="174"/>
  <c r="P41" i="174"/>
  <c r="K41" i="174"/>
  <c r="J40" i="174"/>
  <c r="E63" i="181" l="1"/>
  <c r="E181" i="181" l="1"/>
  <c r="V44" i="160"/>
  <c r="O44" i="160"/>
  <c r="G44" i="160" l="1"/>
  <c r="M164" i="174"/>
  <c r="K164" i="174"/>
  <c r="J163" i="174"/>
  <c r="O137" i="173"/>
  <c r="O138" i="173" s="1"/>
  <c r="H138" i="173"/>
  <c r="J164" i="174" l="1"/>
  <c r="V28" i="160"/>
  <c r="G28" i="160" s="1"/>
  <c r="J49" i="105" l="1"/>
  <c r="K49" i="105"/>
  <c r="K196" i="149"/>
  <c r="K190" i="149"/>
  <c r="K187" i="149"/>
  <c r="E90" i="181"/>
  <c r="I297" i="177"/>
  <c r="E108" i="181"/>
  <c r="L62" i="175" l="1"/>
  <c r="E182" i="181"/>
  <c r="E174" i="181"/>
  <c r="E123" i="181"/>
  <c r="E120" i="181"/>
  <c r="E116" i="181"/>
  <c r="E114" i="181"/>
  <c r="E80" i="181"/>
  <c r="E96" i="181" s="1"/>
  <c r="E53" i="181"/>
  <c r="E49" i="181"/>
  <c r="E45" i="181"/>
  <c r="E26" i="181"/>
  <c r="E20" i="181"/>
  <c r="E125" i="181" l="1"/>
  <c r="E126" i="181" s="1"/>
  <c r="E64" i="181"/>
  <c r="E183" i="181"/>
  <c r="E127" i="181" l="1"/>
  <c r="E199" i="181" s="1"/>
  <c r="O109" i="148"/>
  <c r="O110" i="148"/>
  <c r="O111" i="148"/>
  <c r="O112" i="148"/>
  <c r="O113" i="148"/>
  <c r="O108" i="148"/>
  <c r="J117" i="148"/>
  <c r="K117" i="148"/>
  <c r="L117" i="148"/>
  <c r="M117" i="148"/>
  <c r="N117" i="148"/>
  <c r="I117" i="148"/>
  <c r="M107" i="148"/>
  <c r="M104" i="148"/>
  <c r="O103" i="148"/>
  <c r="O104" i="148"/>
  <c r="M100" i="148"/>
  <c r="M97" i="148"/>
  <c r="O97" i="148" s="1"/>
  <c r="M94" i="148"/>
  <c r="O94" i="148" s="1"/>
  <c r="M91" i="148"/>
  <c r="O91" i="148" s="1"/>
  <c r="O107" i="148"/>
  <c r="O106" i="148"/>
  <c r="O100" i="148"/>
  <c r="O99" i="148"/>
  <c r="O96" i="148"/>
  <c r="O93" i="148"/>
  <c r="O90" i="148"/>
  <c r="O87" i="148"/>
  <c r="O117" i="148" l="1"/>
  <c r="M212" i="149"/>
  <c r="P211" i="149"/>
  <c r="P212" i="149" s="1"/>
  <c r="N206" i="149" l="1"/>
  <c r="K206" i="149"/>
  <c r="M216" i="149"/>
  <c r="P214" i="149"/>
  <c r="J206" i="149"/>
  <c r="L206" i="149"/>
  <c r="M206" i="149"/>
  <c r="O206" i="149"/>
  <c r="I206" i="149"/>
  <c r="N204" i="149"/>
  <c r="P202" i="149"/>
  <c r="J186" i="149"/>
  <c r="K186" i="149"/>
  <c r="I186" i="149"/>
  <c r="P184" i="149"/>
  <c r="M105" i="149"/>
  <c r="M101" i="149"/>
  <c r="M97" i="149"/>
  <c r="M93" i="149"/>
  <c r="M89" i="149"/>
  <c r="J85" i="149"/>
  <c r="K85" i="149"/>
  <c r="I85" i="149"/>
  <c r="J116" i="148"/>
  <c r="K116" i="148"/>
  <c r="L116" i="148"/>
  <c r="N116" i="148"/>
  <c r="I116" i="148"/>
  <c r="M88" i="148"/>
  <c r="O86" i="148"/>
  <c r="K84" i="148"/>
  <c r="O82" i="148"/>
  <c r="O77" i="148"/>
  <c r="K79" i="148"/>
  <c r="K201" i="144"/>
  <c r="K340" i="177"/>
  <c r="J337" i="177"/>
  <c r="L335" i="177"/>
  <c r="J333" i="177"/>
  <c r="L331" i="177"/>
  <c r="P206" i="149" l="1"/>
  <c r="N219" i="105"/>
  <c r="N189" i="105"/>
  <c r="I187" i="105"/>
  <c r="K62" i="105"/>
  <c r="L62" i="105"/>
  <c r="M62" i="105"/>
  <c r="N62" i="105"/>
  <c r="J62" i="105"/>
  <c r="N83" i="105"/>
  <c r="I81" i="105"/>
  <c r="L305" i="174"/>
  <c r="M305" i="174"/>
  <c r="N305" i="174"/>
  <c r="O305" i="174"/>
  <c r="P305" i="174"/>
  <c r="Q305" i="174"/>
  <c r="R305" i="174"/>
  <c r="K305" i="174"/>
  <c r="L298" i="174"/>
  <c r="M298" i="174"/>
  <c r="K298" i="174"/>
  <c r="J296" i="174"/>
  <c r="L205" i="174"/>
  <c r="K205" i="174"/>
  <c r="J203" i="174"/>
  <c r="L173" i="174"/>
  <c r="M173" i="174"/>
  <c r="N173" i="174"/>
  <c r="O173" i="174"/>
  <c r="P173" i="174"/>
  <c r="Q173" i="174"/>
  <c r="R173" i="174"/>
  <c r="K173" i="174"/>
  <c r="M114" i="174"/>
  <c r="J112" i="174"/>
  <c r="G148" i="173"/>
  <c r="G150" i="173" s="1"/>
  <c r="H148" i="173"/>
  <c r="H150" i="173" s="1"/>
  <c r="I148" i="173"/>
  <c r="I150" i="173" s="1"/>
  <c r="J148" i="173"/>
  <c r="J150" i="173" s="1"/>
  <c r="K148" i="173"/>
  <c r="K150" i="173" s="1"/>
  <c r="L148" i="173"/>
  <c r="L150" i="173" s="1"/>
  <c r="M148" i="173"/>
  <c r="M150" i="173" s="1"/>
  <c r="N148" i="173"/>
  <c r="N150" i="173" s="1"/>
  <c r="F148" i="173"/>
  <c r="O97" i="173"/>
  <c r="H99" i="173"/>
  <c r="E18" i="114" l="1"/>
  <c r="E17" i="114"/>
  <c r="E26" i="114"/>
  <c r="E29" i="114"/>
  <c r="E23" i="114"/>
  <c r="E22" i="114"/>
  <c r="E27" i="114"/>
  <c r="E9" i="114"/>
  <c r="E16" i="114" l="1"/>
  <c r="L306" i="174"/>
  <c r="M306" i="174"/>
  <c r="N306" i="174"/>
  <c r="O306" i="174"/>
  <c r="P306" i="174"/>
  <c r="Q306" i="174"/>
  <c r="R306" i="174"/>
  <c r="K306" i="174"/>
  <c r="J297" i="174"/>
  <c r="G165" i="173"/>
  <c r="M165" i="173"/>
  <c r="N165" i="173"/>
  <c r="L165" i="173"/>
  <c r="F165" i="173"/>
  <c r="O165" i="173" l="1"/>
  <c r="J298" i="174"/>
  <c r="O79" i="148" l="1"/>
  <c r="O78" i="148"/>
  <c r="O84" i="148"/>
  <c r="O83" i="148"/>
  <c r="M44" i="113" l="1"/>
  <c r="P200" i="149" l="1"/>
  <c r="P199" i="149"/>
  <c r="P198" i="149"/>
  <c r="P197" i="149"/>
  <c r="P196" i="149"/>
  <c r="P195" i="149"/>
  <c r="P194" i="149"/>
  <c r="P188" i="149"/>
  <c r="P190" i="149"/>
  <c r="P191" i="149"/>
  <c r="P192" i="149"/>
  <c r="P193" i="149"/>
  <c r="P187" i="149"/>
  <c r="K189" i="149"/>
  <c r="P189" i="149" s="1"/>
  <c r="N209" i="105"/>
  <c r="L209" i="105"/>
  <c r="I48" i="105"/>
  <c r="L49" i="105"/>
  <c r="I189" i="105"/>
  <c r="I188" i="105"/>
  <c r="L514" i="105"/>
  <c r="J207" i="149"/>
  <c r="J208" i="149" s="1"/>
  <c r="K207" i="149"/>
  <c r="K208" i="149" s="1"/>
  <c r="L207" i="149"/>
  <c r="L208" i="149" s="1"/>
  <c r="M207" i="149"/>
  <c r="M208" i="149" s="1"/>
  <c r="N207" i="149"/>
  <c r="N208" i="149" s="1"/>
  <c r="O207" i="149"/>
  <c r="O208" i="149" s="1"/>
  <c r="I207" i="149"/>
  <c r="I208" i="149" s="1"/>
  <c r="P203" i="149"/>
  <c r="P185" i="149"/>
  <c r="L191" i="174"/>
  <c r="M191" i="174"/>
  <c r="K191" i="174"/>
  <c r="J204" i="174"/>
  <c r="P186" i="149" l="1"/>
  <c r="E183" i="149" s="1"/>
  <c r="P208" i="149"/>
  <c r="P204" i="149"/>
  <c r="E201" i="149" s="1"/>
  <c r="P207" i="149"/>
  <c r="J205" i="174"/>
  <c r="E205" i="149" l="1"/>
  <c r="M26" i="115"/>
  <c r="J341" i="177" l="1"/>
  <c r="K341" i="177"/>
  <c r="I341" i="177"/>
  <c r="L333" i="177"/>
  <c r="E330" i="177" s="1"/>
  <c r="L332" i="177"/>
  <c r="M155" i="173" l="1"/>
  <c r="N155" i="173"/>
  <c r="L155" i="173"/>
  <c r="I155" i="173"/>
  <c r="F155" i="173"/>
  <c r="N76" i="173"/>
  <c r="G76" i="173"/>
  <c r="H76" i="173"/>
  <c r="I76" i="173"/>
  <c r="J76" i="173"/>
  <c r="K76" i="173"/>
  <c r="L76" i="173"/>
  <c r="M76" i="173"/>
  <c r="M61" i="173"/>
  <c r="N61" i="173"/>
  <c r="L61" i="173"/>
  <c r="G61" i="173"/>
  <c r="I61" i="173"/>
  <c r="F61" i="173"/>
  <c r="G55" i="173"/>
  <c r="H55" i="173"/>
  <c r="I55" i="173"/>
  <c r="J55" i="173"/>
  <c r="K55" i="173"/>
  <c r="M55" i="173"/>
  <c r="N55" i="173"/>
  <c r="M40" i="173"/>
  <c r="N40" i="173"/>
  <c r="L40" i="173"/>
  <c r="F40" i="173"/>
  <c r="O39" i="173"/>
  <c r="M33" i="173"/>
  <c r="N33" i="173"/>
  <c r="L33" i="173"/>
  <c r="G33" i="173"/>
  <c r="F33" i="173"/>
  <c r="M21" i="173"/>
  <c r="N21" i="173"/>
  <c r="L21" i="173"/>
  <c r="F21" i="173"/>
  <c r="O88" i="148" l="1"/>
  <c r="P18" i="149" l="1"/>
  <c r="T19" i="160" l="1"/>
  <c r="T18" i="160"/>
  <c r="K170" i="174"/>
  <c r="O143" i="173"/>
  <c r="L130" i="175"/>
  <c r="L129" i="175"/>
  <c r="L109" i="175"/>
  <c r="L110" i="175"/>
  <c r="L111" i="175"/>
  <c r="L112" i="175"/>
  <c r="L113" i="175"/>
  <c r="L114" i="175"/>
  <c r="F96" i="175"/>
  <c r="P215" i="149" l="1"/>
  <c r="P216" i="149" s="1"/>
  <c r="E213" i="149" s="1"/>
  <c r="J78" i="149"/>
  <c r="K78" i="149"/>
  <c r="L78" i="149"/>
  <c r="M78" i="149"/>
  <c r="N78" i="149"/>
  <c r="O78" i="149"/>
  <c r="I78" i="149"/>
  <c r="J29" i="177" l="1"/>
  <c r="J44" i="177"/>
  <c r="I124" i="177"/>
  <c r="I340" i="177" s="1"/>
  <c r="J229" i="177"/>
  <c r="J340" i="177" s="1"/>
  <c r="L105" i="174" l="1"/>
  <c r="M105" i="174"/>
  <c r="P105" i="174"/>
  <c r="K105" i="174"/>
  <c r="L54" i="105"/>
  <c r="L337" i="177"/>
  <c r="E334" i="177" s="1"/>
  <c r="L336" i="177"/>
  <c r="C16" i="106"/>
  <c r="I1001" i="105"/>
  <c r="J1001" i="105"/>
  <c r="K1001" i="105"/>
  <c r="L1001" i="105"/>
  <c r="M1001" i="105"/>
  <c r="N1001" i="105"/>
  <c r="K63" i="105"/>
  <c r="L63" i="105"/>
  <c r="M63" i="105"/>
  <c r="N63" i="105"/>
  <c r="J63" i="105"/>
  <c r="I83" i="105"/>
  <c r="I82" i="105"/>
  <c r="U49" i="160"/>
  <c r="Q49" i="160"/>
  <c r="P49" i="160"/>
  <c r="J49" i="160"/>
  <c r="K49" i="160"/>
  <c r="N49" i="160"/>
  <c r="I49" i="160"/>
  <c r="V48" i="160"/>
  <c r="O48" i="160"/>
  <c r="F159" i="173"/>
  <c r="F169" i="173" s="1"/>
  <c r="J113" i="174"/>
  <c r="J114" i="174"/>
  <c r="N159" i="173"/>
  <c r="N169" i="173" s="1"/>
  <c r="G159" i="173"/>
  <c r="G169" i="173" s="1"/>
  <c r="I159" i="173"/>
  <c r="I169" i="173" s="1"/>
  <c r="J159" i="173"/>
  <c r="J169" i="173" s="1"/>
  <c r="K159" i="173"/>
  <c r="K169" i="173" s="1"/>
  <c r="L159" i="173"/>
  <c r="L169" i="173" s="1"/>
  <c r="M159" i="173"/>
  <c r="M169" i="173" s="1"/>
  <c r="O98" i="173"/>
  <c r="O99" i="173"/>
  <c r="H159" i="173"/>
  <c r="H169" i="173" s="1"/>
  <c r="L87" i="175"/>
  <c r="G48" i="160" l="1"/>
  <c r="O169" i="173"/>
  <c r="L80" i="175"/>
  <c r="G83" i="173"/>
  <c r="L107" i="175" l="1"/>
  <c r="L121" i="175"/>
  <c r="M125" i="173"/>
  <c r="O123" i="173"/>
  <c r="K151" i="174"/>
  <c r="O151" i="174"/>
  <c r="K120" i="174"/>
  <c r="H105" i="173"/>
  <c r="J105" i="173"/>
  <c r="L82" i="174"/>
  <c r="L317" i="174" s="1"/>
  <c r="M82" i="174"/>
  <c r="M317" i="174" s="1"/>
  <c r="N82" i="174"/>
  <c r="N317" i="174" s="1"/>
  <c r="O82" i="174"/>
  <c r="O317" i="174" s="1"/>
  <c r="P82" i="174"/>
  <c r="P317" i="174" s="1"/>
  <c r="Q82" i="174"/>
  <c r="Q317" i="174" s="1"/>
  <c r="R82" i="174"/>
  <c r="R317" i="174" s="1"/>
  <c r="K82" i="174"/>
  <c r="K317" i="174" s="1"/>
  <c r="L71" i="174"/>
  <c r="M71" i="174"/>
  <c r="P71" i="174"/>
  <c r="K71" i="174"/>
  <c r="L40" i="175"/>
  <c r="L37" i="175"/>
  <c r="L44" i="175" l="1"/>
  <c r="L25" i="175"/>
  <c r="P103" i="149" l="1"/>
  <c r="P99" i="149"/>
  <c r="P95" i="149"/>
  <c r="P91" i="149"/>
  <c r="P87" i="149"/>
  <c r="P83" i="149"/>
  <c r="J329" i="177" l="1"/>
  <c r="L329" i="177" s="1"/>
  <c r="E326" i="177" s="1"/>
  <c r="L327" i="177"/>
  <c r="L323" i="177"/>
  <c r="J325" i="177"/>
  <c r="L325" i="177" s="1"/>
  <c r="E322" i="177" s="1"/>
  <c r="K34" i="149" l="1"/>
  <c r="M27" i="174" l="1"/>
  <c r="L27" i="174"/>
  <c r="K27" i="174"/>
  <c r="L21" i="174"/>
  <c r="K21" i="174"/>
  <c r="M15" i="174"/>
  <c r="L15" i="174"/>
  <c r="K15" i="174"/>
  <c r="J20" i="174"/>
  <c r="K77" i="174" l="1"/>
  <c r="K62" i="174"/>
  <c r="L14" i="105" l="1"/>
  <c r="L15" i="177" l="1"/>
  <c r="L125" i="177"/>
  <c r="L324" i="177"/>
  <c r="J321" i="177"/>
  <c r="L321" i="177" s="1"/>
  <c r="E318" i="177" s="1"/>
  <c r="L319" i="177"/>
  <c r="K133" i="175"/>
  <c r="J133" i="175"/>
  <c r="I133" i="175"/>
  <c r="G133" i="175"/>
  <c r="F133" i="175"/>
  <c r="L132" i="175"/>
  <c r="P180" i="174"/>
  <c r="M180" i="174"/>
  <c r="L180" i="174"/>
  <c r="K180" i="174"/>
  <c r="J82" i="174"/>
  <c r="L62" i="174"/>
  <c r="M62" i="174"/>
  <c r="P62" i="174"/>
  <c r="M27" i="173"/>
  <c r="F27" i="173"/>
  <c r="M21" i="174"/>
  <c r="P21" i="174"/>
  <c r="Q21" i="174"/>
  <c r="L127" i="175"/>
  <c r="L126" i="175"/>
  <c r="L128" i="175"/>
  <c r="J169" i="174"/>
  <c r="J17" i="149"/>
  <c r="K17" i="149"/>
  <c r="L17" i="149"/>
  <c r="O17" i="149"/>
  <c r="I17" i="149"/>
  <c r="N36" i="144"/>
  <c r="L36" i="144"/>
  <c r="T30" i="160"/>
  <c r="V30" i="160" s="1"/>
  <c r="M30" i="160"/>
  <c r="N96" i="144"/>
  <c r="L96" i="144"/>
  <c r="L89" i="174"/>
  <c r="M89" i="174"/>
  <c r="P89" i="174"/>
  <c r="K89" i="174"/>
  <c r="J88" i="174"/>
  <c r="N83" i="173"/>
  <c r="M83" i="173"/>
  <c r="L83" i="173"/>
  <c r="F83" i="173"/>
  <c r="O82" i="173"/>
  <c r="L16" i="175"/>
  <c r="L120" i="174"/>
  <c r="P120" i="174"/>
  <c r="M95" i="173"/>
  <c r="N95" i="173"/>
  <c r="L95" i="173"/>
  <c r="G95" i="173"/>
  <c r="H95" i="173"/>
  <c r="F95" i="173"/>
  <c r="L74" i="175"/>
  <c r="J39" i="174"/>
  <c r="J14" i="174"/>
  <c r="L47" i="174"/>
  <c r="M47" i="174"/>
  <c r="O47" i="174"/>
  <c r="P47" i="174"/>
  <c r="K47" i="174"/>
  <c r="P27" i="174"/>
  <c r="J27" i="174" s="1"/>
  <c r="P33" i="174"/>
  <c r="J32" i="174"/>
  <c r="P15" i="149"/>
  <c r="P32" i="149"/>
  <c r="M77" i="149"/>
  <c r="M79" i="149" s="1"/>
  <c r="J77" i="149"/>
  <c r="I77" i="149"/>
  <c r="I79" i="149" s="1"/>
  <c r="K77" i="149"/>
  <c r="L77" i="149"/>
  <c r="L79" i="149" s="1"/>
  <c r="N77" i="149"/>
  <c r="O77" i="149"/>
  <c r="O79" i="149" s="1"/>
  <c r="P36" i="149"/>
  <c r="M38" i="149"/>
  <c r="K45" i="148"/>
  <c r="J137" i="176"/>
  <c r="I137" i="176"/>
  <c r="K132" i="176"/>
  <c r="J134" i="176"/>
  <c r="J317" i="177"/>
  <c r="L317" i="177" s="1"/>
  <c r="E314" i="177" s="1"/>
  <c r="L315" i="177"/>
  <c r="L311" i="177"/>
  <c r="J313" i="177"/>
  <c r="L313" i="177" s="1"/>
  <c r="E310" i="177" s="1"/>
  <c r="J309" i="177"/>
  <c r="L309" i="177" s="1"/>
  <c r="E306" i="177" s="1"/>
  <c r="L307" i="177"/>
  <c r="L152" i="105"/>
  <c r="N32" i="105"/>
  <c r="L328" i="174"/>
  <c r="P328" i="174"/>
  <c r="L294" i="174"/>
  <c r="K294" i="174"/>
  <c r="J292" i="174"/>
  <c r="K11" i="113"/>
  <c r="M19" i="160"/>
  <c r="O19" i="160" s="1"/>
  <c r="T31" i="160"/>
  <c r="M31" i="160"/>
  <c r="O31" i="160" s="1"/>
  <c r="T27" i="160"/>
  <c r="O20" i="160"/>
  <c r="T39" i="160"/>
  <c r="N111" i="144"/>
  <c r="L111" i="144"/>
  <c r="P27" i="148"/>
  <c r="L186" i="144"/>
  <c r="L312" i="177"/>
  <c r="L308" i="177"/>
  <c r="F177" i="149"/>
  <c r="G177" i="149"/>
  <c r="L316" i="177"/>
  <c r="L328" i="177"/>
  <c r="L106" i="175"/>
  <c r="H25" i="153"/>
  <c r="L103" i="175"/>
  <c r="L104" i="175"/>
  <c r="L105" i="175"/>
  <c r="L136" i="174"/>
  <c r="O136" i="174"/>
  <c r="L125" i="175"/>
  <c r="M13" i="113"/>
  <c r="M12" i="113"/>
  <c r="L11" i="113"/>
  <c r="L10" i="113" s="1"/>
  <c r="P136" i="174"/>
  <c r="M136" i="174"/>
  <c r="P42" i="148"/>
  <c r="I180" i="149"/>
  <c r="I220" i="149" s="1"/>
  <c r="P37" i="149"/>
  <c r="P38" i="149"/>
  <c r="E36" i="149" s="1"/>
  <c r="L86" i="175"/>
  <c r="L118" i="175"/>
  <c r="L119" i="175"/>
  <c r="L120" i="175"/>
  <c r="J125" i="173"/>
  <c r="G116" i="173"/>
  <c r="I116" i="173"/>
  <c r="O115" i="173"/>
  <c r="M116" i="173"/>
  <c r="N116" i="173"/>
  <c r="L116" i="173"/>
  <c r="F116" i="173"/>
  <c r="I136" i="176"/>
  <c r="J130" i="176"/>
  <c r="J136" i="176"/>
  <c r="K136" i="176" s="1"/>
  <c r="K128" i="176"/>
  <c r="K130" i="176" s="1"/>
  <c r="E126" i="176" s="1"/>
  <c r="K127" i="176"/>
  <c r="L43" i="175"/>
  <c r="K329" i="174"/>
  <c r="J293" i="174"/>
  <c r="L24" i="175"/>
  <c r="M105" i="173"/>
  <c r="N105" i="173"/>
  <c r="L105" i="173"/>
  <c r="G105" i="173"/>
  <c r="F105" i="173"/>
  <c r="L94" i="175"/>
  <c r="L95" i="175"/>
  <c r="P148" i="144"/>
  <c r="O41" i="160"/>
  <c r="V41" i="160"/>
  <c r="L136" i="144"/>
  <c r="L73" i="175"/>
  <c r="P15" i="174"/>
  <c r="Q15" i="174"/>
  <c r="L28" i="175"/>
  <c r="N458" i="105"/>
  <c r="L458" i="105"/>
  <c r="M72" i="173"/>
  <c r="L72" i="173"/>
  <c r="F72" i="173"/>
  <c r="O71" i="173"/>
  <c r="O33" i="173"/>
  <c r="O38" i="173"/>
  <c r="N72" i="173"/>
  <c r="M46" i="173"/>
  <c r="N46" i="173"/>
  <c r="L46" i="173"/>
  <c r="F46" i="173"/>
  <c r="N27" i="173"/>
  <c r="L27" i="173"/>
  <c r="M15" i="173"/>
  <c r="N15" i="173"/>
  <c r="L15" i="173"/>
  <c r="F15" i="173"/>
  <c r="N393" i="105"/>
  <c r="I393" i="105" s="1"/>
  <c r="M38" i="160"/>
  <c r="O38" i="160" s="1"/>
  <c r="M18" i="160"/>
  <c r="C15" i="106"/>
  <c r="C18" i="106"/>
  <c r="L257" i="105"/>
  <c r="N262" i="105"/>
  <c r="N104" i="105"/>
  <c r="N106" i="105" s="1"/>
  <c r="I106" i="105" s="1"/>
  <c r="N267" i="105"/>
  <c r="I267" i="105" s="1"/>
  <c r="L558" i="105"/>
  <c r="L247" i="105"/>
  <c r="I247" i="105" s="1"/>
  <c r="J540" i="105"/>
  <c r="N197" i="105"/>
  <c r="N199" i="105" s="1"/>
  <c r="L197" i="105"/>
  <c r="K30" i="148"/>
  <c r="M28" i="148"/>
  <c r="O28" i="148" s="1"/>
  <c r="K844" i="105"/>
  <c r="J844" i="105"/>
  <c r="L831" i="105"/>
  <c r="I831" i="105" s="1"/>
  <c r="L801" i="105"/>
  <c r="I801" i="105" s="1"/>
  <c r="L540" i="105"/>
  <c r="K540" i="105"/>
  <c r="K11" i="115"/>
  <c r="H125" i="173"/>
  <c r="G125" i="173"/>
  <c r="J180" i="149"/>
  <c r="J220" i="149" s="1"/>
  <c r="K180" i="149"/>
  <c r="K220" i="149" s="1"/>
  <c r="L180" i="149"/>
  <c r="L220" i="149" s="1"/>
  <c r="M180" i="149"/>
  <c r="M220" i="149" s="1"/>
  <c r="N180" i="149"/>
  <c r="N220" i="149" s="1"/>
  <c r="O180" i="149"/>
  <c r="O220" i="149" s="1"/>
  <c r="J179" i="149"/>
  <c r="K179" i="149"/>
  <c r="L179" i="149"/>
  <c r="L181" i="149" s="1"/>
  <c r="M179" i="149"/>
  <c r="N179" i="149"/>
  <c r="O179" i="149"/>
  <c r="I179" i="149"/>
  <c r="K110" i="149"/>
  <c r="N105" i="149"/>
  <c r="N101" i="149"/>
  <c r="N97" i="149"/>
  <c r="N93" i="149"/>
  <c r="N89" i="149"/>
  <c r="J208" i="144"/>
  <c r="K208" i="144"/>
  <c r="L208" i="144"/>
  <c r="M208" i="144"/>
  <c r="N208" i="144"/>
  <c r="I208" i="144"/>
  <c r="M205" i="144"/>
  <c r="K205" i="144"/>
  <c r="O205" i="144" s="1"/>
  <c r="O203" i="144"/>
  <c r="L181" i="144"/>
  <c r="J136" i="144"/>
  <c r="M56" i="144"/>
  <c r="N56" i="144"/>
  <c r="L56" i="144"/>
  <c r="L51" i="144"/>
  <c r="L21" i="144"/>
  <c r="K305" i="177"/>
  <c r="L305" i="177" s="1"/>
  <c r="E302" i="177" s="1"/>
  <c r="L303" i="177"/>
  <c r="J301" i="177"/>
  <c r="L301" i="177" s="1"/>
  <c r="E298" i="177" s="1"/>
  <c r="L299" i="177"/>
  <c r="J297" i="177"/>
  <c r="L297" i="177" s="1"/>
  <c r="E294" i="177" s="1"/>
  <c r="L295" i="177"/>
  <c r="J289" i="177"/>
  <c r="L287" i="177"/>
  <c r="J293" i="177"/>
  <c r="L293" i="177" s="1"/>
  <c r="E290" i="177" s="1"/>
  <c r="L291" i="177"/>
  <c r="J285" i="177"/>
  <c r="L285" i="177" s="1"/>
  <c r="E282" i="177" s="1"/>
  <c r="L283" i="177"/>
  <c r="J281" i="177"/>
  <c r="L281" i="177" s="1"/>
  <c r="E278" i="177" s="1"/>
  <c r="L279" i="177"/>
  <c r="P104" i="149"/>
  <c r="P100" i="149"/>
  <c r="P96" i="149"/>
  <c r="P92" i="149"/>
  <c r="P88" i="149"/>
  <c r="P105" i="149"/>
  <c r="E102" i="149" s="1"/>
  <c r="P101" i="149"/>
  <c r="E98" i="149" s="1"/>
  <c r="P97" i="149"/>
  <c r="E94" i="149" s="1"/>
  <c r="P93" i="149"/>
  <c r="E90" i="149" s="1"/>
  <c r="P89" i="149"/>
  <c r="E86" i="149" s="1"/>
  <c r="S21" i="160"/>
  <c r="R21" i="160"/>
  <c r="O20" i="173"/>
  <c r="O204" i="144"/>
  <c r="J209" i="144"/>
  <c r="K209" i="144"/>
  <c r="L209" i="144"/>
  <c r="M209" i="144"/>
  <c r="N209" i="144"/>
  <c r="L30" i="115" s="1"/>
  <c r="I209" i="144"/>
  <c r="M25" i="115"/>
  <c r="M23" i="115" s="1"/>
  <c r="I20" i="178" s="1"/>
  <c r="M35" i="113"/>
  <c r="C14" i="106"/>
  <c r="C13" i="106"/>
  <c r="C12" i="106"/>
  <c r="C17" i="106"/>
  <c r="L77" i="174"/>
  <c r="M77" i="174"/>
  <c r="P77" i="174"/>
  <c r="L300" i="177"/>
  <c r="J71" i="174"/>
  <c r="L66" i="173"/>
  <c r="M66" i="173"/>
  <c r="N66" i="173"/>
  <c r="F66" i="173"/>
  <c r="N96" i="105"/>
  <c r="J62" i="176"/>
  <c r="K62" i="176" s="1"/>
  <c r="E58" i="176" s="1"/>
  <c r="K44" i="176"/>
  <c r="K258" i="105"/>
  <c r="L258" i="105"/>
  <c r="M258" i="105"/>
  <c r="N258" i="105"/>
  <c r="J258" i="105"/>
  <c r="J257" i="105"/>
  <c r="L296" i="177"/>
  <c r="L292" i="177"/>
  <c r="P173" i="144"/>
  <c r="F9" i="114"/>
  <c r="L844" i="105"/>
  <c r="L288" i="177"/>
  <c r="L289" i="177"/>
  <c r="E286" i="177" s="1"/>
  <c r="T36" i="160"/>
  <c r="V36" i="160" s="1"/>
  <c r="T22" i="160"/>
  <c r="R22" i="160"/>
  <c r="O22" i="160"/>
  <c r="F202" i="144"/>
  <c r="G18" i="144"/>
  <c r="T21" i="160"/>
  <c r="J207" i="144"/>
  <c r="L207" i="144"/>
  <c r="N207" i="144"/>
  <c r="I207" i="144"/>
  <c r="O200" i="144"/>
  <c r="O199" i="144"/>
  <c r="O198" i="144"/>
  <c r="M201" i="144"/>
  <c r="O201" i="144" s="1"/>
  <c r="E198" i="144" s="1"/>
  <c r="O20" i="144"/>
  <c r="T14" i="160"/>
  <c r="S14" i="160"/>
  <c r="L284" i="177"/>
  <c r="M220" i="174"/>
  <c r="J220" i="174" s="1"/>
  <c r="I131" i="177"/>
  <c r="L280" i="177"/>
  <c r="L124" i="175"/>
  <c r="L151" i="174"/>
  <c r="M151" i="174"/>
  <c r="P151" i="174"/>
  <c r="L125" i="173"/>
  <c r="N125" i="173"/>
  <c r="F125" i="173"/>
  <c r="L84" i="175"/>
  <c r="L85" i="175"/>
  <c r="L93" i="175"/>
  <c r="L61" i="175"/>
  <c r="L30" i="175"/>
  <c r="H28" i="178"/>
  <c r="H25" i="178"/>
  <c r="H31" i="178" s="1"/>
  <c r="H19" i="178"/>
  <c r="H18" i="178"/>
  <c r="H17" i="178"/>
  <c r="D26" i="178"/>
  <c r="D12" i="178"/>
  <c r="J36" i="115"/>
  <c r="K36" i="115"/>
  <c r="J23" i="115"/>
  <c r="H20" i="178" s="1"/>
  <c r="H14" i="178"/>
  <c r="J11" i="115"/>
  <c r="J9" i="115" s="1"/>
  <c r="J32" i="115"/>
  <c r="J28" i="115"/>
  <c r="J61" i="113"/>
  <c r="D28" i="178" s="1"/>
  <c r="J57" i="113"/>
  <c r="D30" i="178" s="1"/>
  <c r="J53" i="113"/>
  <c r="D25" i="178" s="1"/>
  <c r="J46" i="113"/>
  <c r="J41" i="113"/>
  <c r="D18" i="178" s="1"/>
  <c r="J37" i="113"/>
  <c r="D17" i="178" s="1"/>
  <c r="J27" i="113"/>
  <c r="D11" i="178" s="1"/>
  <c r="J18" i="113"/>
  <c r="J17" i="113" s="1"/>
  <c r="D10" i="178" s="1"/>
  <c r="J11" i="113"/>
  <c r="J10" i="113" s="1"/>
  <c r="I145" i="175"/>
  <c r="I140" i="175"/>
  <c r="L304" i="177"/>
  <c r="M990" i="105"/>
  <c r="M992" i="105" s="1"/>
  <c r="J990" i="105"/>
  <c r="J992" i="105" s="1"/>
  <c r="K990" i="105"/>
  <c r="K992" i="105" s="1"/>
  <c r="I842" i="105"/>
  <c r="N839" i="105"/>
  <c r="I839" i="105" s="1"/>
  <c r="I837" i="105"/>
  <c r="N835" i="105"/>
  <c r="L835" i="105"/>
  <c r="I833" i="105"/>
  <c r="I829" i="105"/>
  <c r="L826" i="105"/>
  <c r="I826" i="105" s="1"/>
  <c r="I824" i="105"/>
  <c r="L821" i="105"/>
  <c r="I819" i="105"/>
  <c r="L816" i="105"/>
  <c r="I816" i="105" s="1"/>
  <c r="L811" i="105"/>
  <c r="I811" i="105" s="1"/>
  <c r="I809" i="105"/>
  <c r="I814" i="105"/>
  <c r="L806" i="105"/>
  <c r="I806" i="105" s="1"/>
  <c r="I804" i="105"/>
  <c r="I799" i="105"/>
  <c r="L796" i="105"/>
  <c r="I796" i="105" s="1"/>
  <c r="I794" i="105"/>
  <c r="L791" i="105"/>
  <c r="I791" i="105" s="1"/>
  <c r="I789" i="105"/>
  <c r="L786" i="105"/>
  <c r="I786" i="105" s="1"/>
  <c r="I784" i="105"/>
  <c r="L781" i="105"/>
  <c r="I781" i="105" s="1"/>
  <c r="I779" i="105"/>
  <c r="L776" i="105"/>
  <c r="I776" i="105" s="1"/>
  <c r="I774" i="105"/>
  <c r="L771" i="105"/>
  <c r="I771" i="105" s="1"/>
  <c r="I769" i="105"/>
  <c r="L766" i="105"/>
  <c r="I766" i="105" s="1"/>
  <c r="I764" i="105"/>
  <c r="L761" i="105"/>
  <c r="I761" i="105" s="1"/>
  <c r="I759" i="105"/>
  <c r="N756" i="105"/>
  <c r="I756" i="105" s="1"/>
  <c r="I754" i="105"/>
  <c r="L751" i="105"/>
  <c r="I751" i="105" s="1"/>
  <c r="I749" i="105"/>
  <c r="L746" i="105"/>
  <c r="I746" i="105" s="1"/>
  <c r="I744" i="105"/>
  <c r="L741" i="105"/>
  <c r="I741" i="105" s="1"/>
  <c r="I739" i="105"/>
  <c r="L736" i="105"/>
  <c r="I736" i="105" s="1"/>
  <c r="I734" i="105"/>
  <c r="L731" i="105"/>
  <c r="I731" i="105" s="1"/>
  <c r="I729" i="105"/>
  <c r="N699" i="105"/>
  <c r="N700" i="105"/>
  <c r="N726" i="105"/>
  <c r="I726" i="105" s="1"/>
  <c r="N721" i="105"/>
  <c r="I721" i="105" s="1"/>
  <c r="N716" i="105"/>
  <c r="I716" i="105" s="1"/>
  <c r="N711" i="105"/>
  <c r="N706" i="105"/>
  <c r="I706" i="105" s="1"/>
  <c r="I724" i="105"/>
  <c r="I719" i="105"/>
  <c r="I714" i="105"/>
  <c r="I709" i="105"/>
  <c r="I704" i="105"/>
  <c r="L696" i="105"/>
  <c r="I696" i="105" s="1"/>
  <c r="I694" i="105"/>
  <c r="L692" i="105"/>
  <c r="I692" i="105" s="1"/>
  <c r="I690" i="105"/>
  <c r="L687" i="105"/>
  <c r="I687" i="105" s="1"/>
  <c r="I685" i="105"/>
  <c r="L682" i="105"/>
  <c r="I680" i="105"/>
  <c r="L677" i="105"/>
  <c r="I677" i="105" s="1"/>
  <c r="I675" i="105"/>
  <c r="L672" i="105"/>
  <c r="I672" i="105" s="1"/>
  <c r="I670" i="105"/>
  <c r="L667" i="105"/>
  <c r="I667" i="105" s="1"/>
  <c r="I665" i="105"/>
  <c r="L662" i="105"/>
  <c r="I660" i="105"/>
  <c r="L657" i="105"/>
  <c r="I657" i="105" s="1"/>
  <c r="I655" i="105"/>
  <c r="L652" i="105"/>
  <c r="I650" i="105"/>
  <c r="L647" i="105"/>
  <c r="I647" i="105" s="1"/>
  <c r="I645" i="105"/>
  <c r="L642" i="105"/>
  <c r="I642" i="105" s="1"/>
  <c r="I640" i="105"/>
  <c r="L637" i="105"/>
  <c r="I637" i="105" s="1"/>
  <c r="I635" i="105"/>
  <c r="L632" i="105"/>
  <c r="I632" i="105" s="1"/>
  <c r="I630" i="105"/>
  <c r="L627" i="105"/>
  <c r="I625" i="105"/>
  <c r="L622" i="105"/>
  <c r="I622" i="105" s="1"/>
  <c r="I620" i="105"/>
  <c r="L617" i="105"/>
  <c r="I617" i="105" s="1"/>
  <c r="I615" i="105"/>
  <c r="L612" i="105"/>
  <c r="N607" i="105"/>
  <c r="N602" i="105"/>
  <c r="I602" i="105" s="1"/>
  <c r="N596" i="105"/>
  <c r="I596" i="105" s="1"/>
  <c r="N591" i="105"/>
  <c r="N586" i="105"/>
  <c r="I586" i="105" s="1"/>
  <c r="I610" i="105"/>
  <c r="I605" i="105"/>
  <c r="I600" i="105"/>
  <c r="I594" i="105"/>
  <c r="I589" i="105"/>
  <c r="I584" i="105"/>
  <c r="N581" i="105"/>
  <c r="L581" i="105"/>
  <c r="I579" i="105"/>
  <c r="L575" i="105"/>
  <c r="I575" i="105" s="1"/>
  <c r="I573" i="105"/>
  <c r="N570" i="105"/>
  <c r="I570" i="105" s="1"/>
  <c r="I568" i="105"/>
  <c r="N565" i="105"/>
  <c r="I565" i="105" s="1"/>
  <c r="I563" i="105"/>
  <c r="L555" i="105"/>
  <c r="I555" i="105" s="1"/>
  <c r="I553" i="105"/>
  <c r="L550" i="105"/>
  <c r="I550" i="105" s="1"/>
  <c r="I548" i="105"/>
  <c r="L545" i="105"/>
  <c r="I545" i="105" s="1"/>
  <c r="I543" i="105"/>
  <c r="I538" i="105"/>
  <c r="N534" i="105"/>
  <c r="I534" i="105" s="1"/>
  <c r="I532" i="105"/>
  <c r="N529" i="105"/>
  <c r="I529" i="105" s="1"/>
  <c r="L524" i="105"/>
  <c r="I524" i="105" s="1"/>
  <c r="I522" i="105"/>
  <c r="L519" i="105"/>
  <c r="I519" i="105" s="1"/>
  <c r="I517" i="105"/>
  <c r="I514" i="105"/>
  <c r="I512" i="105"/>
  <c r="L510" i="105"/>
  <c r="I508" i="105"/>
  <c r="L503" i="105"/>
  <c r="I503" i="105" s="1"/>
  <c r="I501" i="105"/>
  <c r="L498" i="105"/>
  <c r="I498" i="105" s="1"/>
  <c r="I496" i="105"/>
  <c r="N493" i="105"/>
  <c r="I493" i="105" s="1"/>
  <c r="I491" i="105"/>
  <c r="N488" i="105"/>
  <c r="I488" i="105" s="1"/>
  <c r="I486" i="105"/>
  <c r="N483" i="105"/>
  <c r="I483" i="105" s="1"/>
  <c r="I481" i="105"/>
  <c r="N478" i="105"/>
  <c r="I476" i="105"/>
  <c r="N473" i="105"/>
  <c r="I471" i="105"/>
  <c r="L468" i="105"/>
  <c r="I468" i="105" s="1"/>
  <c r="I466" i="105"/>
  <c r="L463" i="105"/>
  <c r="I463" i="105" s="1"/>
  <c r="I461" i="105"/>
  <c r="I456" i="105"/>
  <c r="L453" i="105"/>
  <c r="I453" i="105" s="1"/>
  <c r="I451" i="105"/>
  <c r="K448" i="105"/>
  <c r="L448" i="105"/>
  <c r="J448" i="105"/>
  <c r="I446" i="105"/>
  <c r="L443" i="105"/>
  <c r="I443" i="105" s="1"/>
  <c r="I441" i="105"/>
  <c r="L438" i="105"/>
  <c r="I438" i="105" s="1"/>
  <c r="I436" i="105"/>
  <c r="L433" i="105"/>
  <c r="I433" i="105" s="1"/>
  <c r="I431" i="105"/>
  <c r="N428" i="105"/>
  <c r="I428" i="105" s="1"/>
  <c r="I426" i="105"/>
  <c r="L423" i="105"/>
  <c r="I421" i="105"/>
  <c r="L418" i="105"/>
  <c r="I418" i="105" s="1"/>
  <c r="I416" i="105"/>
  <c r="L413" i="105"/>
  <c r="I411" i="105"/>
  <c r="N408" i="105"/>
  <c r="I408" i="105" s="1"/>
  <c r="I406" i="105"/>
  <c r="N403" i="105"/>
  <c r="L403" i="105"/>
  <c r="I401" i="105"/>
  <c r="L398" i="105"/>
  <c r="I396" i="105"/>
  <c r="I391" i="105"/>
  <c r="N388" i="105"/>
  <c r="I388" i="105" s="1"/>
  <c r="I386" i="105"/>
  <c r="N383" i="105"/>
  <c r="I383" i="105" s="1"/>
  <c r="I381" i="105"/>
  <c r="L378" i="105"/>
  <c r="I378" i="105" s="1"/>
  <c r="I376" i="105"/>
  <c r="M373" i="105"/>
  <c r="I373" i="105" s="1"/>
  <c r="I371" i="105"/>
  <c r="K368" i="105"/>
  <c r="J368" i="105"/>
  <c r="I366" i="105"/>
  <c r="K363" i="105"/>
  <c r="L363" i="105"/>
  <c r="N363" i="105"/>
  <c r="J363" i="105"/>
  <c r="I361" i="105"/>
  <c r="I360" i="105"/>
  <c r="M358" i="105"/>
  <c r="I358" i="105" s="1"/>
  <c r="I356" i="105"/>
  <c r="J302" i="105"/>
  <c r="K302" i="105"/>
  <c r="L302" i="105"/>
  <c r="N302" i="105"/>
  <c r="M302" i="105"/>
  <c r="M353" i="105"/>
  <c r="M348" i="105"/>
  <c r="I348" i="105" s="1"/>
  <c r="M343" i="105"/>
  <c r="I343" i="105" s="1"/>
  <c r="M338" i="105"/>
  <c r="I338" i="105" s="1"/>
  <c r="M333" i="105"/>
  <c r="I333" i="105" s="1"/>
  <c r="M328" i="105"/>
  <c r="I328" i="105" s="1"/>
  <c r="M323" i="105"/>
  <c r="I323" i="105" s="1"/>
  <c r="M318" i="105"/>
  <c r="I318" i="105" s="1"/>
  <c r="M313" i="105"/>
  <c r="I313" i="105" s="1"/>
  <c r="M309" i="105"/>
  <c r="I309" i="105" s="1"/>
  <c r="I351" i="105"/>
  <c r="I346" i="105"/>
  <c r="I341" i="105"/>
  <c r="I336" i="105"/>
  <c r="I331" i="105"/>
  <c r="I326" i="105"/>
  <c r="I321" i="105"/>
  <c r="I316" i="105"/>
  <c r="I311" i="105"/>
  <c r="I307" i="105"/>
  <c r="L299" i="105"/>
  <c r="I299" i="105" s="1"/>
  <c r="I297" i="105"/>
  <c r="M294" i="105"/>
  <c r="I294" i="105" s="1"/>
  <c r="I292" i="105"/>
  <c r="M289" i="105"/>
  <c r="I287" i="105"/>
  <c r="N284" i="105"/>
  <c r="I284" i="105" s="1"/>
  <c r="I282" i="105"/>
  <c r="M257" i="105"/>
  <c r="K257" i="105"/>
  <c r="N279" i="105"/>
  <c r="L274" i="105"/>
  <c r="I274" i="105" s="1"/>
  <c r="N264" i="105"/>
  <c r="I277" i="105"/>
  <c r="I272" i="105"/>
  <c r="N254" i="105"/>
  <c r="I254" i="105" s="1"/>
  <c r="I252" i="105"/>
  <c r="L249" i="105"/>
  <c r="I249" i="105" s="1"/>
  <c r="N244" i="105"/>
  <c r="I242" i="105"/>
  <c r="N239" i="105"/>
  <c r="I239" i="105" s="1"/>
  <c r="I237" i="105"/>
  <c r="N232" i="105"/>
  <c r="M232" i="105"/>
  <c r="K232" i="105"/>
  <c r="J232" i="105"/>
  <c r="L219" i="105"/>
  <c r="I219" i="105" s="1"/>
  <c r="I217" i="105"/>
  <c r="L229" i="105"/>
  <c r="I229" i="105" s="1"/>
  <c r="I227" i="105"/>
  <c r="L224" i="105"/>
  <c r="I224" i="105" s="1"/>
  <c r="I222" i="105"/>
  <c r="L214" i="105"/>
  <c r="I214" i="105" s="1"/>
  <c r="I212" i="105"/>
  <c r="L204" i="105"/>
  <c r="I204" i="105" s="1"/>
  <c r="I202" i="105"/>
  <c r="N194" i="105"/>
  <c r="I194" i="105" s="1"/>
  <c r="I192" i="105"/>
  <c r="N185" i="105"/>
  <c r="I185" i="105" s="1"/>
  <c r="I183" i="105"/>
  <c r="N179" i="105"/>
  <c r="L179" i="105"/>
  <c r="I177" i="105"/>
  <c r="N174" i="105"/>
  <c r="I174" i="105" s="1"/>
  <c r="I172" i="105"/>
  <c r="N169" i="105"/>
  <c r="I167" i="105"/>
  <c r="N162" i="105"/>
  <c r="I162" i="105" s="1"/>
  <c r="L157" i="105"/>
  <c r="I157" i="105" s="1"/>
  <c r="N152" i="105"/>
  <c r="L147" i="105"/>
  <c r="I147" i="105" s="1"/>
  <c r="I160" i="105"/>
  <c r="I155" i="105"/>
  <c r="I150" i="105"/>
  <c r="I145" i="105"/>
  <c r="J114" i="105"/>
  <c r="N137" i="105"/>
  <c r="I137" i="105" s="1"/>
  <c r="N142" i="105"/>
  <c r="I142" i="105" s="1"/>
  <c r="N132" i="105"/>
  <c r="I132" i="105" s="1"/>
  <c r="N127" i="105"/>
  <c r="I127" i="105" s="1"/>
  <c r="N122" i="105"/>
  <c r="N115" i="105"/>
  <c r="N114" i="105"/>
  <c r="M115" i="105"/>
  <c r="L115" i="105"/>
  <c r="K115" i="105"/>
  <c r="J115" i="105"/>
  <c r="I140" i="105"/>
  <c r="I135" i="105"/>
  <c r="I130" i="105"/>
  <c r="I125" i="105"/>
  <c r="I120" i="105"/>
  <c r="L111" i="105"/>
  <c r="I111" i="105" s="1"/>
  <c r="I109" i="105"/>
  <c r="N101" i="105"/>
  <c r="I101" i="105" s="1"/>
  <c r="N91" i="105"/>
  <c r="I91" i="105" s="1"/>
  <c r="I99" i="105"/>
  <c r="I94" i="105"/>
  <c r="I89" i="105"/>
  <c r="N79" i="105"/>
  <c r="I79" i="105" s="1"/>
  <c r="N74" i="105"/>
  <c r="I74" i="105" s="1"/>
  <c r="N69" i="105"/>
  <c r="I69" i="105" s="1"/>
  <c r="I77" i="105"/>
  <c r="I72" i="105"/>
  <c r="I67" i="105"/>
  <c r="J64" i="105"/>
  <c r="M64" i="105"/>
  <c r="L59" i="105"/>
  <c r="I57" i="105"/>
  <c r="I54" i="105"/>
  <c r="I52" i="105"/>
  <c r="I49" i="105"/>
  <c r="I46" i="105"/>
  <c r="L44" i="105"/>
  <c r="I44" i="105" s="1"/>
  <c r="I42" i="105"/>
  <c r="K32" i="105"/>
  <c r="L32" i="105"/>
  <c r="J32" i="105"/>
  <c r="I30" i="105"/>
  <c r="L27" i="105"/>
  <c r="I27" i="105" s="1"/>
  <c r="I25" i="105"/>
  <c r="K23" i="105"/>
  <c r="L23" i="105"/>
  <c r="J23" i="105"/>
  <c r="I21" i="105"/>
  <c r="K18" i="105"/>
  <c r="L18" i="105"/>
  <c r="J18" i="105"/>
  <c r="I14" i="105"/>
  <c r="I16" i="105"/>
  <c r="I12" i="105"/>
  <c r="M166" i="144"/>
  <c r="O194" i="144"/>
  <c r="K196" i="144"/>
  <c r="O196" i="144" s="1"/>
  <c r="E193" i="144" s="1"/>
  <c r="O189" i="144"/>
  <c r="L191" i="144"/>
  <c r="K191" i="144"/>
  <c r="K186" i="144"/>
  <c r="K181" i="144"/>
  <c r="O181" i="144" s="1"/>
  <c r="E178" i="144" s="1"/>
  <c r="K176" i="144"/>
  <c r="K171" i="144"/>
  <c r="O171" i="144" s="1"/>
  <c r="E168" i="144" s="1"/>
  <c r="O184" i="144"/>
  <c r="O179" i="144"/>
  <c r="O174" i="144"/>
  <c r="O169" i="144"/>
  <c r="O164" i="144"/>
  <c r="K166" i="144"/>
  <c r="K161" i="144"/>
  <c r="O161" i="144" s="1"/>
  <c r="E158" i="144" s="1"/>
  <c r="K156" i="144"/>
  <c r="O156" i="144" s="1"/>
  <c r="E153" i="144" s="1"/>
  <c r="O159" i="144"/>
  <c r="O154" i="144"/>
  <c r="K151" i="144"/>
  <c r="O151" i="144"/>
  <c r="E148" i="144" s="1"/>
  <c r="J146" i="144"/>
  <c r="K146" i="144"/>
  <c r="I146" i="144"/>
  <c r="O149" i="144"/>
  <c r="O144" i="144"/>
  <c r="L141" i="144"/>
  <c r="O141" i="144" s="1"/>
  <c r="E138" i="144" s="1"/>
  <c r="O139" i="144"/>
  <c r="K136" i="144"/>
  <c r="I136" i="144"/>
  <c r="K131" i="144"/>
  <c r="O131" i="144" s="1"/>
  <c r="O134" i="144"/>
  <c r="O129" i="144"/>
  <c r="M126" i="144"/>
  <c r="K126" i="144"/>
  <c r="O124" i="144"/>
  <c r="K121" i="144"/>
  <c r="M116" i="144"/>
  <c r="K116" i="144"/>
  <c r="O116" i="144" s="1"/>
  <c r="M111" i="144"/>
  <c r="K111" i="144"/>
  <c r="O119" i="144"/>
  <c r="O114" i="144"/>
  <c r="O109" i="144"/>
  <c r="N106" i="144"/>
  <c r="O106" i="144" s="1"/>
  <c r="E103" i="144" s="1"/>
  <c r="M101" i="144"/>
  <c r="O101" i="144" s="1"/>
  <c r="E98" i="144" s="1"/>
  <c r="O99" i="144"/>
  <c r="M96" i="144"/>
  <c r="K96" i="144"/>
  <c r="O104" i="144"/>
  <c r="O94" i="144"/>
  <c r="M91" i="144"/>
  <c r="K91" i="144"/>
  <c r="O89" i="144"/>
  <c r="M86" i="144"/>
  <c r="O86" i="144" s="1"/>
  <c r="E83" i="144" s="1"/>
  <c r="O84" i="144"/>
  <c r="K81" i="144"/>
  <c r="O81" i="144" s="1"/>
  <c r="O79" i="144"/>
  <c r="M76" i="144"/>
  <c r="K76" i="144"/>
  <c r="O74" i="144"/>
  <c r="M71" i="144"/>
  <c r="K71" i="144"/>
  <c r="O69" i="144"/>
  <c r="M66" i="144"/>
  <c r="K66" i="144"/>
  <c r="O64" i="144"/>
  <c r="M61" i="144"/>
  <c r="K61" i="144"/>
  <c r="O59" i="144"/>
  <c r="K56" i="144"/>
  <c r="O54" i="144"/>
  <c r="K51" i="144"/>
  <c r="O49" i="144"/>
  <c r="M46" i="144"/>
  <c r="K46" i="144"/>
  <c r="O44" i="144"/>
  <c r="M41" i="144"/>
  <c r="K41" i="144"/>
  <c r="O39" i="144"/>
  <c r="M36" i="144"/>
  <c r="K36" i="144"/>
  <c r="O34" i="144"/>
  <c r="M31" i="144"/>
  <c r="K31" i="144"/>
  <c r="O29" i="144"/>
  <c r="M26" i="144"/>
  <c r="K26" i="144"/>
  <c r="O24" i="144"/>
  <c r="J21" i="144"/>
  <c r="K21" i="144"/>
  <c r="I21" i="144"/>
  <c r="O19" i="144"/>
  <c r="M16" i="144"/>
  <c r="K16" i="144"/>
  <c r="O14" i="144"/>
  <c r="K342" i="177"/>
  <c r="I342" i="177"/>
  <c r="J277" i="177"/>
  <c r="L277" i="177" s="1"/>
  <c r="E274" i="177" s="1"/>
  <c r="J273" i="177"/>
  <c r="L273" i="177" s="1"/>
  <c r="E270" i="177" s="1"/>
  <c r="K269" i="177"/>
  <c r="L269" i="177" s="1"/>
  <c r="E266" i="177" s="1"/>
  <c r="K265" i="177"/>
  <c r="L265" i="177" s="1"/>
  <c r="E262" i="177" s="1"/>
  <c r="K261" i="177"/>
  <c r="L261" i="177" s="1"/>
  <c r="E257" i="177" s="1"/>
  <c r="K256" i="177"/>
  <c r="L256" i="177" s="1"/>
  <c r="E252" i="177" s="1"/>
  <c r="K251" i="177"/>
  <c r="J251" i="177"/>
  <c r="K246" i="177"/>
  <c r="L246" i="177" s="1"/>
  <c r="E242" i="177" s="1"/>
  <c r="J246" i="177"/>
  <c r="K241" i="177"/>
  <c r="J241" i="177"/>
  <c r="K236" i="177"/>
  <c r="L236" i="177" s="1"/>
  <c r="E232" i="177" s="1"/>
  <c r="J236" i="177"/>
  <c r="K231" i="177"/>
  <c r="J231" i="177"/>
  <c r="K226" i="177"/>
  <c r="L226" i="177" s="1"/>
  <c r="E222" i="177" s="1"/>
  <c r="J226" i="177"/>
  <c r="K221" i="177"/>
  <c r="J221" i="177"/>
  <c r="K216" i="177"/>
  <c r="L216" i="177" s="1"/>
  <c r="E212" i="177" s="1"/>
  <c r="J216" i="177"/>
  <c r="K211" i="177"/>
  <c r="J211" i="177"/>
  <c r="K206" i="177"/>
  <c r="J206" i="177"/>
  <c r="K201" i="177"/>
  <c r="J201" i="177"/>
  <c r="K196" i="177"/>
  <c r="J196" i="177"/>
  <c r="K191" i="177"/>
  <c r="J191" i="177"/>
  <c r="J186" i="177"/>
  <c r="K186" i="177"/>
  <c r="I186" i="177"/>
  <c r="J181" i="177"/>
  <c r="J176" i="177"/>
  <c r="K171" i="177"/>
  <c r="J171" i="177"/>
  <c r="K166" i="177"/>
  <c r="J166" i="177"/>
  <c r="K161" i="177"/>
  <c r="J161" i="177"/>
  <c r="K156" i="177"/>
  <c r="J156" i="177"/>
  <c r="K151" i="177"/>
  <c r="J151" i="177"/>
  <c r="L151" i="177" s="1"/>
  <c r="E147" i="177" s="1"/>
  <c r="K146" i="177"/>
  <c r="J146" i="177"/>
  <c r="K141" i="177"/>
  <c r="J141" i="177"/>
  <c r="K136" i="177"/>
  <c r="J136" i="177"/>
  <c r="K131" i="177"/>
  <c r="J131" i="177"/>
  <c r="J126" i="177"/>
  <c r="I126" i="177"/>
  <c r="K121" i="177"/>
  <c r="J121" i="177"/>
  <c r="L121" i="177" s="1"/>
  <c r="E117" i="177" s="1"/>
  <c r="K116" i="177"/>
  <c r="J116" i="177"/>
  <c r="K111" i="177"/>
  <c r="J111" i="177"/>
  <c r="K106" i="177"/>
  <c r="J106" i="177"/>
  <c r="K101" i="177"/>
  <c r="J101" i="177"/>
  <c r="L275" i="177"/>
  <c r="L271" i="177"/>
  <c r="L267" i="177"/>
  <c r="L263" i="177"/>
  <c r="L259" i="177"/>
  <c r="L254" i="177"/>
  <c r="L249" i="177"/>
  <c r="L244" i="177"/>
  <c r="L239" i="177"/>
  <c r="L234" i="177"/>
  <c r="L229" i="177"/>
  <c r="L224" i="177"/>
  <c r="L219" i="177"/>
  <c r="L214" i="177"/>
  <c r="L209" i="177"/>
  <c r="L204" i="177"/>
  <c r="L199" i="177"/>
  <c r="L194" i="177"/>
  <c r="L189" i="177"/>
  <c r="L184" i="177"/>
  <c r="L179" i="177"/>
  <c r="L174" i="177"/>
  <c r="L169" i="177"/>
  <c r="L164" i="177"/>
  <c r="L159" i="177"/>
  <c r="L154" i="177"/>
  <c r="L149" i="177"/>
  <c r="L144" i="177"/>
  <c r="L139" i="177"/>
  <c r="L134" i="177"/>
  <c r="L129" i="177"/>
  <c r="L124" i="177"/>
  <c r="L119" i="177"/>
  <c r="L114" i="177"/>
  <c r="L109" i="177"/>
  <c r="L104" i="177"/>
  <c r="L99" i="177"/>
  <c r="J96" i="177"/>
  <c r="K91" i="177"/>
  <c r="J91" i="177"/>
  <c r="K86" i="177"/>
  <c r="J86" i="177"/>
  <c r="K76" i="177"/>
  <c r="K81" i="177"/>
  <c r="J81" i="177"/>
  <c r="J76" i="177"/>
  <c r="K71" i="177"/>
  <c r="J71" i="177"/>
  <c r="K66" i="177"/>
  <c r="J66" i="177"/>
  <c r="K61" i="177"/>
  <c r="J61" i="177"/>
  <c r="K56" i="177"/>
  <c r="J56" i="177"/>
  <c r="K51" i="177"/>
  <c r="J51" i="177"/>
  <c r="K46" i="177"/>
  <c r="J46" i="177"/>
  <c r="K41" i="177"/>
  <c r="J41" i="177"/>
  <c r="K36" i="177"/>
  <c r="J36" i="177"/>
  <c r="K31" i="177"/>
  <c r="J31" i="177"/>
  <c r="J26" i="177"/>
  <c r="K26" i="177"/>
  <c r="I26" i="177"/>
  <c r="L94" i="177"/>
  <c r="L89" i="177"/>
  <c r="L84" i="177"/>
  <c r="L79" i="177"/>
  <c r="L74" i="177"/>
  <c r="L69" i="177"/>
  <c r="L64" i="177"/>
  <c r="L59" i="177"/>
  <c r="L54" i="177"/>
  <c r="L49" i="177"/>
  <c r="L44" i="177"/>
  <c r="L39" i="177"/>
  <c r="L34" i="177"/>
  <c r="L29" i="177"/>
  <c r="L24" i="177"/>
  <c r="L19" i="177"/>
  <c r="J21" i="177"/>
  <c r="K21" i="177"/>
  <c r="I21" i="177"/>
  <c r="J16" i="177"/>
  <c r="L14" i="177"/>
  <c r="I118" i="148"/>
  <c r="M75" i="148"/>
  <c r="O75" i="148" s="1"/>
  <c r="E72" i="148" s="1"/>
  <c r="O73" i="148"/>
  <c r="M70" i="148"/>
  <c r="K70" i="148"/>
  <c r="O68" i="148"/>
  <c r="M65" i="148"/>
  <c r="O65" i="148" s="1"/>
  <c r="E62" i="148" s="1"/>
  <c r="O63" i="148"/>
  <c r="M60" i="148"/>
  <c r="O60" i="148" s="1"/>
  <c r="E57" i="148" s="1"/>
  <c r="O58" i="148"/>
  <c r="K55" i="148"/>
  <c r="O55" i="148" s="1"/>
  <c r="E52" i="148" s="1"/>
  <c r="O53" i="148"/>
  <c r="M50" i="148"/>
  <c r="O50" i="148" s="1"/>
  <c r="E47" i="148" s="1"/>
  <c r="O48" i="148"/>
  <c r="M45" i="148"/>
  <c r="O45" i="148" s="1"/>
  <c r="E42" i="148" s="1"/>
  <c r="O43" i="148"/>
  <c r="M40" i="148"/>
  <c r="K40" i="148"/>
  <c r="O38" i="148"/>
  <c r="N35" i="148"/>
  <c r="O33" i="148"/>
  <c r="M25" i="148"/>
  <c r="O25" i="148" s="1"/>
  <c r="K25" i="148"/>
  <c r="O23" i="148"/>
  <c r="M20" i="148"/>
  <c r="K20" i="148"/>
  <c r="O18" i="148"/>
  <c r="M15" i="148"/>
  <c r="K15" i="148"/>
  <c r="O13" i="148"/>
  <c r="M176" i="149"/>
  <c r="P174" i="149"/>
  <c r="M171" i="149"/>
  <c r="P171" i="149" s="1"/>
  <c r="P169" i="149"/>
  <c r="M166" i="149"/>
  <c r="P166" i="149" s="1"/>
  <c r="P164" i="149"/>
  <c r="M161" i="149"/>
  <c r="P161" i="149" s="1"/>
  <c r="P159" i="149"/>
  <c r="M156" i="149"/>
  <c r="P156" i="149" s="1"/>
  <c r="P154" i="149"/>
  <c r="M151" i="149"/>
  <c r="P151" i="149" s="1"/>
  <c r="P149" i="149"/>
  <c r="M146" i="149"/>
  <c r="P146" i="149" s="1"/>
  <c r="P144" i="149"/>
  <c r="M141" i="149"/>
  <c r="P141" i="149" s="1"/>
  <c r="P139" i="149"/>
  <c r="M136" i="149"/>
  <c r="P136" i="149" s="1"/>
  <c r="P134" i="149"/>
  <c r="M131" i="149"/>
  <c r="P131" i="149" s="1"/>
  <c r="P129" i="149"/>
  <c r="M126" i="149"/>
  <c r="P126" i="149" s="1"/>
  <c r="P124" i="149"/>
  <c r="M121" i="149"/>
  <c r="P119" i="149"/>
  <c r="M116" i="149"/>
  <c r="P116" i="149" s="1"/>
  <c r="P114" i="149"/>
  <c r="P108" i="149"/>
  <c r="M74" i="149"/>
  <c r="P74" i="149" s="1"/>
  <c r="E72" i="149" s="1"/>
  <c r="M70" i="149"/>
  <c r="M66" i="149"/>
  <c r="P66" i="149" s="1"/>
  <c r="E64" i="149" s="1"/>
  <c r="M62" i="149"/>
  <c r="M58" i="149"/>
  <c r="P58" i="149" s="1"/>
  <c r="E56" i="149" s="1"/>
  <c r="M54" i="149"/>
  <c r="P54" i="149" s="1"/>
  <c r="E52" i="149" s="1"/>
  <c r="P72" i="149"/>
  <c r="P68" i="149"/>
  <c r="P64" i="149"/>
  <c r="P60" i="149"/>
  <c r="P56" i="149"/>
  <c r="P52" i="149"/>
  <c r="P48" i="149"/>
  <c r="M50" i="149"/>
  <c r="M46" i="149"/>
  <c r="P44" i="149"/>
  <c r="P40" i="149"/>
  <c r="M42" i="149"/>
  <c r="P42" i="149" s="1"/>
  <c r="E40" i="149" s="1"/>
  <c r="P34" i="149"/>
  <c r="E31" i="149" s="1"/>
  <c r="M29" i="149"/>
  <c r="P29" i="149"/>
  <c r="E26" i="149" s="1"/>
  <c r="P27" i="149"/>
  <c r="P22" i="149"/>
  <c r="N24" i="149"/>
  <c r="J125" i="176"/>
  <c r="K125" i="176" s="1"/>
  <c r="E121" i="176" s="1"/>
  <c r="K123" i="176"/>
  <c r="J119" i="176"/>
  <c r="K119" i="176" s="1"/>
  <c r="K117" i="176"/>
  <c r="J112" i="176"/>
  <c r="K112" i="176" s="1"/>
  <c r="E108" i="176" s="1"/>
  <c r="K110" i="176"/>
  <c r="J105" i="176"/>
  <c r="K105" i="176" s="1"/>
  <c r="E101" i="176" s="1"/>
  <c r="K103" i="176"/>
  <c r="J100" i="176"/>
  <c r="K100" i="176" s="1"/>
  <c r="K98" i="176"/>
  <c r="J93" i="176"/>
  <c r="K93" i="176" s="1"/>
  <c r="E89" i="176" s="1"/>
  <c r="K91" i="176"/>
  <c r="J88" i="176"/>
  <c r="K88" i="176" s="1"/>
  <c r="E84" i="176" s="1"/>
  <c r="K86" i="176"/>
  <c r="J81" i="176"/>
  <c r="K81" i="176" s="1"/>
  <c r="E77" i="176" s="1"/>
  <c r="K79" i="176"/>
  <c r="J75" i="176"/>
  <c r="K75" i="176" s="1"/>
  <c r="E71" i="176" s="1"/>
  <c r="K73" i="176"/>
  <c r="J68" i="176"/>
  <c r="K68" i="176" s="1"/>
  <c r="E64" i="176" s="1"/>
  <c r="K66" i="176"/>
  <c r="K60" i="176"/>
  <c r="J56" i="176"/>
  <c r="K56" i="176" s="1"/>
  <c r="E52" i="176" s="1"/>
  <c r="K54" i="176"/>
  <c r="J50" i="176"/>
  <c r="I50" i="176"/>
  <c r="K50" i="176" s="1"/>
  <c r="E46" i="176" s="1"/>
  <c r="K48" i="176"/>
  <c r="J45" i="176"/>
  <c r="K45" i="176" s="1"/>
  <c r="E41" i="176" s="1"/>
  <c r="K43" i="176"/>
  <c r="J40" i="176"/>
  <c r="K40" i="176" s="1"/>
  <c r="E36" i="176" s="1"/>
  <c r="K38" i="176"/>
  <c r="J35" i="176"/>
  <c r="K35" i="176" s="1"/>
  <c r="E31" i="176" s="1"/>
  <c r="K33" i="176"/>
  <c r="J30" i="176"/>
  <c r="I30" i="176"/>
  <c r="K28" i="176"/>
  <c r="J25" i="176"/>
  <c r="K25" i="176" s="1"/>
  <c r="E21" i="176" s="1"/>
  <c r="J20" i="176"/>
  <c r="K20" i="176" s="1"/>
  <c r="E16" i="176" s="1"/>
  <c r="K18" i="176"/>
  <c r="J15" i="176"/>
  <c r="K15" i="176" s="1"/>
  <c r="E11" i="176" s="1"/>
  <c r="K13" i="176"/>
  <c r="J145" i="175"/>
  <c r="R322" i="174"/>
  <c r="R324" i="174" s="1"/>
  <c r="Q322" i="174"/>
  <c r="P322" i="174"/>
  <c r="O322" i="174"/>
  <c r="O324" i="174" s="1"/>
  <c r="N322" i="174"/>
  <c r="M322" i="174"/>
  <c r="L322" i="174"/>
  <c r="K322" i="174"/>
  <c r="K324" i="174" s="1"/>
  <c r="Q175" i="174"/>
  <c r="Q81" i="174"/>
  <c r="Q83" i="174" s="1"/>
  <c r="Q55" i="174"/>
  <c r="R175" i="174"/>
  <c r="R81" i="174"/>
  <c r="R83" i="174" s="1"/>
  <c r="R55" i="174"/>
  <c r="L81" i="174"/>
  <c r="L83" i="174" s="1"/>
  <c r="L55" i="174"/>
  <c r="M81" i="174"/>
  <c r="M83" i="174" s="1"/>
  <c r="M55" i="174"/>
  <c r="O175" i="174"/>
  <c r="O81" i="174"/>
  <c r="O83" i="174" s="1"/>
  <c r="O55" i="174"/>
  <c r="P175" i="174"/>
  <c r="P81" i="174"/>
  <c r="P55" i="174"/>
  <c r="K81" i="174"/>
  <c r="K83" i="174" s="1"/>
  <c r="K55" i="174"/>
  <c r="M307" i="174"/>
  <c r="N328" i="174"/>
  <c r="O328" i="174"/>
  <c r="Q328" i="174"/>
  <c r="R328" i="174"/>
  <c r="K328" i="174"/>
  <c r="L290" i="174"/>
  <c r="M290" i="174"/>
  <c r="K290" i="174"/>
  <c r="J288" i="174"/>
  <c r="P286" i="174"/>
  <c r="M286" i="174"/>
  <c r="J284" i="174"/>
  <c r="M278" i="174"/>
  <c r="J278" i="174" s="1"/>
  <c r="J276" i="174"/>
  <c r="L282" i="174"/>
  <c r="K282" i="174"/>
  <c r="J280" i="174"/>
  <c r="L272" i="174"/>
  <c r="M272" i="174"/>
  <c r="K272" i="174"/>
  <c r="J270" i="174"/>
  <c r="L267" i="174"/>
  <c r="K267" i="174"/>
  <c r="J265" i="174"/>
  <c r="L261" i="174"/>
  <c r="K261" i="174"/>
  <c r="J259" i="174"/>
  <c r="L256" i="174"/>
  <c r="K256" i="174"/>
  <c r="J254" i="174"/>
  <c r="L250" i="174"/>
  <c r="K250" i="174"/>
  <c r="J248" i="174"/>
  <c r="L245" i="174"/>
  <c r="K245" i="174"/>
  <c r="J243" i="174"/>
  <c r="L237" i="174"/>
  <c r="K237" i="174"/>
  <c r="J235" i="174"/>
  <c r="L232" i="174"/>
  <c r="K232" i="174"/>
  <c r="J230" i="174"/>
  <c r="L227" i="174"/>
  <c r="K227" i="174"/>
  <c r="J225" i="174"/>
  <c r="J218" i="174"/>
  <c r="P215" i="174"/>
  <c r="M215" i="174"/>
  <c r="J213" i="174"/>
  <c r="L210" i="174"/>
  <c r="M210" i="174"/>
  <c r="P210" i="174"/>
  <c r="K210" i="174"/>
  <c r="J208" i="174"/>
  <c r="L201" i="174"/>
  <c r="K201" i="174"/>
  <c r="J199" i="174"/>
  <c r="L196" i="174"/>
  <c r="K196" i="174"/>
  <c r="J194" i="174"/>
  <c r="L188" i="174"/>
  <c r="L304" i="174" s="1"/>
  <c r="J189" i="174"/>
  <c r="N175" i="174"/>
  <c r="N81" i="174"/>
  <c r="N83" i="174" s="1"/>
  <c r="N55" i="174"/>
  <c r="J178" i="174"/>
  <c r="L170" i="174"/>
  <c r="M170" i="174"/>
  <c r="P170" i="174"/>
  <c r="J167" i="174"/>
  <c r="M161" i="174"/>
  <c r="P161" i="174"/>
  <c r="K161" i="174"/>
  <c r="J159" i="174"/>
  <c r="L156" i="174"/>
  <c r="K156" i="174"/>
  <c r="J154" i="174"/>
  <c r="J149" i="174"/>
  <c r="L141" i="174"/>
  <c r="K141" i="174"/>
  <c r="J139" i="174"/>
  <c r="J134" i="174"/>
  <c r="L131" i="174"/>
  <c r="M131" i="174"/>
  <c r="P131" i="174"/>
  <c r="K131" i="174"/>
  <c r="J129" i="174"/>
  <c r="L125" i="174"/>
  <c r="K125" i="174"/>
  <c r="J123" i="174"/>
  <c r="J117" i="174"/>
  <c r="L110" i="174"/>
  <c r="K110" i="174"/>
  <c r="J108" i="174"/>
  <c r="J102" i="174"/>
  <c r="L99" i="174"/>
  <c r="M99" i="174"/>
  <c r="P99" i="174"/>
  <c r="K99" i="174"/>
  <c r="J97" i="174"/>
  <c r="L94" i="174"/>
  <c r="K94" i="174"/>
  <c r="J92" i="174"/>
  <c r="J86" i="174"/>
  <c r="J75" i="174"/>
  <c r="J69" i="174"/>
  <c r="J64" i="174"/>
  <c r="J60" i="174"/>
  <c r="L52" i="174"/>
  <c r="M52" i="174"/>
  <c r="K52" i="174"/>
  <c r="L33" i="174"/>
  <c r="J50" i="174"/>
  <c r="J45" i="174"/>
  <c r="J37" i="174"/>
  <c r="J31" i="174"/>
  <c r="J25" i="174"/>
  <c r="J19" i="174"/>
  <c r="J13" i="174"/>
  <c r="O163" i="173"/>
  <c r="G75" i="173"/>
  <c r="G77" i="173" s="1"/>
  <c r="G54" i="173"/>
  <c r="G56" i="173" s="1"/>
  <c r="H75" i="173"/>
  <c r="H54" i="173"/>
  <c r="H56" i="173" s="1"/>
  <c r="I75" i="173"/>
  <c r="I54" i="173"/>
  <c r="I56" i="173" s="1"/>
  <c r="J75" i="173"/>
  <c r="J54" i="173"/>
  <c r="J56" i="173" s="1"/>
  <c r="K75" i="173"/>
  <c r="K54" i="173"/>
  <c r="K56" i="173" s="1"/>
  <c r="L75" i="173"/>
  <c r="L54" i="173"/>
  <c r="L56" i="173" s="1"/>
  <c r="M75" i="173"/>
  <c r="M54" i="173"/>
  <c r="M56" i="173" s="1"/>
  <c r="N75" i="173"/>
  <c r="N77" i="173" s="1"/>
  <c r="N54" i="173"/>
  <c r="N56" i="173" s="1"/>
  <c r="F150" i="173"/>
  <c r="F75" i="173"/>
  <c r="F77" i="173" s="1"/>
  <c r="O153" i="173"/>
  <c r="O141" i="173"/>
  <c r="O133" i="173"/>
  <c r="L135" i="173"/>
  <c r="O128" i="173"/>
  <c r="G130" i="173"/>
  <c r="O130" i="173" s="1"/>
  <c r="O122" i="173"/>
  <c r="O113" i="173"/>
  <c r="O108" i="173"/>
  <c r="L110" i="173"/>
  <c r="G110" i="173"/>
  <c r="O102" i="173"/>
  <c r="O91" i="173"/>
  <c r="O86" i="173"/>
  <c r="L88" i="173"/>
  <c r="J88" i="173"/>
  <c r="G88" i="173"/>
  <c r="O80" i="173"/>
  <c r="O69" i="173"/>
  <c r="O64" i="173"/>
  <c r="O59" i="173"/>
  <c r="F54" i="173"/>
  <c r="F56" i="173" s="1"/>
  <c r="O49" i="173"/>
  <c r="G51" i="173"/>
  <c r="O51" i="173" s="1"/>
  <c r="O44" i="173"/>
  <c r="O37" i="173"/>
  <c r="O31" i="173"/>
  <c r="O25" i="173"/>
  <c r="O19" i="173"/>
  <c r="O13" i="173"/>
  <c r="M58" i="113"/>
  <c r="M59" i="113"/>
  <c r="M60" i="113"/>
  <c r="M63" i="113"/>
  <c r="K303" i="105"/>
  <c r="L303" i="105"/>
  <c r="M303" i="105"/>
  <c r="N303" i="105"/>
  <c r="J303" i="105"/>
  <c r="I312" i="105"/>
  <c r="L264" i="177"/>
  <c r="N455" i="105"/>
  <c r="I455" i="105" s="1"/>
  <c r="K233" i="105"/>
  <c r="K116" i="105"/>
  <c r="L233" i="105"/>
  <c r="L116" i="105"/>
  <c r="M233" i="105"/>
  <c r="M116" i="105"/>
  <c r="N233" i="105"/>
  <c r="N116" i="105"/>
  <c r="N117" i="105" s="1"/>
  <c r="J233" i="105"/>
  <c r="J116" i="105"/>
  <c r="N196" i="105"/>
  <c r="I196" i="105" s="1"/>
  <c r="G128" i="144"/>
  <c r="S35" i="160"/>
  <c r="V35" i="160" s="1"/>
  <c r="T35" i="160"/>
  <c r="L53" i="177"/>
  <c r="H88" i="175"/>
  <c r="H133" i="175" s="1"/>
  <c r="L98" i="175"/>
  <c r="L99" i="175"/>
  <c r="L100" i="175"/>
  <c r="L123" i="175"/>
  <c r="L12" i="175"/>
  <c r="L15" i="175"/>
  <c r="L13" i="175"/>
  <c r="L18" i="175"/>
  <c r="L19" i="175"/>
  <c r="L20" i="175"/>
  <c r="L22" i="175"/>
  <c r="L23" i="175"/>
  <c r="L27" i="175"/>
  <c r="L29" i="175"/>
  <c r="L31" i="175"/>
  <c r="L32" i="175"/>
  <c r="L33" i="175"/>
  <c r="L34" i="175"/>
  <c r="L35" i="175"/>
  <c r="L36" i="175"/>
  <c r="L38" i="175"/>
  <c r="L39" i="175"/>
  <c r="L41" i="175"/>
  <c r="L42" i="175"/>
  <c r="L46" i="175"/>
  <c r="L49" i="175"/>
  <c r="L50" i="175"/>
  <c r="L52" i="175"/>
  <c r="L54" i="175"/>
  <c r="L56" i="175"/>
  <c r="L58" i="175"/>
  <c r="L64" i="175"/>
  <c r="L66" i="175"/>
  <c r="L67" i="175"/>
  <c r="L69" i="175"/>
  <c r="L70" i="175"/>
  <c r="L71" i="175"/>
  <c r="L72" i="175"/>
  <c r="L77" i="175"/>
  <c r="L78" i="175"/>
  <c r="L79" i="175"/>
  <c r="L82" i="175"/>
  <c r="L83" i="175"/>
  <c r="L90" i="175"/>
  <c r="L91" i="175"/>
  <c r="L92" i="175"/>
  <c r="L97" i="175"/>
  <c r="L101" i="175"/>
  <c r="L102" i="175"/>
  <c r="L116" i="175"/>
  <c r="L117" i="175"/>
  <c r="F140" i="175"/>
  <c r="T33" i="160"/>
  <c r="V33" i="160" s="1"/>
  <c r="M33" i="160"/>
  <c r="O33" i="160" s="1"/>
  <c r="K79" i="149"/>
  <c r="N79" i="149"/>
  <c r="P70" i="149"/>
  <c r="E68" i="149" s="1"/>
  <c r="P69" i="149"/>
  <c r="P65" i="149"/>
  <c r="P62" i="149"/>
  <c r="E60" i="149" s="1"/>
  <c r="P61" i="149"/>
  <c r="P57" i="149"/>
  <c r="P53" i="149"/>
  <c r="P46" i="149"/>
  <c r="E44" i="149" s="1"/>
  <c r="P49" i="149"/>
  <c r="P45" i="149"/>
  <c r="P41" i="149"/>
  <c r="P73" i="149"/>
  <c r="L258" i="177"/>
  <c r="L253" i="177"/>
  <c r="L248" i="177"/>
  <c r="L243" i="177"/>
  <c r="L238" i="177"/>
  <c r="L233" i="177"/>
  <c r="L228" i="177"/>
  <c r="L223" i="177"/>
  <c r="L218" i="177"/>
  <c r="L213" i="177"/>
  <c r="L208" i="177"/>
  <c r="L203" i="177"/>
  <c r="L198" i="177"/>
  <c r="L193" i="177"/>
  <c r="L188" i="177"/>
  <c r="L183" i="177"/>
  <c r="L178" i="177"/>
  <c r="L173" i="177"/>
  <c r="L168" i="177"/>
  <c r="L163" i="177"/>
  <c r="L158" i="177"/>
  <c r="L153" i="177"/>
  <c r="L148" i="177"/>
  <c r="L143" i="177"/>
  <c r="L138" i="177"/>
  <c r="L133" i="177"/>
  <c r="L128" i="177"/>
  <c r="L123" i="177"/>
  <c r="L113" i="177"/>
  <c r="L108" i="177"/>
  <c r="L103" i="177"/>
  <c r="L98" i="177"/>
  <c r="L93" i="177"/>
  <c r="L88" i="177"/>
  <c r="L83" i="177"/>
  <c r="L78" i="177"/>
  <c r="L68" i="177"/>
  <c r="L63" i="177"/>
  <c r="L58" i="177"/>
  <c r="L48" i="177"/>
  <c r="L38" i="177"/>
  <c r="L33" i="177"/>
  <c r="L28" i="177"/>
  <c r="L23" i="177"/>
  <c r="L18" i="177"/>
  <c r="L13" i="177"/>
  <c r="L307" i="174"/>
  <c r="M329" i="174"/>
  <c r="N329" i="174"/>
  <c r="O329" i="174"/>
  <c r="P329" i="174"/>
  <c r="P330" i="174" s="1"/>
  <c r="Q329" i="174"/>
  <c r="R329" i="174"/>
  <c r="J289" i="174"/>
  <c r="L268" i="177"/>
  <c r="M34" i="113"/>
  <c r="M33" i="113"/>
  <c r="K57" i="113"/>
  <c r="E26" i="178"/>
  <c r="K53" i="113"/>
  <c r="K37" i="113"/>
  <c r="K27" i="113"/>
  <c r="K18" i="113"/>
  <c r="K17" i="113" s="1"/>
  <c r="K10" i="113"/>
  <c r="F52" i="177"/>
  <c r="F60" i="105"/>
  <c r="G60" i="105"/>
  <c r="G34" i="105"/>
  <c r="K61" i="105"/>
  <c r="L61" i="105"/>
  <c r="M61" i="105"/>
  <c r="N61" i="105"/>
  <c r="J61" i="105"/>
  <c r="G140" i="175"/>
  <c r="G141" i="175" s="1"/>
  <c r="G146" i="175" s="1"/>
  <c r="H140" i="175"/>
  <c r="J140" i="175"/>
  <c r="J141" i="175" s="1"/>
  <c r="J146" i="175" s="1"/>
  <c r="K140" i="175"/>
  <c r="L138" i="175"/>
  <c r="J285" i="174"/>
  <c r="V40" i="160"/>
  <c r="O40" i="160"/>
  <c r="L276" i="177"/>
  <c r="L272" i="177"/>
  <c r="L260" i="177"/>
  <c r="C38" i="106"/>
  <c r="C36" i="106"/>
  <c r="C37" i="106"/>
  <c r="I78" i="174"/>
  <c r="I73" i="174"/>
  <c r="L143" i="175"/>
  <c r="K145" i="175"/>
  <c r="I457" i="105"/>
  <c r="L395" i="105"/>
  <c r="I395" i="105" s="1"/>
  <c r="L495" i="105"/>
  <c r="I495" i="105" s="1"/>
  <c r="I838" i="105"/>
  <c r="I834" i="105"/>
  <c r="I841" i="105"/>
  <c r="I136" i="105"/>
  <c r="I131" i="105"/>
  <c r="I843" i="105"/>
  <c r="H43" i="160"/>
  <c r="H49" i="160" s="1"/>
  <c r="L144" i="175"/>
  <c r="O32" i="160"/>
  <c r="O43" i="160"/>
  <c r="I303" i="174"/>
  <c r="I326" i="174" s="1"/>
  <c r="H303" i="174"/>
  <c r="H326" i="174" s="1"/>
  <c r="G303" i="174"/>
  <c r="G326" i="174" s="1"/>
  <c r="J281" i="174"/>
  <c r="I392" i="105"/>
  <c r="F34" i="114"/>
  <c r="F36" i="114"/>
  <c r="G36" i="114" s="1"/>
  <c r="F37" i="114"/>
  <c r="G37" i="114" s="1"/>
  <c r="F38" i="114"/>
  <c r="G38" i="114" s="1"/>
  <c r="F39" i="114"/>
  <c r="G39" i="114" s="1"/>
  <c r="F33" i="114"/>
  <c r="F18" i="114"/>
  <c r="G18" i="114" s="1"/>
  <c r="F19" i="114"/>
  <c r="G19" i="114" s="1"/>
  <c r="F20" i="114"/>
  <c r="G20" i="114" s="1"/>
  <c r="F21" i="114"/>
  <c r="G21" i="114" s="1"/>
  <c r="F22" i="114"/>
  <c r="G22" i="114" s="1"/>
  <c r="F23" i="114"/>
  <c r="G23" i="114" s="1"/>
  <c r="F24" i="114"/>
  <c r="G24" i="114" s="1"/>
  <c r="F25" i="114"/>
  <c r="G25" i="114" s="1"/>
  <c r="F27" i="114"/>
  <c r="G27" i="114" s="1"/>
  <c r="F28" i="114"/>
  <c r="G28" i="114" s="1"/>
  <c r="F29" i="114"/>
  <c r="G29" i="114" s="1"/>
  <c r="F17" i="114"/>
  <c r="E11" i="114"/>
  <c r="E41" i="114" s="1"/>
  <c r="D11" i="114"/>
  <c r="F12" i="114"/>
  <c r="G12" i="114" s="1"/>
  <c r="F13" i="114"/>
  <c r="G13" i="114" s="1"/>
  <c r="F14" i="114"/>
  <c r="F15" i="114"/>
  <c r="G15" i="114" s="1"/>
  <c r="O195" i="144"/>
  <c r="O190" i="144"/>
  <c r="O185" i="144"/>
  <c r="O180" i="144"/>
  <c r="O175" i="144"/>
  <c r="O170" i="144"/>
  <c r="O165" i="144"/>
  <c r="O160" i="144"/>
  <c r="O155" i="144"/>
  <c r="O150" i="144"/>
  <c r="O145" i="144"/>
  <c r="O140" i="144"/>
  <c r="O135" i="144"/>
  <c r="O130" i="144"/>
  <c r="O125" i="144"/>
  <c r="O120" i="144"/>
  <c r="O115" i="144"/>
  <c r="O110" i="144"/>
  <c r="O105" i="144"/>
  <c r="O100" i="144"/>
  <c r="O95" i="144"/>
  <c r="O90" i="144"/>
  <c r="O85" i="144"/>
  <c r="O80" i="144"/>
  <c r="O75" i="144"/>
  <c r="O70" i="144"/>
  <c r="O65" i="144"/>
  <c r="O60" i="144"/>
  <c r="O55" i="144"/>
  <c r="O50" i="144"/>
  <c r="O45" i="144"/>
  <c r="O40" i="144"/>
  <c r="O35" i="144"/>
  <c r="O30" i="144"/>
  <c r="O25" i="144"/>
  <c r="O15" i="144"/>
  <c r="O176" i="144"/>
  <c r="O121" i="144"/>
  <c r="E118" i="144" s="1"/>
  <c r="O103" i="144"/>
  <c r="O51" i="144"/>
  <c r="D38" i="178"/>
  <c r="K339" i="177"/>
  <c r="J339" i="177"/>
  <c r="I339" i="177"/>
  <c r="L255" i="177"/>
  <c r="L250" i="177"/>
  <c r="L245" i="177"/>
  <c r="L240" i="177"/>
  <c r="L235" i="177"/>
  <c r="L230" i="177"/>
  <c r="L225" i="177"/>
  <c r="L220" i="177"/>
  <c r="L215" i="177"/>
  <c r="L210" i="177"/>
  <c r="L205" i="177"/>
  <c r="L200" i="177"/>
  <c r="L195" i="177"/>
  <c r="L190" i="177"/>
  <c r="L185" i="177"/>
  <c r="G182" i="177"/>
  <c r="K181" i="177"/>
  <c r="L180" i="177"/>
  <c r="K176" i="177"/>
  <c r="L175" i="177"/>
  <c r="L170" i="177"/>
  <c r="L165" i="177"/>
  <c r="L160" i="177"/>
  <c r="L155" i="177"/>
  <c r="L150" i="177"/>
  <c r="L145" i="177"/>
  <c r="L140" i="177"/>
  <c r="L135" i="177"/>
  <c r="L130" i="177"/>
  <c r="K126" i="177"/>
  <c r="L120" i="177"/>
  <c r="L118" i="177"/>
  <c r="L115" i="177"/>
  <c r="L110" i="177"/>
  <c r="L105" i="177"/>
  <c r="F102" i="177"/>
  <c r="L100" i="177"/>
  <c r="F97" i="177"/>
  <c r="K96" i="177"/>
  <c r="L95" i="177"/>
  <c r="L90" i="177"/>
  <c r="F87" i="177"/>
  <c r="L85" i="177"/>
  <c r="L80" i="177"/>
  <c r="L75" i="177"/>
  <c r="L73" i="177"/>
  <c r="L70" i="177"/>
  <c r="F67" i="177"/>
  <c r="L65" i="177"/>
  <c r="F62" i="177"/>
  <c r="L60" i="177"/>
  <c r="F57" i="177"/>
  <c r="L55" i="177"/>
  <c r="L50" i="177"/>
  <c r="L45" i="177"/>
  <c r="L43" i="177"/>
  <c r="L40" i="177"/>
  <c r="L35" i="177"/>
  <c r="L30" i="177"/>
  <c r="L25" i="177"/>
  <c r="G22" i="177"/>
  <c r="L20" i="177"/>
  <c r="G17" i="177"/>
  <c r="F17" i="177"/>
  <c r="K16" i="177"/>
  <c r="L71" i="177"/>
  <c r="J118" i="148"/>
  <c r="K118" i="148"/>
  <c r="L118" i="148"/>
  <c r="N118" i="148"/>
  <c r="J178" i="149"/>
  <c r="L178" i="149"/>
  <c r="N178" i="149"/>
  <c r="O178" i="149"/>
  <c r="I178" i="149"/>
  <c r="P175" i="149"/>
  <c r="P176" i="149"/>
  <c r="P170" i="149"/>
  <c r="P165" i="149"/>
  <c r="P160" i="149"/>
  <c r="P155" i="149"/>
  <c r="P150" i="149"/>
  <c r="P145" i="149"/>
  <c r="P140" i="149"/>
  <c r="P135" i="149"/>
  <c r="P130" i="149"/>
  <c r="P125" i="149"/>
  <c r="P120" i="149"/>
  <c r="P121" i="149"/>
  <c r="P115" i="149"/>
  <c r="P109" i="149"/>
  <c r="P110" i="149" s="1"/>
  <c r="P84" i="149"/>
  <c r="P85" i="149" s="1"/>
  <c r="J76" i="149"/>
  <c r="L76" i="149"/>
  <c r="L218" i="149" s="1"/>
  <c r="M76" i="149"/>
  <c r="N76" i="149"/>
  <c r="O76" i="149"/>
  <c r="I76" i="149"/>
  <c r="P33" i="149"/>
  <c r="P28" i="149"/>
  <c r="P23" i="149"/>
  <c r="P24" i="149"/>
  <c r="E21" i="149" s="1"/>
  <c r="P16" i="149"/>
  <c r="J115" i="148"/>
  <c r="L115" i="148"/>
  <c r="N115" i="148"/>
  <c r="I115" i="148"/>
  <c r="O74" i="148"/>
  <c r="O69" i="148"/>
  <c r="O64" i="148"/>
  <c r="O59" i="148"/>
  <c r="O54" i="148"/>
  <c r="O49" i="148"/>
  <c r="O44" i="148"/>
  <c r="O39" i="148"/>
  <c r="O34" i="148"/>
  <c r="O29" i="148"/>
  <c r="O24" i="148"/>
  <c r="O19" i="148"/>
  <c r="O14" i="148"/>
  <c r="O35" i="148"/>
  <c r="E32" i="148" s="1"/>
  <c r="J138" i="176"/>
  <c r="L31" i="115" s="1"/>
  <c r="M31" i="115" s="1"/>
  <c r="I19" i="178" s="1"/>
  <c r="I138" i="176"/>
  <c r="I139" i="176" s="1"/>
  <c r="K133" i="176"/>
  <c r="K124" i="176"/>
  <c r="K122" i="176"/>
  <c r="K118" i="176"/>
  <c r="K116" i="176"/>
  <c r="K111" i="176"/>
  <c r="K109" i="176"/>
  <c r="K104" i="176"/>
  <c r="K102" i="176"/>
  <c r="E96" i="176"/>
  <c r="K99" i="176"/>
  <c r="K97" i="176"/>
  <c r="K92" i="176"/>
  <c r="K90" i="176"/>
  <c r="K87" i="176"/>
  <c r="K85" i="176"/>
  <c r="K80" i="176"/>
  <c r="K78" i="176"/>
  <c r="K74" i="176"/>
  <c r="K72" i="176"/>
  <c r="K67" i="176"/>
  <c r="K65" i="176"/>
  <c r="K61" i="176"/>
  <c r="K59" i="176"/>
  <c r="K55" i="176"/>
  <c r="K53" i="176"/>
  <c r="K49" i="176"/>
  <c r="K47" i="176"/>
  <c r="K42" i="176"/>
  <c r="K39" i="176"/>
  <c r="K37" i="176"/>
  <c r="K32" i="176"/>
  <c r="K29" i="176"/>
  <c r="K27" i="176"/>
  <c r="K24" i="176"/>
  <c r="K22" i="176"/>
  <c r="K19" i="176"/>
  <c r="K17" i="176"/>
  <c r="K14" i="176"/>
  <c r="K12" i="176"/>
  <c r="K134" i="176"/>
  <c r="E131" i="176" s="1"/>
  <c r="E115" i="176"/>
  <c r="L139" i="175"/>
  <c r="L137" i="175"/>
  <c r="L136" i="175"/>
  <c r="L135" i="175"/>
  <c r="R321" i="174"/>
  <c r="Q321" i="174"/>
  <c r="P321" i="174"/>
  <c r="O321" i="174"/>
  <c r="N321" i="174"/>
  <c r="M321" i="174"/>
  <c r="L321" i="174"/>
  <c r="K321" i="174"/>
  <c r="I320" i="174"/>
  <c r="H320" i="174"/>
  <c r="G320" i="174"/>
  <c r="R304" i="174"/>
  <c r="R327" i="174" s="1"/>
  <c r="Q304" i="174"/>
  <c r="Q327" i="174" s="1"/>
  <c r="P304" i="174"/>
  <c r="P327" i="174" s="1"/>
  <c r="O304" i="174"/>
  <c r="O327" i="174" s="1"/>
  <c r="N304" i="174"/>
  <c r="N327" i="174" s="1"/>
  <c r="M304" i="174"/>
  <c r="M327" i="174" s="1"/>
  <c r="J277" i="174"/>
  <c r="J271" i="174"/>
  <c r="J269" i="174"/>
  <c r="J266" i="174"/>
  <c r="J264" i="174"/>
  <c r="J260" i="174"/>
  <c r="J258" i="174"/>
  <c r="J255" i="174"/>
  <c r="J253" i="174"/>
  <c r="J249" i="174"/>
  <c r="J247" i="174"/>
  <c r="J244" i="174"/>
  <c r="J242" i="174"/>
  <c r="J236" i="174"/>
  <c r="J234" i="174"/>
  <c r="J231" i="174"/>
  <c r="J229" i="174"/>
  <c r="J226" i="174"/>
  <c r="J224" i="174"/>
  <c r="J219" i="174"/>
  <c r="J217" i="174"/>
  <c r="J214" i="174"/>
  <c r="J212" i="174"/>
  <c r="J209" i="174"/>
  <c r="J207" i="174"/>
  <c r="J200" i="174"/>
  <c r="J198" i="174"/>
  <c r="J195" i="174"/>
  <c r="J193" i="174"/>
  <c r="J190" i="174"/>
  <c r="K188" i="174"/>
  <c r="K304" i="174" s="1"/>
  <c r="K327" i="174" s="1"/>
  <c r="J179" i="174"/>
  <c r="J177" i="174"/>
  <c r="R172" i="174"/>
  <c r="Q172" i="174"/>
  <c r="P172" i="174"/>
  <c r="O172" i="174"/>
  <c r="N172" i="174"/>
  <c r="M172" i="174"/>
  <c r="I171" i="174"/>
  <c r="H171" i="174"/>
  <c r="G171" i="174"/>
  <c r="J168" i="174"/>
  <c r="J166" i="174"/>
  <c r="J160" i="174"/>
  <c r="J158" i="174"/>
  <c r="J155" i="174"/>
  <c r="J153" i="174"/>
  <c r="J150" i="174"/>
  <c r="J148" i="174"/>
  <c r="J140" i="174"/>
  <c r="J138" i="174"/>
  <c r="J135" i="174"/>
  <c r="L133" i="174"/>
  <c r="K133" i="174"/>
  <c r="J130" i="174"/>
  <c r="J128" i="174"/>
  <c r="J124" i="174"/>
  <c r="J122" i="174"/>
  <c r="J119" i="174"/>
  <c r="J118" i="174"/>
  <c r="L116" i="174"/>
  <c r="K116" i="174"/>
  <c r="J109" i="174"/>
  <c r="J107" i="174"/>
  <c r="J104" i="174"/>
  <c r="J103" i="174"/>
  <c r="L101" i="174"/>
  <c r="K101" i="174"/>
  <c r="J98" i="174"/>
  <c r="J96" i="174"/>
  <c r="J93" i="174"/>
  <c r="J91" i="174"/>
  <c r="J87" i="174"/>
  <c r="L85" i="174"/>
  <c r="K85" i="174"/>
  <c r="R80" i="174"/>
  <c r="Q80" i="174"/>
  <c r="P80" i="174"/>
  <c r="O80" i="174"/>
  <c r="N80" i="174"/>
  <c r="M80" i="174"/>
  <c r="L80" i="174"/>
  <c r="K80" i="174"/>
  <c r="H79" i="174"/>
  <c r="G79" i="174"/>
  <c r="J76" i="174"/>
  <c r="J74" i="174"/>
  <c r="J70" i="174"/>
  <c r="J68" i="174"/>
  <c r="J65" i="174"/>
  <c r="J61" i="174"/>
  <c r="J59" i="174"/>
  <c r="R54" i="174"/>
  <c r="Q54" i="174"/>
  <c r="P54" i="174"/>
  <c r="O54" i="174"/>
  <c r="N54" i="174"/>
  <c r="M54" i="174"/>
  <c r="L54" i="174"/>
  <c r="K54" i="174"/>
  <c r="I53" i="174"/>
  <c r="H53" i="174"/>
  <c r="G53" i="174"/>
  <c r="J51" i="174"/>
  <c r="J49" i="174"/>
  <c r="J46" i="174"/>
  <c r="J44" i="174"/>
  <c r="J38" i="174"/>
  <c r="J36" i="174"/>
  <c r="J30" i="174"/>
  <c r="J26" i="174"/>
  <c r="J24" i="174"/>
  <c r="J18" i="174"/>
  <c r="J12" i="174"/>
  <c r="O164" i="173"/>
  <c r="O162" i="173"/>
  <c r="O154" i="173"/>
  <c r="O152" i="173"/>
  <c r="N147" i="173"/>
  <c r="M147" i="173"/>
  <c r="K147" i="173"/>
  <c r="J147" i="173"/>
  <c r="I147" i="173"/>
  <c r="H147" i="173"/>
  <c r="G147" i="173"/>
  <c r="F147" i="173"/>
  <c r="O142" i="173"/>
  <c r="O140" i="173"/>
  <c r="F135" i="173"/>
  <c r="O134" i="173"/>
  <c r="O132" i="173"/>
  <c r="O129" i="173"/>
  <c r="O127" i="173"/>
  <c r="O124" i="173"/>
  <c r="O121" i="173"/>
  <c r="O114" i="173"/>
  <c r="O112" i="173"/>
  <c r="O109" i="173"/>
  <c r="L107" i="173"/>
  <c r="O107" i="173" s="1"/>
  <c r="O104" i="173"/>
  <c r="O103" i="173"/>
  <c r="O101" i="173"/>
  <c r="O94" i="173"/>
  <c r="O93" i="173"/>
  <c r="O92" i="173"/>
  <c r="O90" i="173"/>
  <c r="O87" i="173"/>
  <c r="O85" i="173"/>
  <c r="O81" i="173"/>
  <c r="O79" i="173"/>
  <c r="N74" i="173"/>
  <c r="M74" i="173"/>
  <c r="L74" i="173"/>
  <c r="K74" i="173"/>
  <c r="J74" i="173"/>
  <c r="I74" i="173"/>
  <c r="H74" i="173"/>
  <c r="G74" i="173"/>
  <c r="F74" i="173"/>
  <c r="O70" i="173"/>
  <c r="O68" i="173"/>
  <c r="O65" i="173"/>
  <c r="O63" i="173"/>
  <c r="O60" i="173"/>
  <c r="O58" i="173"/>
  <c r="N53" i="173"/>
  <c r="M53" i="173"/>
  <c r="L53" i="173"/>
  <c r="K53" i="173"/>
  <c r="J53" i="173"/>
  <c r="I53" i="173"/>
  <c r="H53" i="173"/>
  <c r="G53" i="173"/>
  <c r="F53" i="173"/>
  <c r="O50" i="173"/>
  <c r="O48" i="173"/>
  <c r="O45" i="173"/>
  <c r="O43" i="173"/>
  <c r="O36" i="173"/>
  <c r="O32" i="173"/>
  <c r="O30" i="173"/>
  <c r="O26" i="173"/>
  <c r="O24" i="173"/>
  <c r="O18" i="173"/>
  <c r="O14" i="173"/>
  <c r="O12" i="173"/>
  <c r="J66" i="174"/>
  <c r="M12" i="115"/>
  <c r="M13" i="115"/>
  <c r="I510" i="105"/>
  <c r="I509" i="105"/>
  <c r="I43" i="105"/>
  <c r="I78" i="105"/>
  <c r="I110" i="105"/>
  <c r="I126" i="105"/>
  <c r="I161" i="105"/>
  <c r="I178" i="105"/>
  <c r="I184" i="105"/>
  <c r="I533" i="105"/>
  <c r="I691" i="105"/>
  <c r="I502" i="105"/>
  <c r="I31" i="105"/>
  <c r="I17" i="105"/>
  <c r="I13" i="105"/>
  <c r="I22" i="105"/>
  <c r="I994" i="105"/>
  <c r="I989" i="105"/>
  <c r="I821" i="105"/>
  <c r="I830" i="105"/>
  <c r="I825" i="105"/>
  <c r="I820" i="105"/>
  <c r="I815" i="105"/>
  <c r="I810" i="105"/>
  <c r="I805" i="105"/>
  <c r="I800" i="105"/>
  <c r="I828" i="105"/>
  <c r="I795" i="105"/>
  <c r="I790" i="105"/>
  <c r="I785" i="105"/>
  <c r="I780" i="105"/>
  <c r="I775" i="105"/>
  <c r="I770" i="105"/>
  <c r="I765" i="105"/>
  <c r="I760" i="105"/>
  <c r="I755" i="105"/>
  <c r="I750" i="105"/>
  <c r="I745" i="105"/>
  <c r="I740" i="105"/>
  <c r="I735" i="105"/>
  <c r="I730" i="105"/>
  <c r="I711" i="105"/>
  <c r="I725" i="105"/>
  <c r="I720" i="105"/>
  <c r="I715" i="105"/>
  <c r="I710" i="105"/>
  <c r="I705" i="105"/>
  <c r="I695" i="105"/>
  <c r="I682" i="105"/>
  <c r="I662" i="105"/>
  <c r="I652" i="105"/>
  <c r="I686" i="105"/>
  <c r="I681" i="105"/>
  <c r="I676" i="105"/>
  <c r="I671" i="105"/>
  <c r="I666" i="105"/>
  <c r="I661" i="105"/>
  <c r="I656" i="105"/>
  <c r="I651" i="105"/>
  <c r="I627" i="105"/>
  <c r="I646" i="105"/>
  <c r="I641" i="105"/>
  <c r="I636" i="105"/>
  <c r="I631" i="105"/>
  <c r="I626" i="105"/>
  <c r="I621" i="105"/>
  <c r="I616" i="105"/>
  <c r="I612" i="105"/>
  <c r="I607" i="105"/>
  <c r="I611" i="105"/>
  <c r="I606" i="105"/>
  <c r="I601" i="105"/>
  <c r="I591" i="105"/>
  <c r="I595" i="105"/>
  <c r="I590" i="105"/>
  <c r="I585" i="105"/>
  <c r="I580" i="105"/>
  <c r="I574" i="105"/>
  <c r="I569" i="105"/>
  <c r="I564" i="105"/>
  <c r="I559" i="105"/>
  <c r="I554" i="105"/>
  <c r="I549" i="105"/>
  <c r="I544" i="105"/>
  <c r="I539" i="105"/>
  <c r="I482" i="105"/>
  <c r="I528" i="105"/>
  <c r="I523" i="105"/>
  <c r="I518" i="105"/>
  <c r="I513" i="105"/>
  <c r="I497" i="105"/>
  <c r="I492" i="105"/>
  <c r="I487" i="105"/>
  <c r="I478" i="105"/>
  <c r="I477" i="105"/>
  <c r="I473" i="105"/>
  <c r="I472" i="105"/>
  <c r="I467" i="105"/>
  <c r="I462" i="105"/>
  <c r="I452" i="105"/>
  <c r="I447" i="105"/>
  <c r="I442" i="105"/>
  <c r="I437" i="105"/>
  <c r="I432" i="105"/>
  <c r="I423" i="105"/>
  <c r="I413" i="105"/>
  <c r="I398" i="105"/>
  <c r="I427" i="105"/>
  <c r="I422" i="105"/>
  <c r="I417" i="105"/>
  <c r="I412" i="105"/>
  <c r="I407" i="105"/>
  <c r="I402" i="105"/>
  <c r="I397" i="105"/>
  <c r="I387" i="105"/>
  <c r="I382" i="105"/>
  <c r="I377" i="105"/>
  <c r="I372" i="105"/>
  <c r="I367" i="105"/>
  <c r="I362" i="105"/>
  <c r="I357" i="105"/>
  <c r="I353" i="105"/>
  <c r="I352" i="105"/>
  <c r="I347" i="105"/>
  <c r="I342" i="105"/>
  <c r="I337" i="105"/>
  <c r="I332" i="105"/>
  <c r="I327" i="105"/>
  <c r="I322" i="105"/>
  <c r="I317" i="105"/>
  <c r="I308" i="105"/>
  <c r="I289" i="105"/>
  <c r="I298" i="105"/>
  <c r="I293" i="105"/>
  <c r="I288" i="105"/>
  <c r="I283" i="105"/>
  <c r="I279" i="105"/>
  <c r="I278" i="105"/>
  <c r="I273" i="105"/>
  <c r="I268" i="105"/>
  <c r="I263" i="105"/>
  <c r="I244" i="105"/>
  <c r="I253" i="105"/>
  <c r="I248" i="105"/>
  <c r="I243" i="105"/>
  <c r="I238" i="105"/>
  <c r="I228" i="105"/>
  <c r="I223" i="105"/>
  <c r="I218" i="105"/>
  <c r="I213" i="105"/>
  <c r="I208" i="105"/>
  <c r="I203" i="105"/>
  <c r="I198" i="105"/>
  <c r="I193" i="105"/>
  <c r="I173" i="105"/>
  <c r="I169" i="105"/>
  <c r="I168" i="105"/>
  <c r="I156" i="105"/>
  <c r="I151" i="105"/>
  <c r="I146" i="105"/>
  <c r="I122" i="105"/>
  <c r="I129" i="105"/>
  <c r="I134" i="105"/>
  <c r="I139" i="105"/>
  <c r="I141" i="105"/>
  <c r="I121" i="105"/>
  <c r="I59" i="105"/>
  <c r="I96" i="105"/>
  <c r="I105" i="105"/>
  <c r="I100" i="105"/>
  <c r="I95" i="105"/>
  <c r="I90" i="105"/>
  <c r="I73" i="105"/>
  <c r="I68" i="105"/>
  <c r="I58" i="105"/>
  <c r="I53" i="105"/>
  <c r="I47" i="105"/>
  <c r="I26" i="105"/>
  <c r="M40" i="115"/>
  <c r="I28" i="178" s="1"/>
  <c r="M38" i="115"/>
  <c r="I25" i="178" s="1"/>
  <c r="L36" i="115"/>
  <c r="L32" i="115"/>
  <c r="M32" i="115"/>
  <c r="M27" i="115"/>
  <c r="L23" i="115"/>
  <c r="L16" i="115" s="1"/>
  <c r="M18" i="115"/>
  <c r="M19" i="115"/>
  <c r="M20" i="115"/>
  <c r="M21" i="115"/>
  <c r="M22" i="115"/>
  <c r="L11" i="115"/>
  <c r="L9" i="115" s="1"/>
  <c r="M10" i="115"/>
  <c r="M14" i="113"/>
  <c r="M64" i="113"/>
  <c r="L61" i="113"/>
  <c r="K61" i="113"/>
  <c r="L57" i="113"/>
  <c r="M55" i="113"/>
  <c r="M56" i="113"/>
  <c r="L53" i="113"/>
  <c r="L46" i="113"/>
  <c r="M46" i="113"/>
  <c r="E19" i="178" s="1"/>
  <c r="M43" i="113"/>
  <c r="M42" i="113"/>
  <c r="L41" i="113"/>
  <c r="M40" i="113"/>
  <c r="M39" i="113"/>
  <c r="M37" i="113" s="1"/>
  <c r="L37" i="113"/>
  <c r="M32" i="113"/>
  <c r="M29" i="113"/>
  <c r="M31" i="113"/>
  <c r="M28" i="113"/>
  <c r="L27" i="113"/>
  <c r="L18" i="113"/>
  <c r="L17" i="113" s="1"/>
  <c r="M20" i="113"/>
  <c r="M24" i="113"/>
  <c r="M21" i="113"/>
  <c r="M22" i="113"/>
  <c r="M23" i="113"/>
  <c r="M25" i="113"/>
  <c r="M26" i="113"/>
  <c r="M19" i="113"/>
  <c r="M15" i="113"/>
  <c r="G86" i="172"/>
  <c r="C20" i="172"/>
  <c r="G82" i="172"/>
  <c r="C82" i="172"/>
  <c r="E80" i="172"/>
  <c r="D80" i="172"/>
  <c r="C80" i="172"/>
  <c r="D76" i="172"/>
  <c r="C76" i="172"/>
  <c r="G75" i="172"/>
  <c r="C75" i="172"/>
  <c r="F73" i="172"/>
  <c r="E73" i="172"/>
  <c r="D73" i="172"/>
  <c r="C73" i="172"/>
  <c r="C69" i="172"/>
  <c r="C55" i="172"/>
  <c r="F54" i="172"/>
  <c r="E54" i="172"/>
  <c r="D54" i="172"/>
  <c r="C54" i="172"/>
  <c r="D50" i="172"/>
  <c r="C50" i="172"/>
  <c r="C31" i="172"/>
  <c r="D23" i="172"/>
  <c r="C23" i="172"/>
  <c r="F21" i="172"/>
  <c r="E21" i="172"/>
  <c r="D21" i="172"/>
  <c r="C21" i="172"/>
  <c r="L445" i="105"/>
  <c r="I445" i="105" s="1"/>
  <c r="V43" i="160"/>
  <c r="V39" i="160"/>
  <c r="O39" i="160"/>
  <c r="T38" i="160"/>
  <c r="V38" i="160" s="1"/>
  <c r="V37" i="160"/>
  <c r="O37" i="160"/>
  <c r="O36" i="160"/>
  <c r="M35" i="160"/>
  <c r="L35" i="160"/>
  <c r="L49" i="160" s="1"/>
  <c r="V34" i="160"/>
  <c r="O34" i="160"/>
  <c r="V32" i="160"/>
  <c r="V31" i="160"/>
  <c r="O30" i="160"/>
  <c r="T29" i="160"/>
  <c r="V29" i="160" s="1"/>
  <c r="O29" i="160"/>
  <c r="S27" i="160"/>
  <c r="V27" i="160" s="1"/>
  <c r="O27" i="160"/>
  <c r="T26" i="160"/>
  <c r="V26" i="160" s="1"/>
  <c r="O26" i="160"/>
  <c r="T25" i="160"/>
  <c r="V25" i="160" s="1"/>
  <c r="M25" i="160"/>
  <c r="O25" i="160" s="1"/>
  <c r="V24" i="160"/>
  <c r="O24" i="160"/>
  <c r="V23" i="160"/>
  <c r="O23" i="160"/>
  <c r="O21" i="160"/>
  <c r="V20" i="160"/>
  <c r="V19" i="160"/>
  <c r="V18" i="160"/>
  <c r="O18" i="160"/>
  <c r="T17" i="160"/>
  <c r="V17" i="160" s="1"/>
  <c r="O17" i="160"/>
  <c r="V16" i="160"/>
  <c r="O16" i="160"/>
  <c r="V15" i="160"/>
  <c r="O15" i="160"/>
  <c r="O14" i="160"/>
  <c r="V13" i="160"/>
  <c r="O13" i="160"/>
  <c r="F18" i="144"/>
  <c r="G28" i="144"/>
  <c r="G78" i="144"/>
  <c r="K14" i="149"/>
  <c r="K76" i="149" s="1"/>
  <c r="I475" i="105"/>
  <c r="I400" i="105"/>
  <c r="I405" i="105"/>
  <c r="I410" i="105"/>
  <c r="I415" i="105"/>
  <c r="I420" i="105"/>
  <c r="I425" i="105"/>
  <c r="I849" i="105"/>
  <c r="I430" i="105"/>
  <c r="I435" i="105"/>
  <c r="I440" i="105"/>
  <c r="I450" i="105"/>
  <c r="I460" i="105"/>
  <c r="I465" i="105"/>
  <c r="I470" i="105"/>
  <c r="I857" i="105"/>
  <c r="I480" i="105"/>
  <c r="I485" i="105"/>
  <c r="I490" i="105"/>
  <c r="I500" i="105"/>
  <c r="I859" i="105"/>
  <c r="I507" i="105"/>
  <c r="I516" i="105"/>
  <c r="I521" i="105"/>
  <c r="I853" i="105"/>
  <c r="I861" i="105"/>
  <c r="I526" i="105"/>
  <c r="I531" i="105"/>
  <c r="I537" i="105"/>
  <c r="I863" i="105"/>
  <c r="I542" i="105"/>
  <c r="I547" i="105"/>
  <c r="I552" i="105"/>
  <c r="I557" i="105"/>
  <c r="I873" i="105"/>
  <c r="I562" i="105"/>
  <c r="I567" i="105"/>
  <c r="I572" i="105"/>
  <c r="N578" i="105"/>
  <c r="I578" i="105" s="1"/>
  <c r="I583" i="105"/>
  <c r="I588" i="105"/>
  <c r="I593" i="105"/>
  <c r="F598" i="105"/>
  <c r="N599" i="105"/>
  <c r="I599" i="105" s="1"/>
  <c r="I604" i="105"/>
  <c r="I609" i="105"/>
  <c r="I851" i="105"/>
  <c r="I614" i="105"/>
  <c r="I619" i="105"/>
  <c r="I624" i="105"/>
  <c r="I629" i="105"/>
  <c r="I634" i="105"/>
  <c r="I639" i="105"/>
  <c r="I644" i="105"/>
  <c r="I649" i="105"/>
  <c r="I654" i="105"/>
  <c r="I659" i="105"/>
  <c r="I664" i="105"/>
  <c r="I669" i="105"/>
  <c r="I674" i="105"/>
  <c r="I679" i="105"/>
  <c r="I684" i="105"/>
  <c r="I689" i="105"/>
  <c r="I865" i="105"/>
  <c r="I867" i="105"/>
  <c r="I869" i="105"/>
  <c r="I871" i="105"/>
  <c r="I875" i="105"/>
  <c r="E697" i="105"/>
  <c r="F697" i="105"/>
  <c r="G697" i="105"/>
  <c r="N698" i="105"/>
  <c r="I698" i="105" s="1"/>
  <c r="I703" i="105"/>
  <c r="I708" i="105"/>
  <c r="I713" i="105"/>
  <c r="I718" i="105"/>
  <c r="I723" i="105"/>
  <c r="L728" i="105"/>
  <c r="I728" i="105" s="1"/>
  <c r="I733" i="105"/>
  <c r="I738" i="105"/>
  <c r="I743" i="105"/>
  <c r="L748" i="105"/>
  <c r="N753" i="105"/>
  <c r="I758" i="105"/>
  <c r="I763" i="105"/>
  <c r="I768" i="105"/>
  <c r="I773" i="105"/>
  <c r="I778" i="105"/>
  <c r="I783" i="105"/>
  <c r="I788" i="105"/>
  <c r="I793" i="105"/>
  <c r="I798" i="105"/>
  <c r="I803" i="105"/>
  <c r="I808" i="105"/>
  <c r="I813" i="105"/>
  <c r="I818" i="105"/>
  <c r="I823" i="105"/>
  <c r="I748" i="105"/>
  <c r="I753" i="105"/>
  <c r="M168" i="149"/>
  <c r="M178" i="149" s="1"/>
  <c r="C13" i="126"/>
  <c r="H17" i="49"/>
  <c r="P15" i="49"/>
  <c r="P14" i="49"/>
  <c r="P13" i="49"/>
  <c r="P12" i="49"/>
  <c r="P10" i="49"/>
  <c r="L9" i="49"/>
  <c r="L17" i="49" s="1"/>
  <c r="G300" i="105"/>
  <c r="F300" i="105"/>
  <c r="F75" i="149"/>
  <c r="G14" i="149"/>
  <c r="G75" i="149" s="1"/>
  <c r="E60" i="105"/>
  <c r="O57" i="148"/>
  <c r="K52" i="148"/>
  <c r="K115" i="148" s="1"/>
  <c r="O52" i="148"/>
  <c r="M30" i="113"/>
  <c r="M54" i="113"/>
  <c r="M53" i="113" s="1"/>
  <c r="O72" i="148"/>
  <c r="O67" i="148"/>
  <c r="O62" i="148"/>
  <c r="I154" i="105"/>
  <c r="I159" i="105"/>
  <c r="I149" i="105"/>
  <c r="I144" i="105"/>
  <c r="I98" i="105"/>
  <c r="I93" i="105"/>
  <c r="I88" i="105"/>
  <c r="M16" i="113"/>
  <c r="H27" i="153"/>
  <c r="G27" i="153"/>
  <c r="E27" i="153"/>
  <c r="F24" i="153"/>
  <c r="F27" i="153"/>
  <c r="F29" i="153" s="1"/>
  <c r="F31" i="153" s="1"/>
  <c r="F32" i="153" s="1"/>
  <c r="H20" i="153"/>
  <c r="G20" i="153"/>
  <c r="F20" i="153"/>
  <c r="E20" i="153"/>
  <c r="H16" i="153"/>
  <c r="G16" i="153"/>
  <c r="G29" i="153" s="1"/>
  <c r="G31" i="153" s="1"/>
  <c r="G32" i="153" s="1"/>
  <c r="F16" i="153"/>
  <c r="E16" i="153"/>
  <c r="E29" i="153" s="1"/>
  <c r="E31" i="153" s="1"/>
  <c r="E32" i="153" s="1"/>
  <c r="D15" i="151"/>
  <c r="D20" i="151" s="1"/>
  <c r="F8" i="150"/>
  <c r="F9" i="150"/>
  <c r="F10" i="150"/>
  <c r="F28" i="150" s="1"/>
  <c r="F33" i="150" s="1"/>
  <c r="F11" i="150"/>
  <c r="F12" i="150"/>
  <c r="F13" i="150"/>
  <c r="F14" i="150"/>
  <c r="F15" i="150"/>
  <c r="F16" i="150"/>
  <c r="F17" i="150"/>
  <c r="F18" i="150"/>
  <c r="F19" i="150"/>
  <c r="F20" i="150"/>
  <c r="F21" i="150"/>
  <c r="F22" i="150"/>
  <c r="F23" i="150"/>
  <c r="F24" i="150"/>
  <c r="F25" i="150"/>
  <c r="F26" i="150"/>
  <c r="F27" i="150"/>
  <c r="D28" i="150"/>
  <c r="D33" i="150" s="1"/>
  <c r="E28" i="150"/>
  <c r="E33" i="150" s="1"/>
  <c r="F29" i="150"/>
  <c r="F30" i="150"/>
  <c r="F31" i="150"/>
  <c r="F32" i="150"/>
  <c r="D35" i="150"/>
  <c r="E35" i="150"/>
  <c r="K82" i="149"/>
  <c r="P82" i="149" s="1"/>
  <c r="P173" i="149"/>
  <c r="P113" i="149"/>
  <c r="P107" i="149"/>
  <c r="P26" i="149"/>
  <c r="P21" i="149"/>
  <c r="M27" i="148"/>
  <c r="O27" i="148" s="1"/>
  <c r="O193" i="144"/>
  <c r="O188" i="144"/>
  <c r="O183" i="144"/>
  <c r="G183" i="144"/>
  <c r="G48" i="144"/>
  <c r="O48" i="144"/>
  <c r="F78" i="144"/>
  <c r="O78" i="144"/>
  <c r="P163" i="149"/>
  <c r="P158" i="149"/>
  <c r="P153" i="149"/>
  <c r="P148" i="149"/>
  <c r="P143" i="149"/>
  <c r="P138" i="149"/>
  <c r="P133" i="149"/>
  <c r="P128" i="149"/>
  <c r="P123" i="149"/>
  <c r="P118" i="149"/>
  <c r="K143" i="144"/>
  <c r="O143" i="144" s="1"/>
  <c r="G143" i="144"/>
  <c r="K133" i="144"/>
  <c r="O133" i="144" s="1"/>
  <c r="G133" i="144"/>
  <c r="G123" i="144"/>
  <c r="G113" i="144"/>
  <c r="M113" i="144"/>
  <c r="G108" i="144"/>
  <c r="M108" i="144"/>
  <c r="O108" i="144" s="1"/>
  <c r="M93" i="144"/>
  <c r="O93" i="144" s="1"/>
  <c r="G93" i="144"/>
  <c r="G88" i="144"/>
  <c r="G73" i="144"/>
  <c r="G68" i="144"/>
  <c r="M68" i="144"/>
  <c r="O68" i="144" s="1"/>
  <c r="G63" i="144"/>
  <c r="M63" i="144"/>
  <c r="O63" i="144" s="1"/>
  <c r="M58" i="144"/>
  <c r="O58" i="144" s="1"/>
  <c r="M53" i="144"/>
  <c r="O53" i="144" s="1"/>
  <c r="M43" i="144"/>
  <c r="O43" i="144" s="1"/>
  <c r="M38" i="144"/>
  <c r="O38" i="144" s="1"/>
  <c r="M33" i="144"/>
  <c r="O33" i="144" s="1"/>
  <c r="M23" i="144"/>
  <c r="O23" i="144" s="1"/>
  <c r="M13" i="144"/>
  <c r="O13" i="144" s="1"/>
  <c r="G27" i="148"/>
  <c r="G22" i="148"/>
  <c r="G12" i="148"/>
  <c r="G17" i="148"/>
  <c r="M22" i="148"/>
  <c r="O47" i="148"/>
  <c r="O42" i="148"/>
  <c r="O37" i="148"/>
  <c r="O32" i="148"/>
  <c r="P206" i="144"/>
  <c r="O98" i="144"/>
  <c r="O178" i="144"/>
  <c r="O173" i="144"/>
  <c r="O168" i="144"/>
  <c r="O163" i="144"/>
  <c r="O158" i="144"/>
  <c r="O153" i="144"/>
  <c r="O148" i="144"/>
  <c r="O138" i="144"/>
  <c r="O128" i="144"/>
  <c r="O123" i="144"/>
  <c r="O118" i="144"/>
  <c r="O88" i="144"/>
  <c r="O83" i="144"/>
  <c r="O73" i="144"/>
  <c r="P31" i="149"/>
  <c r="O17" i="148"/>
  <c r="O12" i="148"/>
  <c r="D26" i="114"/>
  <c r="O28" i="144"/>
  <c r="O18" i="144"/>
  <c r="M301" i="105"/>
  <c r="I315" i="105"/>
  <c r="I891" i="105"/>
  <c r="I893" i="105"/>
  <c r="I889" i="105"/>
  <c r="I887" i="105"/>
  <c r="I885" i="105"/>
  <c r="I883" i="105"/>
  <c r="I17" i="115"/>
  <c r="I16" i="115" s="1"/>
  <c r="I103" i="105"/>
  <c r="E230" i="105"/>
  <c r="I879" i="105"/>
  <c r="I877" i="105"/>
  <c r="I881" i="105"/>
  <c r="I182" i="105"/>
  <c r="C11" i="114"/>
  <c r="C41" i="114" s="1"/>
  <c r="N301" i="105"/>
  <c r="L301" i="105"/>
  <c r="K301" i="105"/>
  <c r="J301" i="105"/>
  <c r="E300" i="105"/>
  <c r="N256" i="105"/>
  <c r="M256" i="105"/>
  <c r="L256" i="105"/>
  <c r="K256" i="105"/>
  <c r="J256" i="105"/>
  <c r="G255" i="105"/>
  <c r="F255" i="105"/>
  <c r="E255" i="105"/>
  <c r="N231" i="105"/>
  <c r="M231" i="105"/>
  <c r="L231" i="105"/>
  <c r="K231" i="105"/>
  <c r="J231" i="105"/>
  <c r="J234" i="105" s="1"/>
  <c r="G230" i="105"/>
  <c r="F230" i="105"/>
  <c r="M114" i="105"/>
  <c r="L114" i="105"/>
  <c r="K114" i="105"/>
  <c r="G113" i="105"/>
  <c r="F113" i="105"/>
  <c r="E113" i="105"/>
  <c r="F34" i="105"/>
  <c r="E34" i="105"/>
  <c r="K23" i="115"/>
  <c r="K16" i="115" s="1"/>
  <c r="H23" i="115"/>
  <c r="G23" i="115"/>
  <c r="H17" i="115"/>
  <c r="G17" i="115"/>
  <c r="K28" i="115"/>
  <c r="I281" i="105"/>
  <c r="G11" i="115"/>
  <c r="G9" i="115" s="1"/>
  <c r="I37" i="113"/>
  <c r="H37" i="113"/>
  <c r="H36" i="113" s="1"/>
  <c r="G37" i="113"/>
  <c r="I76" i="105"/>
  <c r="I855" i="105"/>
  <c r="I390" i="105"/>
  <c r="I385" i="105"/>
  <c r="I380" i="105"/>
  <c r="I375" i="105"/>
  <c r="I847" i="105"/>
  <c r="I370" i="105"/>
  <c r="I365" i="105"/>
  <c r="I355" i="105"/>
  <c r="I350" i="105"/>
  <c r="I345" i="105"/>
  <c r="I340" i="105"/>
  <c r="I335" i="105"/>
  <c r="I330" i="105"/>
  <c r="I325" i="105"/>
  <c r="I320" i="105"/>
  <c r="I306" i="105"/>
  <c r="I296" i="105"/>
  <c r="I291" i="105"/>
  <c r="I286" i="105"/>
  <c r="I276" i="105"/>
  <c r="I271" i="105"/>
  <c r="I266" i="105"/>
  <c r="I261" i="105"/>
  <c r="I251" i="105"/>
  <c r="I246" i="105"/>
  <c r="I241" i="105"/>
  <c r="I236" i="105"/>
  <c r="I226" i="105"/>
  <c r="I221" i="105"/>
  <c r="I216" i="105"/>
  <c r="I211" i="105"/>
  <c r="I206" i="105"/>
  <c r="I201" i="105"/>
  <c r="I191" i="105"/>
  <c r="I176" i="105"/>
  <c r="I171" i="105"/>
  <c r="I166" i="105"/>
  <c r="I124" i="105"/>
  <c r="I119" i="105"/>
  <c r="I108" i="105"/>
  <c r="I71" i="105"/>
  <c r="I66" i="105"/>
  <c r="I56" i="105"/>
  <c r="I51" i="105"/>
  <c r="I29" i="105"/>
  <c r="I20" i="105"/>
  <c r="I36" i="115"/>
  <c r="H36" i="115"/>
  <c r="G36" i="115"/>
  <c r="K32" i="115"/>
  <c r="I32" i="115"/>
  <c r="H32" i="115"/>
  <c r="G32" i="115"/>
  <c r="I28" i="115"/>
  <c r="H28" i="115"/>
  <c r="G28" i="115"/>
  <c r="K9" i="115"/>
  <c r="I11" i="115"/>
  <c r="I9" i="115" s="1"/>
  <c r="H11" i="115"/>
  <c r="H9" i="115" s="1"/>
  <c r="I61" i="113"/>
  <c r="H61" i="113"/>
  <c r="G61" i="113"/>
  <c r="I57" i="113"/>
  <c r="H57" i="113"/>
  <c r="G57" i="113"/>
  <c r="I53" i="113"/>
  <c r="H53" i="113"/>
  <c r="G53" i="113"/>
  <c r="K46" i="113"/>
  <c r="D19" i="178" s="1"/>
  <c r="I46" i="113"/>
  <c r="H46" i="113"/>
  <c r="G46" i="113"/>
  <c r="K41" i="113"/>
  <c r="K36" i="113" s="1"/>
  <c r="I41" i="113"/>
  <c r="H41" i="113"/>
  <c r="G41" i="113"/>
  <c r="G36" i="113" s="1"/>
  <c r="I27" i="113"/>
  <c r="H27" i="113"/>
  <c r="G27" i="113"/>
  <c r="I18" i="113"/>
  <c r="I17" i="113" s="1"/>
  <c r="H18" i="113"/>
  <c r="H17" i="113" s="1"/>
  <c r="G18" i="113"/>
  <c r="G17" i="113" s="1"/>
  <c r="I11" i="113"/>
  <c r="I10" i="113" s="1"/>
  <c r="H11" i="113"/>
  <c r="H10" i="113" s="1"/>
  <c r="G11" i="113"/>
  <c r="G10" i="113" s="1"/>
  <c r="M17" i="115"/>
  <c r="V14" i="160"/>
  <c r="O40" i="173"/>
  <c r="M30" i="115"/>
  <c r="I18" i="178" s="1"/>
  <c r="G85" i="172"/>
  <c r="O148" i="173"/>
  <c r="H29" i="153"/>
  <c r="H31" i="153" s="1"/>
  <c r="H32" i="153" s="1"/>
  <c r="M328" i="174"/>
  <c r="M330" i="174" s="1"/>
  <c r="O61" i="144"/>
  <c r="E58" i="144" s="1"/>
  <c r="O15" i="148"/>
  <c r="E12" i="148" s="1"/>
  <c r="J79" i="149"/>
  <c r="L304" i="105"/>
  <c r="I116" i="105"/>
  <c r="I699" i="105"/>
  <c r="P307" i="174"/>
  <c r="Q307" i="174"/>
  <c r="N307" i="174"/>
  <c r="L329" i="174"/>
  <c r="N64" i="105"/>
  <c r="P50" i="149"/>
  <c r="E48" i="149" s="1"/>
  <c r="J342" i="177"/>
  <c r="L342" i="177" s="1"/>
  <c r="L210" i="144"/>
  <c r="O208" i="144"/>
  <c r="K210" i="144"/>
  <c r="J47" i="174"/>
  <c r="L64" i="105"/>
  <c r="N304" i="105"/>
  <c r="I368" i="105"/>
  <c r="K259" i="105"/>
  <c r="I835" i="105"/>
  <c r="I207" i="105"/>
  <c r="I209" i="105"/>
  <c r="O307" i="174"/>
  <c r="O330" i="174"/>
  <c r="K138" i="176"/>
  <c r="K307" i="174"/>
  <c r="O136" i="144"/>
  <c r="E133" i="144" s="1"/>
  <c r="K117" i="105"/>
  <c r="J139" i="176" l="1"/>
  <c r="K139" i="176" s="1"/>
  <c r="I14" i="178"/>
  <c r="M115" i="148"/>
  <c r="L140" i="175"/>
  <c r="E128" i="144"/>
  <c r="L29" i="115"/>
  <c r="L147" i="173"/>
  <c r="L157" i="173" s="1"/>
  <c r="L167" i="173" s="1"/>
  <c r="E173" i="144"/>
  <c r="L211" i="177"/>
  <c r="E207" i="177" s="1"/>
  <c r="L221" i="177"/>
  <c r="E217" i="177" s="1"/>
  <c r="L231" i="177"/>
  <c r="E227" i="177" s="1"/>
  <c r="L241" i="177"/>
  <c r="E237" i="177" s="1"/>
  <c r="L251" i="177"/>
  <c r="E247" i="177" s="1"/>
  <c r="P17" i="49"/>
  <c r="L96" i="177"/>
  <c r="E92" i="177" s="1"/>
  <c r="I52" i="113"/>
  <c r="I50" i="113" s="1"/>
  <c r="O218" i="149"/>
  <c r="O191" i="144"/>
  <c r="E188" i="144" s="1"/>
  <c r="G24" i="160"/>
  <c r="M11" i="115"/>
  <c r="O70" i="148"/>
  <c r="E67" i="148" s="1"/>
  <c r="G41" i="160"/>
  <c r="F26" i="114"/>
  <c r="G26" i="114" s="1"/>
  <c r="D16" i="114"/>
  <c r="P168" i="149"/>
  <c r="E48" i="144"/>
  <c r="G37" i="160"/>
  <c r="G43" i="160"/>
  <c r="I31" i="178"/>
  <c r="L176" i="177"/>
  <c r="E172" i="177" s="1"/>
  <c r="L339" i="177"/>
  <c r="O20" i="148"/>
  <c r="L31" i="177"/>
  <c r="E27" i="177" s="1"/>
  <c r="L36" i="177"/>
  <c r="E32" i="177" s="1"/>
  <c r="L41" i="177"/>
  <c r="E37" i="177" s="1"/>
  <c r="L51" i="177"/>
  <c r="E47" i="177" s="1"/>
  <c r="L61" i="177"/>
  <c r="E57" i="177" s="1"/>
  <c r="L81" i="177"/>
  <c r="E77" i="177" s="1"/>
  <c r="L86" i="177"/>
  <c r="E82" i="177" s="1"/>
  <c r="L91" i="177"/>
  <c r="L106" i="177"/>
  <c r="E102" i="177" s="1"/>
  <c r="L111" i="177"/>
  <c r="E107" i="177" s="1"/>
  <c r="L131" i="177"/>
  <c r="E127" i="177" s="1"/>
  <c r="L136" i="177"/>
  <c r="E132" i="177" s="1"/>
  <c r="L141" i="177"/>
  <c r="E137" i="177" s="1"/>
  <c r="L161" i="177"/>
  <c r="E157" i="177" s="1"/>
  <c r="L171" i="177"/>
  <c r="E167" i="177" s="1"/>
  <c r="L186" i="177"/>
  <c r="E182" i="177" s="1"/>
  <c r="L191" i="177"/>
  <c r="E187" i="177" s="1"/>
  <c r="L201" i="177"/>
  <c r="E197" i="177" s="1"/>
  <c r="L206" i="177"/>
  <c r="E202" i="177" s="1"/>
  <c r="O16" i="144"/>
  <c r="E13" i="144" s="1"/>
  <c r="O31" i="144"/>
  <c r="E28" i="144" s="1"/>
  <c r="O36" i="144"/>
  <c r="E33" i="144" s="1"/>
  <c r="O66" i="144"/>
  <c r="O71" i="144"/>
  <c r="O91" i="144"/>
  <c r="O186" i="144"/>
  <c r="I23" i="105"/>
  <c r="I104" i="105"/>
  <c r="I179" i="105"/>
  <c r="K219" i="149"/>
  <c r="P115" i="148"/>
  <c r="K137" i="176"/>
  <c r="F141" i="175"/>
  <c r="F146" i="175" s="1"/>
  <c r="G17" i="114"/>
  <c r="F16" i="114"/>
  <c r="G33" i="114"/>
  <c r="F32" i="114"/>
  <c r="G32" i="114" s="1"/>
  <c r="L986" i="105"/>
  <c r="G14" i="114"/>
  <c r="F11" i="114"/>
  <c r="G34" i="114"/>
  <c r="J218" i="149"/>
  <c r="O21" i="144"/>
  <c r="E18" i="144" s="1"/>
  <c r="G31" i="160"/>
  <c r="N158" i="173"/>
  <c r="N168" i="173" s="1"/>
  <c r="G9" i="113"/>
  <c r="G48" i="113" s="1"/>
  <c r="H52" i="113"/>
  <c r="I14" i="115"/>
  <c r="I35" i="115" s="1"/>
  <c r="I42" i="115" s="1"/>
  <c r="K207" i="144"/>
  <c r="F35" i="150"/>
  <c r="G20" i="160"/>
  <c r="G30" i="160"/>
  <c r="O166" i="144"/>
  <c r="E163" i="144" s="1"/>
  <c r="I700" i="105"/>
  <c r="N986" i="105"/>
  <c r="N991" i="105"/>
  <c r="H21" i="178"/>
  <c r="G36" i="160"/>
  <c r="N996" i="105"/>
  <c r="L996" i="105"/>
  <c r="M210" i="144"/>
  <c r="M116" i="148"/>
  <c r="M118" i="148" s="1"/>
  <c r="M30" i="148"/>
  <c r="O30" i="148" s="1"/>
  <c r="E27" i="148" s="1"/>
  <c r="L199" i="105"/>
  <c r="I197" i="105"/>
  <c r="G13" i="160"/>
  <c r="G15" i="160"/>
  <c r="G32" i="160"/>
  <c r="O35" i="160"/>
  <c r="G39" i="160"/>
  <c r="D85" i="172"/>
  <c r="D86" i="172" s="1"/>
  <c r="C85" i="172"/>
  <c r="C86" i="172" s="1"/>
  <c r="E85" i="172"/>
  <c r="E86" i="172" s="1"/>
  <c r="L52" i="113"/>
  <c r="L50" i="113" s="1"/>
  <c r="E28" i="178"/>
  <c r="E38" i="178" s="1"/>
  <c r="L145" i="175"/>
  <c r="E12" i="178"/>
  <c r="J986" i="105"/>
  <c r="M986" i="105"/>
  <c r="K986" i="105"/>
  <c r="M57" i="113"/>
  <c r="E30" i="178" s="1"/>
  <c r="J99" i="174"/>
  <c r="J110" i="174"/>
  <c r="K30" i="176"/>
  <c r="E26" i="176" s="1"/>
  <c r="L76" i="177"/>
  <c r="E72" i="177" s="1"/>
  <c r="L196" i="177"/>
  <c r="E192" i="177" s="1"/>
  <c r="O26" i="144"/>
  <c r="E23" i="144" s="1"/>
  <c r="O46" i="144"/>
  <c r="E43" i="144" s="1"/>
  <c r="O126" i="144"/>
  <c r="E123" i="144" s="1"/>
  <c r="O146" i="144"/>
  <c r="E143" i="144" s="1"/>
  <c r="J151" i="174"/>
  <c r="V22" i="160"/>
  <c r="G22" i="160" s="1"/>
  <c r="J996" i="105"/>
  <c r="M996" i="105"/>
  <c r="K996" i="105"/>
  <c r="O209" i="144"/>
  <c r="V21" i="160"/>
  <c r="N210" i="144"/>
  <c r="J210" i="144"/>
  <c r="O219" i="149"/>
  <c r="I258" i="105"/>
  <c r="I540" i="105"/>
  <c r="I844" i="105"/>
  <c r="N234" i="105"/>
  <c r="M304" i="105"/>
  <c r="J985" i="105"/>
  <c r="K172" i="174"/>
  <c r="J15" i="174"/>
  <c r="H181" i="174"/>
  <c r="Q330" i="174"/>
  <c r="N330" i="174"/>
  <c r="J237" i="174"/>
  <c r="J156" i="174"/>
  <c r="J261" i="174"/>
  <c r="H314" i="174"/>
  <c r="G157" i="173"/>
  <c r="G167" i="173" s="1"/>
  <c r="K158" i="173"/>
  <c r="K168" i="173" s="1"/>
  <c r="N157" i="173"/>
  <c r="N167" i="173" s="1"/>
  <c r="O116" i="173"/>
  <c r="O135" i="173"/>
  <c r="O46" i="173"/>
  <c r="E25" i="178"/>
  <c r="E37" i="178" s="1"/>
  <c r="M52" i="113"/>
  <c r="D9" i="178"/>
  <c r="D15" i="178" s="1"/>
  <c r="J9" i="113"/>
  <c r="H9" i="113"/>
  <c r="H48" i="113" s="1"/>
  <c r="E63" i="144"/>
  <c r="E183" i="144"/>
  <c r="K984" i="105"/>
  <c r="M117" i="105"/>
  <c r="L340" i="177"/>
  <c r="I558" i="105"/>
  <c r="N990" i="105"/>
  <c r="J995" i="105"/>
  <c r="I141" i="175"/>
  <c r="I146" i="175" s="1"/>
  <c r="O54" i="173"/>
  <c r="D21" i="178"/>
  <c r="D35" i="178" s="1"/>
  <c r="O22" i="148"/>
  <c r="O115" i="148" s="1"/>
  <c r="P14" i="149"/>
  <c r="P76" i="149" s="1"/>
  <c r="I9" i="113"/>
  <c r="G52" i="113"/>
  <c r="G50" i="113" s="1"/>
  <c r="H50" i="113"/>
  <c r="E78" i="144"/>
  <c r="G34" i="160"/>
  <c r="G38" i="160"/>
  <c r="L126" i="177"/>
  <c r="E122" i="177" s="1"/>
  <c r="L181" i="177"/>
  <c r="E177" i="177" s="1"/>
  <c r="K52" i="113"/>
  <c r="K50" i="113" s="1"/>
  <c r="I233" i="105"/>
  <c r="K995" i="105"/>
  <c r="L560" i="105"/>
  <c r="I560" i="105" s="1"/>
  <c r="M41" i="113"/>
  <c r="E18" i="178" s="1"/>
  <c r="M985" i="105"/>
  <c r="D37" i="178"/>
  <c r="M16" i="115"/>
  <c r="I36" i="113"/>
  <c r="G16" i="115"/>
  <c r="G14" i="115" s="1"/>
  <c r="G35" i="115" s="1"/>
  <c r="M207" i="144"/>
  <c r="M218" i="149"/>
  <c r="F85" i="172"/>
  <c r="F86" i="172" s="1"/>
  <c r="M18" i="113"/>
  <c r="M17" i="113" s="1"/>
  <c r="E10" i="178" s="1"/>
  <c r="L36" i="113"/>
  <c r="H141" i="175"/>
  <c r="H146" i="175" s="1"/>
  <c r="L21" i="177"/>
  <c r="E17" i="177" s="1"/>
  <c r="L26" i="177"/>
  <c r="L46" i="177"/>
  <c r="E42" i="177" s="1"/>
  <c r="L56" i="177"/>
  <c r="E52" i="177" s="1"/>
  <c r="L66" i="177"/>
  <c r="L116" i="177"/>
  <c r="E112" i="177" s="1"/>
  <c r="L146" i="177"/>
  <c r="E142" i="177" s="1"/>
  <c r="L156" i="177"/>
  <c r="E152" i="177" s="1"/>
  <c r="L166" i="177"/>
  <c r="E162" i="177" s="1"/>
  <c r="O56" i="144"/>
  <c r="E53" i="144" s="1"/>
  <c r="O76" i="144"/>
  <c r="E73" i="144" s="1"/>
  <c r="O111" i="144"/>
  <c r="E108" i="144" s="1"/>
  <c r="M995" i="105"/>
  <c r="K985" i="105"/>
  <c r="J36" i="113"/>
  <c r="J52" i="113"/>
  <c r="J50" i="113" s="1"/>
  <c r="E202" i="144"/>
  <c r="L990" i="105"/>
  <c r="L992" i="105" s="1"/>
  <c r="G35" i="160"/>
  <c r="G23" i="160"/>
  <c r="G29" i="160"/>
  <c r="G40" i="160"/>
  <c r="J52" i="174"/>
  <c r="J141" i="174"/>
  <c r="J161" i="174"/>
  <c r="K316" i="174"/>
  <c r="M316" i="174"/>
  <c r="M318" i="174" s="1"/>
  <c r="L316" i="174"/>
  <c r="N57" i="174"/>
  <c r="N316" i="174"/>
  <c r="N318" i="174" s="1"/>
  <c r="P57" i="174"/>
  <c r="P316" i="174"/>
  <c r="R57" i="174"/>
  <c r="R316" i="174"/>
  <c r="O57" i="174"/>
  <c r="O316" i="174"/>
  <c r="Q57" i="174"/>
  <c r="Q316" i="174"/>
  <c r="Q318" i="174" s="1"/>
  <c r="G16" i="160"/>
  <c r="G17" i="160"/>
  <c r="G21" i="160"/>
  <c r="G26" i="160"/>
  <c r="G33" i="160"/>
  <c r="G14" i="160"/>
  <c r="I210" i="144"/>
  <c r="O41" i="144"/>
  <c r="E38" i="144" s="1"/>
  <c r="O40" i="148"/>
  <c r="E37" i="148" s="1"/>
  <c r="E22" i="148"/>
  <c r="O116" i="148"/>
  <c r="O118" i="148" s="1"/>
  <c r="N218" i="149"/>
  <c r="I181" i="149"/>
  <c r="I219" i="149"/>
  <c r="I221" i="149" s="1"/>
  <c r="N181" i="149"/>
  <c r="N219" i="149"/>
  <c r="N221" i="149" s="1"/>
  <c r="L219" i="149"/>
  <c r="L221" i="149" s="1"/>
  <c r="J181" i="149"/>
  <c r="J219" i="149"/>
  <c r="J221" i="149" s="1"/>
  <c r="M181" i="149"/>
  <c r="M219" i="149"/>
  <c r="M221" i="149" s="1"/>
  <c r="I61" i="105"/>
  <c r="K9" i="113"/>
  <c r="K48" i="113" s="1"/>
  <c r="G11" i="114"/>
  <c r="G25" i="160"/>
  <c r="M61" i="113"/>
  <c r="E88" i="144"/>
  <c r="K178" i="149"/>
  <c r="K218" i="149" s="1"/>
  <c r="O49" i="160"/>
  <c r="E67" i="177"/>
  <c r="E68" i="144"/>
  <c r="V49" i="160"/>
  <c r="G18" i="160"/>
  <c r="M36" i="115"/>
  <c r="O113" i="144"/>
  <c r="O207" i="144" s="1"/>
  <c r="G27" i="160"/>
  <c r="I218" i="149"/>
  <c r="M987" i="105"/>
  <c r="E62" i="177"/>
  <c r="K14" i="115"/>
  <c r="K35" i="115" s="1"/>
  <c r="K42" i="115" s="1"/>
  <c r="H16" i="115"/>
  <c r="H14" i="115" s="1"/>
  <c r="H35" i="115" s="1"/>
  <c r="H42" i="115" s="1"/>
  <c r="E17" i="148"/>
  <c r="E113" i="144"/>
  <c r="O53" i="173"/>
  <c r="L341" i="177"/>
  <c r="J131" i="174"/>
  <c r="J245" i="174"/>
  <c r="J267" i="174"/>
  <c r="M324" i="174"/>
  <c r="Q324" i="174"/>
  <c r="C72" i="106"/>
  <c r="R49" i="160"/>
  <c r="M49" i="160"/>
  <c r="T49" i="160"/>
  <c r="O221" i="149"/>
  <c r="K221" i="149"/>
  <c r="M29" i="115"/>
  <c r="I17" i="178" s="1"/>
  <c r="I21" i="178" s="1"/>
  <c r="K141" i="175"/>
  <c r="K146" i="175" s="1"/>
  <c r="G19" i="160"/>
  <c r="L16" i="177"/>
  <c r="E12" i="177" s="1"/>
  <c r="D41" i="114"/>
  <c r="I79" i="174"/>
  <c r="I181" i="174" s="1"/>
  <c r="I308" i="174" s="1"/>
  <c r="J201" i="174"/>
  <c r="J256" i="174"/>
  <c r="J16" i="115"/>
  <c r="J14" i="115" s="1"/>
  <c r="J35" i="115" s="1"/>
  <c r="J42" i="115" s="1"/>
  <c r="S49" i="160"/>
  <c r="N257" i="105"/>
  <c r="N995" i="105" s="1"/>
  <c r="J272" i="174"/>
  <c r="P220" i="149"/>
  <c r="M11" i="113"/>
  <c r="M10" i="113" s="1"/>
  <c r="E9" i="178" s="1"/>
  <c r="I448" i="105"/>
  <c r="P180" i="149"/>
  <c r="K181" i="149"/>
  <c r="O181" i="149"/>
  <c r="J322" i="174"/>
  <c r="J282" i="174"/>
  <c r="J290" i="174"/>
  <c r="O147" i="173"/>
  <c r="H158" i="173"/>
  <c r="H168" i="173" s="1"/>
  <c r="L101" i="177"/>
  <c r="E97" i="177" s="1"/>
  <c r="E22" i="177"/>
  <c r="E87" i="177"/>
  <c r="P315" i="174"/>
  <c r="L172" i="174"/>
  <c r="J116" i="174"/>
  <c r="J133" i="174"/>
  <c r="R330" i="174"/>
  <c r="R307" i="174"/>
  <c r="J307" i="174" s="1"/>
  <c r="J305" i="174"/>
  <c r="J323" i="174"/>
  <c r="L324" i="174"/>
  <c r="N324" i="174"/>
  <c r="P324" i="174"/>
  <c r="J294" i="174"/>
  <c r="J215" i="174"/>
  <c r="J77" i="174"/>
  <c r="G314" i="174"/>
  <c r="G181" i="174"/>
  <c r="G308" i="174" s="1"/>
  <c r="J173" i="174"/>
  <c r="J328" i="174"/>
  <c r="J188" i="174"/>
  <c r="H308" i="174"/>
  <c r="H334" i="174" s="1"/>
  <c r="K315" i="174"/>
  <c r="M315" i="174"/>
  <c r="O182" i="174"/>
  <c r="O309" i="174" s="1"/>
  <c r="Q315" i="174"/>
  <c r="J321" i="174"/>
  <c r="J80" i="174"/>
  <c r="G158" i="173"/>
  <c r="G168" i="173" s="1"/>
  <c r="F158" i="173"/>
  <c r="F168" i="173" s="1"/>
  <c r="F170" i="173" s="1"/>
  <c r="O74" i="173"/>
  <c r="I157" i="173"/>
  <c r="I167" i="173" s="1"/>
  <c r="F157" i="173"/>
  <c r="F167" i="173" s="1"/>
  <c r="M158" i="173"/>
  <c r="M168" i="173" s="1"/>
  <c r="M170" i="173" s="1"/>
  <c r="L158" i="173"/>
  <c r="L168" i="173" s="1"/>
  <c r="O110" i="173"/>
  <c r="L77" i="173"/>
  <c r="J77" i="173"/>
  <c r="H77" i="173"/>
  <c r="O66" i="173"/>
  <c r="J170" i="174"/>
  <c r="P178" i="149"/>
  <c r="P77" i="149"/>
  <c r="P179" i="149"/>
  <c r="N182" i="174"/>
  <c r="N309" i="174" s="1"/>
  <c r="I231" i="105"/>
  <c r="L984" i="105"/>
  <c r="K183" i="174"/>
  <c r="K310" i="174" s="1"/>
  <c r="R182" i="174"/>
  <c r="R309" i="174" s="1"/>
  <c r="J81" i="174"/>
  <c r="O183" i="174"/>
  <c r="O310" i="174" s="1"/>
  <c r="J54" i="174"/>
  <c r="S54" i="174" s="1"/>
  <c r="O315" i="174"/>
  <c r="N183" i="174"/>
  <c r="L183" i="174"/>
  <c r="L310" i="174" s="1"/>
  <c r="R183" i="174"/>
  <c r="R310" i="174" s="1"/>
  <c r="Q183" i="174"/>
  <c r="O318" i="174"/>
  <c r="N315" i="174"/>
  <c r="L315" i="174"/>
  <c r="J250" i="174"/>
  <c r="P182" i="174"/>
  <c r="P309" i="174" s="1"/>
  <c r="R315" i="174"/>
  <c r="J85" i="174"/>
  <c r="J125" i="174"/>
  <c r="J196" i="174"/>
  <c r="J210" i="174"/>
  <c r="K330" i="174"/>
  <c r="M182" i="174"/>
  <c r="M309" i="174" s="1"/>
  <c r="Q182" i="174"/>
  <c r="Q309" i="174" s="1"/>
  <c r="J55" i="174"/>
  <c r="M183" i="174"/>
  <c r="M310" i="174" s="1"/>
  <c r="K182" i="174"/>
  <c r="K309" i="174" s="1"/>
  <c r="P183" i="174"/>
  <c r="P310" i="174" s="1"/>
  <c r="O105" i="173"/>
  <c r="K157" i="173"/>
  <c r="K167" i="173" s="1"/>
  <c r="J157" i="173"/>
  <c r="J167" i="173" s="1"/>
  <c r="O88" i="173"/>
  <c r="J286" i="174"/>
  <c r="J306" i="174"/>
  <c r="J89" i="174"/>
  <c r="J329" i="174"/>
  <c r="E81" i="149"/>
  <c r="E177" i="149" s="1"/>
  <c r="O96" i="144"/>
  <c r="E93" i="144" s="1"/>
  <c r="O210" i="144"/>
  <c r="P78" i="149"/>
  <c r="P17" i="149"/>
  <c r="E14" i="149" s="1"/>
  <c r="E75" i="149" s="1"/>
  <c r="L133" i="175"/>
  <c r="L141" i="175" s="1"/>
  <c r="L330" i="174"/>
  <c r="J227" i="174"/>
  <c r="J180" i="174"/>
  <c r="P83" i="174"/>
  <c r="J83" i="174" s="1"/>
  <c r="O76" i="173"/>
  <c r="I158" i="173"/>
  <c r="I168" i="173" s="1"/>
  <c r="I170" i="173" s="1"/>
  <c r="O27" i="173"/>
  <c r="O55" i="173"/>
  <c r="O56" i="173"/>
  <c r="O21" i="173"/>
  <c r="L9" i="113"/>
  <c r="O155" i="173"/>
  <c r="O125" i="173"/>
  <c r="O75" i="173"/>
  <c r="J158" i="173"/>
  <c r="J168" i="173" s="1"/>
  <c r="H157" i="173"/>
  <c r="H167" i="173" s="1"/>
  <c r="M77" i="173"/>
  <c r="K77" i="173"/>
  <c r="I77" i="173"/>
  <c r="I363" i="105"/>
  <c r="I114" i="105"/>
  <c r="I256" i="105"/>
  <c r="I301" i="105"/>
  <c r="N984" i="105"/>
  <c r="M984" i="105"/>
  <c r="I303" i="105"/>
  <c r="K304" i="105"/>
  <c r="I991" i="105"/>
  <c r="L259" i="105"/>
  <c r="I458" i="105"/>
  <c r="L117" i="105"/>
  <c r="I302" i="105"/>
  <c r="I403" i="105"/>
  <c r="D31" i="178"/>
  <c r="L327" i="174"/>
  <c r="J327" i="174" s="1"/>
  <c r="J304" i="174"/>
  <c r="J94" i="174"/>
  <c r="J232" i="174"/>
  <c r="M120" i="174"/>
  <c r="J120" i="174" s="1"/>
  <c r="L175" i="174"/>
  <c r="J21" i="174"/>
  <c r="Q184" i="174"/>
  <c r="Q311" i="174" s="1"/>
  <c r="O184" i="174"/>
  <c r="O311" i="174" s="1"/>
  <c r="O335" i="174" s="1"/>
  <c r="K136" i="174"/>
  <c r="J136" i="174" s="1"/>
  <c r="J101" i="174"/>
  <c r="M175" i="174"/>
  <c r="R184" i="174"/>
  <c r="R311" i="174" s="1"/>
  <c r="P184" i="174"/>
  <c r="N184" i="174"/>
  <c r="N311" i="174" s="1"/>
  <c r="M9" i="115"/>
  <c r="M36" i="113"/>
  <c r="E17" i="178"/>
  <c r="M27" i="113"/>
  <c r="E11" i="178" s="1"/>
  <c r="J984" i="105"/>
  <c r="N701" i="105"/>
  <c r="I701" i="105" s="1"/>
  <c r="I63" i="105"/>
  <c r="J304" i="105"/>
  <c r="K234" i="105"/>
  <c r="I152" i="105"/>
  <c r="I199" i="105"/>
  <c r="L232" i="105"/>
  <c r="L234" i="105" s="1"/>
  <c r="I262" i="105"/>
  <c r="L264" i="105"/>
  <c r="I264" i="105" s="1"/>
  <c r="N269" i="105"/>
  <c r="I269" i="105" s="1"/>
  <c r="I18" i="105"/>
  <c r="I32" i="105"/>
  <c r="I581" i="105"/>
  <c r="J259" i="105"/>
  <c r="I115" i="105"/>
  <c r="M234" i="105"/>
  <c r="L57" i="174"/>
  <c r="M184" i="174"/>
  <c r="M57" i="174"/>
  <c r="K33" i="174"/>
  <c r="J62" i="174"/>
  <c r="M33" i="174"/>
  <c r="O15" i="173"/>
  <c r="O72" i="173"/>
  <c r="O61" i="173"/>
  <c r="M157" i="173"/>
  <c r="M167" i="173" s="1"/>
  <c r="O83" i="173"/>
  <c r="O145" i="173"/>
  <c r="O95" i="173"/>
  <c r="K160" i="173"/>
  <c r="N170" i="173"/>
  <c r="I62" i="105"/>
  <c r="K64" i="105"/>
  <c r="I64" i="105" s="1"/>
  <c r="J117" i="105"/>
  <c r="M259" i="105"/>
  <c r="R334" i="174" l="1"/>
  <c r="J172" i="174"/>
  <c r="S172" i="174" s="1"/>
  <c r="I314" i="174"/>
  <c r="F41" i="114"/>
  <c r="G41" i="114" s="1"/>
  <c r="E31" i="178"/>
  <c r="H160" i="173"/>
  <c r="N259" i="105"/>
  <c r="G65" i="113"/>
  <c r="H65" i="113"/>
  <c r="D22" i="178"/>
  <c r="D32" i="178" s="1"/>
  <c r="D39" i="178" s="1"/>
  <c r="G42" i="115"/>
  <c r="G49" i="113"/>
  <c r="I257" i="105"/>
  <c r="L48" i="113"/>
  <c r="L65" i="113" s="1"/>
  <c r="L146" i="175"/>
  <c r="G49" i="160"/>
  <c r="K65" i="113"/>
  <c r="K43" i="115" s="1"/>
  <c r="I48" i="113"/>
  <c r="I65" i="113" s="1"/>
  <c r="I43" i="115" s="1"/>
  <c r="M50" i="113"/>
  <c r="L985" i="105"/>
  <c r="L987" i="105" s="1"/>
  <c r="I304" i="105"/>
  <c r="I334" i="174"/>
  <c r="P218" i="149"/>
  <c r="L995" i="105"/>
  <c r="L997" i="105" s="1"/>
  <c r="N985" i="105"/>
  <c r="N987" i="105" s="1"/>
  <c r="J48" i="113"/>
  <c r="J65" i="113" s="1"/>
  <c r="H11" i="178"/>
  <c r="I990" i="105"/>
  <c r="K997" i="105"/>
  <c r="K987" i="105"/>
  <c r="I49" i="113"/>
  <c r="P219" i="149"/>
  <c r="P221" i="149" s="1"/>
  <c r="P181" i="149"/>
  <c r="N997" i="105"/>
  <c r="I986" i="105"/>
  <c r="L15" i="115" s="1"/>
  <c r="M15" i="115" s="1"/>
  <c r="O168" i="173"/>
  <c r="M997" i="105"/>
  <c r="K49" i="113"/>
  <c r="I117" i="105"/>
  <c r="O185" i="174"/>
  <c r="H43" i="115"/>
  <c r="I259" i="105"/>
  <c r="J160" i="173"/>
  <c r="M28" i="115"/>
  <c r="L28" i="115"/>
  <c r="J49" i="113"/>
  <c r="H49" i="113"/>
  <c r="G16" i="114"/>
  <c r="L182" i="174"/>
  <c r="L309" i="174" s="1"/>
  <c r="H10" i="178" s="1"/>
  <c r="H12" i="178"/>
  <c r="H13" i="178"/>
  <c r="Q185" i="174"/>
  <c r="Q310" i="174"/>
  <c r="J310" i="174" s="1"/>
  <c r="N334" i="174"/>
  <c r="P334" i="174"/>
  <c r="J183" i="174"/>
  <c r="M334" i="174"/>
  <c r="H9" i="178"/>
  <c r="Q334" i="174"/>
  <c r="O334" i="174"/>
  <c r="K334" i="174"/>
  <c r="G334" i="174"/>
  <c r="J324" i="174"/>
  <c r="J330" i="174"/>
  <c r="G170" i="173"/>
  <c r="O167" i="173"/>
  <c r="L170" i="173"/>
  <c r="L160" i="173"/>
  <c r="K170" i="173"/>
  <c r="O157" i="173"/>
  <c r="P79" i="149"/>
  <c r="J315" i="174"/>
  <c r="I984" i="105"/>
  <c r="I232" i="105"/>
  <c r="I234" i="105"/>
  <c r="N185" i="174"/>
  <c r="R185" i="174"/>
  <c r="L318" i="174"/>
  <c r="P185" i="174"/>
  <c r="O150" i="173"/>
  <c r="H170" i="173"/>
  <c r="G160" i="173"/>
  <c r="P311" i="174"/>
  <c r="P335" i="174" s="1"/>
  <c r="O77" i="173"/>
  <c r="R318" i="174"/>
  <c r="L184" i="174"/>
  <c r="L185" i="174" s="1"/>
  <c r="N992" i="105"/>
  <c r="I992" i="105" s="1"/>
  <c r="P318" i="174"/>
  <c r="I160" i="173"/>
  <c r="F160" i="173"/>
  <c r="M160" i="173"/>
  <c r="E21" i="178"/>
  <c r="E35" i="178" s="1"/>
  <c r="J170" i="173"/>
  <c r="O158" i="173"/>
  <c r="E15" i="178"/>
  <c r="O312" i="174"/>
  <c r="O336" i="174" s="1"/>
  <c r="Q335" i="174"/>
  <c r="J316" i="174"/>
  <c r="M9" i="113"/>
  <c r="M48" i="113" s="1"/>
  <c r="I996" i="105"/>
  <c r="N335" i="174"/>
  <c r="N312" i="174"/>
  <c r="N336" i="174" s="1"/>
  <c r="R335" i="174"/>
  <c r="R312" i="174"/>
  <c r="J174" i="174"/>
  <c r="K175" i="174"/>
  <c r="J175" i="174" s="1"/>
  <c r="K184" i="174"/>
  <c r="J56" i="174"/>
  <c r="K57" i="174"/>
  <c r="J57" i="174" s="1"/>
  <c r="J33" i="174"/>
  <c r="M311" i="174"/>
  <c r="M185" i="174"/>
  <c r="N160" i="173"/>
  <c r="O159" i="173"/>
  <c r="J987" i="105"/>
  <c r="J997" i="105"/>
  <c r="D40" i="178" l="1"/>
  <c r="G43" i="115"/>
  <c r="M65" i="113"/>
  <c r="L14" i="115"/>
  <c r="L35" i="115" s="1"/>
  <c r="L42" i="115" s="1"/>
  <c r="I12" i="178"/>
  <c r="I13" i="178"/>
  <c r="J182" i="174"/>
  <c r="S182" i="174" s="1"/>
  <c r="I995" i="105"/>
  <c r="P312" i="174"/>
  <c r="P336" i="174" s="1"/>
  <c r="M14" i="115"/>
  <c r="M35" i="115" s="1"/>
  <c r="M42" i="115" s="1"/>
  <c r="J309" i="174"/>
  <c r="J334" i="174" s="1"/>
  <c r="L334" i="174"/>
  <c r="I997" i="105"/>
  <c r="I985" i="105"/>
  <c r="Q312" i="174"/>
  <c r="Q336" i="174" s="1"/>
  <c r="E22" i="178"/>
  <c r="H15" i="178"/>
  <c r="D34" i="178" s="1"/>
  <c r="L311" i="174"/>
  <c r="L335" i="174" s="1"/>
  <c r="O170" i="173"/>
  <c r="R336" i="174"/>
  <c r="O160" i="173"/>
  <c r="H22" i="178"/>
  <c r="D33" i="178" s="1"/>
  <c r="D36" i="178" s="1"/>
  <c r="J317" i="174"/>
  <c r="K318" i="174"/>
  <c r="J318" i="174" s="1"/>
  <c r="M312" i="174"/>
  <c r="M335" i="174"/>
  <c r="K311" i="174"/>
  <c r="J184" i="174"/>
  <c r="K185" i="174"/>
  <c r="J185" i="174" s="1"/>
  <c r="I987" i="105"/>
  <c r="L49" i="113" l="1"/>
  <c r="E32" i="178"/>
  <c r="E40" i="178" s="1"/>
  <c r="M49" i="113"/>
  <c r="E39" i="178"/>
  <c r="L312" i="174"/>
  <c r="I10" i="178" s="1"/>
  <c r="H32" i="178"/>
  <c r="H39" i="178" s="1"/>
  <c r="K335" i="174"/>
  <c r="J311" i="174"/>
  <c r="J335" i="174" s="1"/>
  <c r="K312" i="174"/>
  <c r="M336" i="174"/>
  <c r="I11" i="178"/>
  <c r="L336" i="174" l="1"/>
  <c r="H40" i="178"/>
  <c r="J312" i="174"/>
  <c r="J336" i="174" s="1"/>
  <c r="K336" i="174"/>
  <c r="I9" i="178"/>
  <c r="I15" i="178" s="1"/>
  <c r="E34" i="178" s="1"/>
  <c r="I22" i="178" l="1"/>
  <c r="I32" i="178" l="1"/>
  <c r="I39" i="178" s="1"/>
  <c r="E33" i="178"/>
  <c r="E36" i="178" s="1"/>
  <c r="J105" i="174"/>
  <c r="J191" i="174"/>
  <c r="J41" i="174"/>
  <c r="I40" i="178" l="1"/>
</calcChain>
</file>

<file path=xl/comments1.xml><?xml version="1.0" encoding="utf-8"?>
<comments xmlns="http://schemas.openxmlformats.org/spreadsheetml/2006/main">
  <authors>
    <author>Eckert Szilvia</author>
  </authors>
  <commentList>
    <comment ref="E8" authorId="0">
      <text>
        <r>
          <rPr>
            <b/>
            <sz val="9"/>
            <color indexed="81"/>
            <rFont val="Tahoma"/>
            <family val="2"/>
            <charset val="238"/>
          </rPr>
          <t>Eckert Szilvia:</t>
        </r>
        <r>
          <rPr>
            <sz val="9"/>
            <color indexed="81"/>
            <rFont val="Tahoma"/>
            <family val="2"/>
            <charset val="238"/>
          </rPr>
          <t xml:space="preserve">
Hivatalt és intézményeket is beletegyük?</t>
        </r>
      </text>
    </comment>
  </commentList>
</comments>
</file>

<file path=xl/sharedStrings.xml><?xml version="1.0" encoding="utf-8"?>
<sst xmlns="http://schemas.openxmlformats.org/spreadsheetml/2006/main" count="4404" uniqueCount="1375">
  <si>
    <t>adatok eFt-ban</t>
  </si>
  <si>
    <t>A</t>
  </si>
  <si>
    <t>C</t>
  </si>
  <si>
    <t>B</t>
  </si>
  <si>
    <t>D</t>
  </si>
  <si>
    <t>E</t>
  </si>
  <si>
    <t>Megnevezés</t>
  </si>
  <si>
    <t>Temetők üzemeltetésével kapcsolatos feladatok</t>
  </si>
  <si>
    <t>Parkfenntartás</t>
  </si>
  <si>
    <t>Köztisztasági feladatok</t>
  </si>
  <si>
    <t>Városi kiemelt fesztiválok</t>
  </si>
  <si>
    <t>Városi lap kiadásai</t>
  </si>
  <si>
    <t>Kitüntetések</t>
  </si>
  <si>
    <t>MINDÖSSZESEN:</t>
  </si>
  <si>
    <t>Veszprém Megyei Jogú Város Önkormányzata</t>
  </si>
  <si>
    <t>F</t>
  </si>
  <si>
    <t>G</t>
  </si>
  <si>
    <t>H</t>
  </si>
  <si>
    <t>Cím</t>
  </si>
  <si>
    <t>Alcím</t>
  </si>
  <si>
    <t>Feladatellátás jellege*</t>
  </si>
  <si>
    <t>Teljes költség</t>
  </si>
  <si>
    <t>Önkormányzati felújítási kiadások</t>
  </si>
  <si>
    <t>K</t>
  </si>
  <si>
    <t>NK</t>
  </si>
  <si>
    <t>Eötvös Károly Megyei Könyvtár</t>
  </si>
  <si>
    <t>VMJV Polgármesteri Hivatal</t>
  </si>
  <si>
    <t>* Feladatellátás jellege:</t>
  </si>
  <si>
    <t>K= Magyarország helyi önkormányzatairól szóló 2011. évi CLXXXIX. törvény 13. § (1) bekezdése szerinti kötelező feladatok</t>
  </si>
  <si>
    <t>NK= Önkormányzat által önként vállalt feladatok</t>
  </si>
  <si>
    <t>J</t>
  </si>
  <si>
    <t>Önkormányzati beruházási kiadások</t>
  </si>
  <si>
    <t>Hulladéklerakó rekultiváció</t>
  </si>
  <si>
    <t>Kádártai Közösségi Ház átépítése</t>
  </si>
  <si>
    <t>Laczkó Dezső Múzeum</t>
  </si>
  <si>
    <t>Informatikai kiadások</t>
  </si>
  <si>
    <t>I</t>
  </si>
  <si>
    <t>L</t>
  </si>
  <si>
    <t>M</t>
  </si>
  <si>
    <t>Működési költségvetési kiadások</t>
  </si>
  <si>
    <t>Személyi juttatások</t>
  </si>
  <si>
    <t>Munk.a. terh. jár. és szoc.hj.adó</t>
  </si>
  <si>
    <t>Dologi kiadások</t>
  </si>
  <si>
    <t>Egyéb működési kiadások</t>
  </si>
  <si>
    <t>Nemzeti ünnepek kiadásaira</t>
  </si>
  <si>
    <t>Közművelődési szolgált.</t>
  </si>
  <si>
    <t>Nemzetközi kapcsolatok</t>
  </si>
  <si>
    <t>Marketing tevékenység, marketing stratégia</t>
  </si>
  <si>
    <t>ebből: - Veszprémi Ünnepi Játékok</t>
  </si>
  <si>
    <t xml:space="preserve">          - Gizella Napok</t>
  </si>
  <si>
    <t xml:space="preserve">          - Tánc Fesztivál </t>
  </si>
  <si>
    <t xml:space="preserve">          - Veszprémi Utcazene Fesztivál</t>
  </si>
  <si>
    <t xml:space="preserve">          - Auer Hegedűfesztivál</t>
  </si>
  <si>
    <t>Eseti rendezvények</t>
  </si>
  <si>
    <t>Köztéri szobrok, emléktáblák, lektorátus</t>
  </si>
  <si>
    <t>I. Világháborús Centenáriumi Emlékezés költségei</t>
  </si>
  <si>
    <t>Kiadványok, folyóiratok támogatása</t>
  </si>
  <si>
    <t>Méz Rádió támogatása</t>
  </si>
  <si>
    <t>ebből: - Mendelssohn Kamarazenekar</t>
  </si>
  <si>
    <t xml:space="preserve"> - Veszprém Város Vegyeskara</t>
  </si>
  <si>
    <t xml:space="preserve"> - Veszprémi Táncegyüttesért Alapítvány</t>
  </si>
  <si>
    <t xml:space="preserve"> - Liszt F. Kórus</t>
  </si>
  <si>
    <t>Szaléziánum támogatása</t>
  </si>
  <si>
    <t>Sziveri János Intézet működtetése</t>
  </si>
  <si>
    <t>Filharmónia koncertek támogatás</t>
  </si>
  <si>
    <t>Tanórán kívüli tevékenység támogatása</t>
  </si>
  <si>
    <t>Verseny és élsport</t>
  </si>
  <si>
    <t>Sportpálya fenntartás, ill. fenntartói tám.</t>
  </si>
  <si>
    <t>Sportcélok és feladatok (sportigazgatás)</t>
  </si>
  <si>
    <t>Szabadidő- és diáksport</t>
  </si>
  <si>
    <t>Polgármesteri keret</t>
  </si>
  <si>
    <t>Városi civil keret</t>
  </si>
  <si>
    <t xml:space="preserve"> ebből : - Nyugdíjas szervezetek számára pályázati keret</t>
  </si>
  <si>
    <t xml:space="preserve">            - Pályázati keret</t>
  </si>
  <si>
    <t>Köztemetés</t>
  </si>
  <si>
    <t xml:space="preserve">Közcélú és közhasznú foglalkoztatás </t>
  </si>
  <si>
    <t>Települési szilárdhulladék szállítás ártámogatás</t>
  </si>
  <si>
    <t>Kisgyermekes bérlet</t>
  </si>
  <si>
    <t>Máltai Szeretetszolgálatnak pénzeszköz átadás (ellátási szerződés)</t>
  </si>
  <si>
    <t>Családsegítő és Gyermekjóléti Alapszolgáltatási Intézményfenntartó Társulás</t>
  </si>
  <si>
    <t>Lelkisegély szolgálat</t>
  </si>
  <si>
    <t>Hittudományi Főiskola támogatása</t>
  </si>
  <si>
    <t>Foglalkoztatás eü. szolg.</t>
  </si>
  <si>
    <t>Munkavédelmi feladatok</t>
  </si>
  <si>
    <t>Közbeszerzési eljárások költségei</t>
  </si>
  <si>
    <t xml:space="preserve">Önkormányzat igazgatási tevékenysége </t>
  </si>
  <si>
    <t>Igazgatás - Állam felé befizetési kötelezettség</t>
  </si>
  <si>
    <t>ÁFA befizetés</t>
  </si>
  <si>
    <t>Kamatkiadások</t>
  </si>
  <si>
    <t>Családi ünnepek szervezése</t>
  </si>
  <si>
    <t>Városi Közbiztonság Keret</t>
  </si>
  <si>
    <t>Nem lakáscélú helyiségek üzemeltetési költségei</t>
  </si>
  <si>
    <t>Közüzemi Zrt. jutaléka</t>
  </si>
  <si>
    <t>Városi TV közszolgálati műsorok támogatása</t>
  </si>
  <si>
    <t>Kittenberger K. Növény- és Vadaspark KHT működéséhez hozzájárulás</t>
  </si>
  <si>
    <t>Peres ügyek, Kártérítési díjak kifizetése ingatlantulajdonosok részére</t>
  </si>
  <si>
    <t>Jutasi úti műfüves pálya fenntartása (LUC)</t>
  </si>
  <si>
    <t>Többfunkciós csarnok szolgált. vásárlás</t>
  </si>
  <si>
    <t>TDM Irodától szolgáltatás vásárlása</t>
  </si>
  <si>
    <t>Programiroda szolgáltatás vásárlás</t>
  </si>
  <si>
    <t>Társadalmi tudatformálási kampányok (mobilitási hét, "Te Szedd", kerékpárral munkába)</t>
  </si>
  <si>
    <t>Városépítészeti feladatok</t>
  </si>
  <si>
    <t>Településfejlesztési feladatok</t>
  </si>
  <si>
    <t>Rekultivációt megelőző telephely fenntartási költség</t>
  </si>
  <si>
    <t>Aluljárók csapadékvíz átemelőinek üzemeltetése</t>
  </si>
  <si>
    <t>Szökőkutak, ivókutak szolgáltatási díjai</t>
  </si>
  <si>
    <t>Városgazdálkodási szolg.</t>
  </si>
  <si>
    <t>Közvilágítás</t>
  </si>
  <si>
    <t>Közműalagút működtetése</t>
  </si>
  <si>
    <t>Környezetvédelmi feladat (Városüzemeltetés feladatai)</t>
  </si>
  <si>
    <t>Környezetvédelmi feladat (Közigazgatási Iroda feladatai)</t>
  </si>
  <si>
    <t>Közterület Felügyelet, gyepmesteri telep</t>
  </si>
  <si>
    <t>Veszprém Város Közlekedésfejlesztéséért Közalapítvány támogatása (nyugdíjas bérletek)</t>
  </si>
  <si>
    <t>Nemzetiségi önkormányzatok kiadásai:</t>
  </si>
  <si>
    <t xml:space="preserve"> ebből: - Roma Nemzetiségi Önkormányzat</t>
  </si>
  <si>
    <t>- Német Nemzetiségi Önkormányzat</t>
  </si>
  <si>
    <t>- Örmény Nemzetiségi Önkormányzat</t>
  </si>
  <si>
    <t>- Lengyel Nemzetiségi Önkormányzat</t>
  </si>
  <si>
    <t>- Ukrán Nemzetiségi Önkormányzat</t>
  </si>
  <si>
    <t>Választókerületi keretből civil szervezetek támogatása</t>
  </si>
  <si>
    <t>Ebből: Önkormányzat által ellátott kötelező feladatok összesen:</t>
  </si>
  <si>
    <t>Ebből: Önkormányzat által ellátott önként vállalt feladatok összesen:</t>
  </si>
  <si>
    <t>KIMUTATÁS</t>
  </si>
  <si>
    <t>Módosítás</t>
  </si>
  <si>
    <t>Megjegyzés</t>
  </si>
  <si>
    <t>Göllesz Viktor Fogyatékos Személyek Nappali Intézménye</t>
  </si>
  <si>
    <t>Intézmények összesen:</t>
  </si>
  <si>
    <t>VMJV Önkormányzata</t>
  </si>
  <si>
    <t>ebből:</t>
  </si>
  <si>
    <t>Összesen</t>
  </si>
  <si>
    <t>1.</t>
  </si>
  <si>
    <t>Iparűzési adó</t>
  </si>
  <si>
    <t>Építményadó</t>
  </si>
  <si>
    <t>Telekadó</t>
  </si>
  <si>
    <t>Kommunális adó</t>
  </si>
  <si>
    <t>Idegenforgalmi adó</t>
  </si>
  <si>
    <t>Gépjárműadó</t>
  </si>
  <si>
    <t>2.</t>
  </si>
  <si>
    <t>3.</t>
  </si>
  <si>
    <t>4.</t>
  </si>
  <si>
    <t>5.</t>
  </si>
  <si>
    <t>Összesen:</t>
  </si>
  <si>
    <t>Veszprém Megyei Jogú Város Önkormányzata Intézményei</t>
  </si>
  <si>
    <t>Működési költségvetési bevételek</t>
  </si>
  <si>
    <t>Felhalmozási költségvetési bevételek</t>
  </si>
  <si>
    <t>Irányító szervtől kapott támogatás</t>
  </si>
  <si>
    <t>Működési bevételek</t>
  </si>
  <si>
    <t>Működési célú támogatás Áht-on belülről</t>
  </si>
  <si>
    <t>Működési célú átvett pénzeszköz</t>
  </si>
  <si>
    <t>Felhalmozási bevétel</t>
  </si>
  <si>
    <t>Felhalmozási célú támogatás Áht.-on belülről</t>
  </si>
  <si>
    <t>Felhalmozási célú átvett pénzeszköz</t>
  </si>
  <si>
    <t>Közcélú és közhasznú foglalkoztatás</t>
  </si>
  <si>
    <t>(Ringató Óvoda, Erdei Tagóvoda, Kuckó Tagóvoda)</t>
  </si>
  <si>
    <t>(Egry ltp. Óvoda, Nárcisz Tagóvoda)</t>
  </si>
  <si>
    <t>(Csillag úti Óvoda, Cholnoky ltp. Óvoda)</t>
  </si>
  <si>
    <t>(Kastélykert Óvoda, Ficánka Óvoda)</t>
  </si>
  <si>
    <t>Veszprémi Petőfi Színház</t>
  </si>
  <si>
    <t>INTÉZMÉNYEK ÖSSZESEN:</t>
  </si>
  <si>
    <t>VMJV Polgármesteri Hivatal által ellátott kötelező és önként vállalt feladatok</t>
  </si>
  <si>
    <t>N</t>
  </si>
  <si>
    <t>O</t>
  </si>
  <si>
    <t>P</t>
  </si>
  <si>
    <t>Felhalmozási költségvetési kiadások</t>
  </si>
  <si>
    <t>Egyéb felhalmozási célú kiadások</t>
  </si>
  <si>
    <t>Igazgatási tevékenység</t>
  </si>
  <si>
    <t>Gondnokság</t>
  </si>
  <si>
    <t>ISO 9001 minőségbiztosítás karbantartás</t>
  </si>
  <si>
    <t>Ebből:</t>
  </si>
  <si>
    <t>Önkormányzati kötelező feladatokat ellátó intézmények összesen</t>
  </si>
  <si>
    <t>Önkormányzat által önként vállalt feladatokat ellátó intézmények összesen</t>
  </si>
  <si>
    <t>VMJV Polgármesteri Hivatal által ellátott kötelező és államigazgatási feladatok összesen</t>
  </si>
  <si>
    <t>Veszprém Megyei Jogú Város Önkormányzatának</t>
  </si>
  <si>
    <t>Működési célú támogatások Áht-on belülről</t>
  </si>
  <si>
    <t>Önkormányzatok működési támogatásai</t>
  </si>
  <si>
    <t>Működési célú költségvetési támogatások és kiegészítő támogatások</t>
  </si>
  <si>
    <t>Egyéb működési célú támogatások bevételei</t>
  </si>
  <si>
    <t>ebből: Társadalombizt. Alapból származó támogatás</t>
  </si>
  <si>
    <t>Közhatalmi bevételek</t>
  </si>
  <si>
    <t>Adók</t>
  </si>
  <si>
    <t>Egyéb pótlékok, bírságok</t>
  </si>
  <si>
    <t>Egyéb közhatalmi bevételek (bírságok, igazgatási szolgáltatási díjak)</t>
  </si>
  <si>
    <t>Önkormányzati Intézmények működési bevételek</t>
  </si>
  <si>
    <t>Működési célú átvett pénzeszközök</t>
  </si>
  <si>
    <t>Önkormányzati Intézmények működési célú átvett pénzeszközök</t>
  </si>
  <si>
    <t>Felhalmozási célú támogatások Áht-on belülről</t>
  </si>
  <si>
    <t>Felhalmozási célú önkormányzati támogatások</t>
  </si>
  <si>
    <t>Egyéb felhalmozási célú támogatások bevételei</t>
  </si>
  <si>
    <t>Önkormányzati Intézmények felhalmozási célú támogatások Áht-on belülről</t>
  </si>
  <si>
    <t>Felhalmozási bevételek</t>
  </si>
  <si>
    <t>Ingatlanok értékesítése</t>
  </si>
  <si>
    <t>Önkormányzati Intézmények felhalmozási bevételei</t>
  </si>
  <si>
    <t>Felhalmozási célú átvett pénzeszközök</t>
  </si>
  <si>
    <t>Önkormányzati Intézmények felhalmozási célú átvett pénzeszközök</t>
  </si>
  <si>
    <t>Lakásalap</t>
  </si>
  <si>
    <t>Költségvetési bevételek összesen</t>
  </si>
  <si>
    <t>Költségvetési egyenleg összege</t>
  </si>
  <si>
    <t>Finanszírozási bevételek</t>
  </si>
  <si>
    <t>Intézmények</t>
  </si>
  <si>
    <t>VMJV Polgármesteri Hivatala</t>
  </si>
  <si>
    <t>Beruházási hitelfelvétel</t>
  </si>
  <si>
    <t>Előző évi hitelszerződéseken alapuló felvétel</t>
  </si>
  <si>
    <t>Bevételi főösszeg</t>
  </si>
  <si>
    <t xml:space="preserve">Cím  </t>
  </si>
  <si>
    <t>Intézményi költségvetési kiadások</t>
  </si>
  <si>
    <t>Céltartalékok</t>
  </si>
  <si>
    <t xml:space="preserve"> - Előző évi hitelszerződéshez kapcs. feladat</t>
  </si>
  <si>
    <t>Általános tartalék</t>
  </si>
  <si>
    <t>Lakásalap kiadása</t>
  </si>
  <si>
    <t>Költségvetési kiadások összesen</t>
  </si>
  <si>
    <t>Finanszírozási kiadások</t>
  </si>
  <si>
    <t>Működési finanszírozási kiadások</t>
  </si>
  <si>
    <t>Felhalmozási finanszírozási kiadások</t>
  </si>
  <si>
    <t xml:space="preserve"> - Hiteltörlesztés</t>
  </si>
  <si>
    <t xml:space="preserve"> - Lakásalap hiteltörlesztése</t>
  </si>
  <si>
    <t>Kiadási főösszeg</t>
  </si>
  <si>
    <t>VESZPRÉM MEGYEI JOGÚ VÁROS ÖNKORMÁNYZATÁNAK MŰKÖDÉSI ÉS FELHALMOZÁSI</t>
  </si>
  <si>
    <t>MŰKÖDÉSI KÖLTSÉGVETÉSI BEVÉTELEK</t>
  </si>
  <si>
    <t>MŰKÖDÉSI KÖLTSÉGVETÉSI KIADÁSOK</t>
  </si>
  <si>
    <t>Működési célú támogatások államháztartáson belülről</t>
  </si>
  <si>
    <t>Munkaadókat terhelő járulékok és szociális hozzájárulási adó</t>
  </si>
  <si>
    <t>Ellátottak pénzbeli juttatásai</t>
  </si>
  <si>
    <t>Egyéb működési célú kiadások (tartalékok nélkül)</t>
  </si>
  <si>
    <t>6.</t>
  </si>
  <si>
    <t>Működési költségvetési bevételek összesen</t>
  </si>
  <si>
    <t>Működési költségvetési kiadások összesen</t>
  </si>
  <si>
    <t>FELHALMOZÁSI KÖLTSÉGVETÉSI BEVÉTELEK</t>
  </si>
  <si>
    <t>FELHALMOZÁSI KÖLTSÉGVETÉSI KIADÁSOK</t>
  </si>
  <si>
    <t>Felhalmozási célú támogatások államháztartáson belülről</t>
  </si>
  <si>
    <t>Beruházási kiadások</t>
  </si>
  <si>
    <t>Felújítási kiadások</t>
  </si>
  <si>
    <t>Felhalmozási költségvetési bevételek összesen</t>
  </si>
  <si>
    <t>Felhalmozási költségvetési kiadások összesen</t>
  </si>
  <si>
    <t>MŰKÖDÉSI FINANSZÍROZÁSI BEVÉTELEK</t>
  </si>
  <si>
    <t>MŰKÖDÉSI FINANSZÍROZÁSI KIADÁSOK</t>
  </si>
  <si>
    <t>Rövid lejáratú hitel felvétele</t>
  </si>
  <si>
    <t>Rövid lejáratú hitel tőkeösszegének törlesztése</t>
  </si>
  <si>
    <t>FELHALMOZÁSI FINANSZÍROZÁSI BEVÉTELEK</t>
  </si>
  <si>
    <t>FELHALMOZÁSI FINANSZÍROZÁSI KIADÁSOK</t>
  </si>
  <si>
    <t>Hosszú lejáratú hitel felvétele</t>
  </si>
  <si>
    <t>Hosszú lejáratú hitel tőkeösszegének törlesztése</t>
  </si>
  <si>
    <t>Finanszírozási bevételek összesen</t>
  </si>
  <si>
    <t>Finanszírozási kiadások összesen</t>
  </si>
  <si>
    <t>ÖSSZES BEVÉTEL</t>
  </si>
  <si>
    <t>ÖSSZES KIADÁS</t>
  </si>
  <si>
    <t>ebből működési:</t>
  </si>
  <si>
    <t>ebből felhalmozási:</t>
  </si>
  <si>
    <t>Finanszírozási kiadásokkal korrigált hiány összege</t>
  </si>
  <si>
    <t>Működési bevételek aránya %-ban</t>
  </si>
  <si>
    <t>Működési kiadások aránya %-ban</t>
  </si>
  <si>
    <t>Felhalmozási bevételek aránya %-ban</t>
  </si>
  <si>
    <t>Felhalmozási kiadások aránya %-ban</t>
  </si>
  <si>
    <t xml:space="preserve"> </t>
  </si>
  <si>
    <t>Közfoglalkoztatottak létszáma</t>
  </si>
  <si>
    <t>I.</t>
  </si>
  <si>
    <t>Kiemelt művészeti együttesek támogatása</t>
  </si>
  <si>
    <t>Swing-Swing Kft. Szolgáltatás vásárlás</t>
  </si>
  <si>
    <t>Bérleményekkel, haszonbérletekkel kapcsolatos feladatok</t>
  </si>
  <si>
    <t>Csapadékcsatornák üzemeltetési szolgáltatásai</t>
  </si>
  <si>
    <t>Felhalmozási célú átvett pénzeszközök (kölcsönök visszatérülése)</t>
  </si>
  <si>
    <t>Felhalmozási célú költségvetési maradvány igénybevétele</t>
  </si>
  <si>
    <t>Működési célú  költségvetési maradvány igénybevétele</t>
  </si>
  <si>
    <t>Előző évi  költségvetési maradvány</t>
  </si>
  <si>
    <t>Államháztartáson belüli megelőlegezések</t>
  </si>
  <si>
    <t>Államháztartáson belüli megelőlegezések visszafizetése</t>
  </si>
  <si>
    <t>Veszprémi Ringató Körzeti Óvoda</t>
  </si>
  <si>
    <t>Veszprémi Egry úti Körzeti Óvoda</t>
  </si>
  <si>
    <t>Veszprémi Csillag úti Körzeti Óvoda</t>
  </si>
  <si>
    <t>Veszprémi Kastélykert Körzeti Óvoda</t>
  </si>
  <si>
    <t>Veszprémi Intézményi Szolgáltató Szervezet</t>
  </si>
  <si>
    <t>Nyári diákmunka</t>
  </si>
  <si>
    <t>Pannon Várszínház támogatás</t>
  </si>
  <si>
    <t>Beruházáshoz kapcsolódó működési kiadások:</t>
  </si>
  <si>
    <t>Végleges forgalomba helyezéshez szükséges ingatlanrendezés</t>
  </si>
  <si>
    <t>Út,-járda, parkoló építések tervezési munkái</t>
  </si>
  <si>
    <t>Erdész utca csapadékvízcsatorna tervezés, engedélyezés</t>
  </si>
  <si>
    <t>Észak - déli út II. szakasz - tervezési feladatok, kisajátítás, engedélyezés</t>
  </si>
  <si>
    <t>Felújításhoz kapcsolódó működési kiadások:</t>
  </si>
  <si>
    <t>Városi rendezvények</t>
  </si>
  <si>
    <t>SÉD folyóirat költségei</t>
  </si>
  <si>
    <t>M.J.V.SZ. tám. Kárpátalja megsegítésére</t>
  </si>
  <si>
    <t>ebből:  - Lélektér Alapítvány</t>
  </si>
  <si>
    <t xml:space="preserve">           - Tanulmányi ösztöndíj</t>
  </si>
  <si>
    <t xml:space="preserve">           - Fiatalok napja rendezvény</t>
  </si>
  <si>
    <t>Lakbértámogatás</t>
  </si>
  <si>
    <t>Települési támogatások</t>
  </si>
  <si>
    <t>Parkolók üzemeltetési költsége</t>
  </si>
  <si>
    <t>ebből: - Vár Ucca Műhely támogatása</t>
  </si>
  <si>
    <t xml:space="preserve">          - Veszprémi Szemle Várostörténeti Közhasznú Alapítvány Támogatása</t>
  </si>
  <si>
    <t>EÜ. Alapell. Intézm. - Cserhát ltp. 1. védőnői tanácsadó és gyermekorv.rendelő felújítása, kialakítása</t>
  </si>
  <si>
    <t>ebből:  - Rendkívüli támogatás</t>
  </si>
  <si>
    <t>Közfoglalkoztatottak és diákmunkások létszáma</t>
  </si>
  <si>
    <t>Egészségügyi feladatok ellátását szolgáló ingatlanrész bérleti díja és rezsiköltségek</t>
  </si>
  <si>
    <t>Szolgáltatások, közvetített szolgáltatások ellenértéke</t>
  </si>
  <si>
    <t>Tulajdonosi bevételek</t>
  </si>
  <si>
    <t>ÁFA bevételek és visszatérülések</t>
  </si>
  <si>
    <t xml:space="preserve">Egyéb működési  bevételek </t>
  </si>
  <si>
    <t>Költségvetési hiány belső finanszírozására szolgáló bevételek</t>
  </si>
  <si>
    <t>Költségvetési hiány külső finanszírozására szolgáló bevételek</t>
  </si>
  <si>
    <t>Feladatellátás jellege</t>
  </si>
  <si>
    <t>Kőbánya u. útrekonstrukció</t>
  </si>
  <si>
    <t>TOP-6.5.1 Laczkó Dezső Múzeum energetikai megújítása, előkészítő, engedélyezési terv</t>
  </si>
  <si>
    <t>Egyéb városüzemeltetési feladatok</t>
  </si>
  <si>
    <t>VKSZ Zrt. által ellátott városüzemeltetési feladatok</t>
  </si>
  <si>
    <t>VKSZ Zrt. által ellátott intézményüzemeltetési feladatok</t>
  </si>
  <si>
    <t>Intézményi működtetők költsége</t>
  </si>
  <si>
    <t>Szenvedélybetegek ellátásának működési kiadásaihoz támogatás</t>
  </si>
  <si>
    <t>Költségvetési maradvány</t>
  </si>
  <si>
    <t>eredeti előirányzat</t>
  </si>
  <si>
    <t>(Hársfa Tagóvoda, Bóbita Óvoda)</t>
  </si>
  <si>
    <t>Veszprémi Bóbita Körzeti Óvoda</t>
  </si>
  <si>
    <t>Veszprémi Vadvirág Körzeti Óvoda</t>
  </si>
  <si>
    <t>Járásszékhely települési önkormányzatok által fenntartott múzeumok szakmai támogatása</t>
  </si>
  <si>
    <t>Önkormányzati bérlakások felújítása</t>
  </si>
  <si>
    <t>Bérlakások üzemeltetési költségei</t>
  </si>
  <si>
    <t>Veszprém Megyei Jogú Város Önkormányzata által</t>
  </si>
  <si>
    <t>Támogatás összege</t>
  </si>
  <si>
    <t>Veszprémi Ifjúsági Közalapítvány</t>
  </si>
  <si>
    <t>Veszprém Város Vegyeskara</t>
  </si>
  <si>
    <t>17</t>
  </si>
  <si>
    <t>Vagyongazdálkodással és ingatlanhasznosítással összefüggő fel. (Földhivatali eljárások, vagyonértékelés)</t>
  </si>
  <si>
    <t>Alapítvány / egyesület / civil szervezet / társadalmi szervezet megnevezése</t>
  </si>
  <si>
    <t>Gizella Múzeum támogatása</t>
  </si>
  <si>
    <t>Polgármester, Alpolgármesterek</t>
  </si>
  <si>
    <t>Helyi önkormányzatok általános működéséhez és ágazati feladataihoz kapcsolódó támogatások</t>
  </si>
  <si>
    <t>Változás %-a</t>
  </si>
  <si>
    <t>1. Helyi önkormányzatok működésének általános támogatása</t>
  </si>
  <si>
    <t>2. Települési önkormányzatok egyes köznevelési feladatainak támogatása</t>
  </si>
  <si>
    <t>Óvodapedagógusok és az óvodapedagógusok nevelő munkáját közvetlenül segítők bértámogatása</t>
  </si>
  <si>
    <t>Óvodaműködtetési támogatás</t>
  </si>
  <si>
    <t>Kiegészítő támogatás az óvodapedagógusok minősítéséből adódó többletkiadásokhoz</t>
  </si>
  <si>
    <t>Szociális étkeztetés</t>
  </si>
  <si>
    <t>Házi segítségnyújtás</t>
  </si>
  <si>
    <t>Időskorúak nappali intézményi ellátása</t>
  </si>
  <si>
    <t>Családok és hajléktalanok átmeneti elhelyezése</t>
  </si>
  <si>
    <t>Idősek átmeneti és tartós szociális szakosított ellátásának támogatása</t>
  </si>
  <si>
    <t>Gyermekétkeztetés támogatása</t>
  </si>
  <si>
    <t>Rászoruló gyermekek intézményen kívüli szünidei étkeztetése</t>
  </si>
  <si>
    <t>4. Települési önkormányzatok kulturális feladatainak támogatása</t>
  </si>
  <si>
    <t>Megyei hatáskörű városi múzeumok  feladatainak támogatása</t>
  </si>
  <si>
    <t>Megyei könyvtárak feladatainak támogatása</t>
  </si>
  <si>
    <t>Megyeszékhely megyei jogú városok közművelődési támogatása</t>
  </si>
  <si>
    <t>Megyei könyvtár kistelepülési könyvtári célú kiegészítő támogatása</t>
  </si>
  <si>
    <t>Zenekarok támogatása</t>
  </si>
  <si>
    <t>(Csillagvár Waldorf Tagóvoda, Vadvirág Óvoda)</t>
  </si>
  <si>
    <t>tájékoztató jelleggel az Áht. 24.§ (4) bekezdés b) pontja alapján</t>
  </si>
  <si>
    <t>Sorszám</t>
  </si>
  <si>
    <t>Játszóeszközök kopásból, elhasználódásból adódó karbantartása, felújítása</t>
  </si>
  <si>
    <t>Kittenberger K. Növény és Vadaspark Kht. működéséhez hozzájárulás</t>
  </si>
  <si>
    <t>Veszprém TV közszolgálati műsorok támogatása</t>
  </si>
  <si>
    <t>Swing-Swing Kft. (Hangvilla) szolgáltatási szerződés</t>
  </si>
  <si>
    <t>Veszprém Stromfeld A. u. 9/E. szám alatti ingatlanrész rendőrségi körzeti megbízotti iroda működtetése céljára</t>
  </si>
  <si>
    <t>Veszprém Egyetemi és Diák Atlétikai Club</t>
  </si>
  <si>
    <t>Veszprém Kosárlabda Korlátolt Felelősségű Társasággal együttműködési megállapodás (Veszprémi Egyetemi SC kosárlabda szakosztály)</t>
  </si>
  <si>
    <t>Futsal Club Veszprém</t>
  </si>
  <si>
    <t>Cuha Völgye Egyesületi tagdíj (5 Ft/lakos)</t>
  </si>
  <si>
    <t>ÖKOpolisz Klaszter tagdíj</t>
  </si>
  <si>
    <t>Balatoni Szövetség</t>
  </si>
  <si>
    <t>Megyei Jogú Városok Szövetsége tagdíj</t>
  </si>
  <si>
    <t>Máltai Szeretetszolgálat (ellátási szerződés)</t>
  </si>
  <si>
    <t>Központi orvosi ügyelet külső szolgáltatóval történő működtetése, az alapellátási központi orvosi ügyelet további működtetése</t>
  </si>
  <si>
    <t>Önkormányzati kiadások összesen:</t>
  </si>
  <si>
    <t>hiteltörlesztésének, hitelállományának és egyéb kötelezettségeinek alakulásáról</t>
  </si>
  <si>
    <t>Q</t>
  </si>
  <si>
    <t>Hitel megnevezése</t>
  </si>
  <si>
    <t>Hitelt nyújtó pénzintézet</t>
  </si>
  <si>
    <t>Hitelszerződés dátuma</t>
  </si>
  <si>
    <t>Lejárat idő- pontja</t>
  </si>
  <si>
    <t>Hitelkeret</t>
  </si>
  <si>
    <t>OTP Bank</t>
  </si>
  <si>
    <t>Beruházási hitel - SMO 2011.</t>
  </si>
  <si>
    <t>UniCredit Bank</t>
  </si>
  <si>
    <t xml:space="preserve">Beruházási hitel - Célhitel 2013. </t>
  </si>
  <si>
    <t>Beruházási hitel - MFB 2013.</t>
  </si>
  <si>
    <t>Takarékbank</t>
  </si>
  <si>
    <t>7.</t>
  </si>
  <si>
    <t>Pénzintézetekkel szemben fenálló kötelezettségek összesen</t>
  </si>
  <si>
    <t xml:space="preserve">                  </t>
  </si>
  <si>
    <t>tájékoztató jelleggel az Áht. 24. § (4) bekezdés c) pontja alapján</t>
  </si>
  <si>
    <t>Törvények és helyi rendeletek által nyújtott mentességek, kedvezmények</t>
  </si>
  <si>
    <t>Közvetett támogatás  ezer Forintban</t>
  </si>
  <si>
    <t>Adóhivatal:</t>
  </si>
  <si>
    <t>Ellátottak térítési díjának, illetve kártérítésének méltányossági alapon történő elengedésének összege</t>
  </si>
  <si>
    <t>Lakosság részére lakásépítéshez, lakásfelújításhoz nyújtott kölcsönök elengedésének összege</t>
  </si>
  <si>
    <t>Helyiségek, eszközök hasznosításából származó bevételből nyújtott kedvezmény, mentesség összege</t>
  </si>
  <si>
    <t>Egyéb nyújtott kedvezmény, vagy kölcsön elengedésének összege</t>
  </si>
  <si>
    <t>Veszprémi Bölcsődei és Egészségügyi Alapellátási Integrált Intézmény</t>
  </si>
  <si>
    <t xml:space="preserve"> - Gizella Kórus/Dowland Alapítvány</t>
  </si>
  <si>
    <t xml:space="preserve">Központi orvosi ügyelet </t>
  </si>
  <si>
    <t>TOP-6.2.1-15-VP1-2016-00002 Gyulafirátóti óvoda újjáépítése</t>
  </si>
  <si>
    <t>ELENA projekt előkészítési feladatokra konzorciumi hozzájárulás</t>
  </si>
  <si>
    <t>TOP-6.2.1-15-VPI-2016-00003 Egry úti óvoda újjáépítése</t>
  </si>
  <si>
    <t>TOP-6.3.3-15-VPI-2016-00001 Kertváros csapadékelvezető rendszer rekonstrukciója I. ütem</t>
  </si>
  <si>
    <t>TOP-6.2.1-15-VPI-2016-00001 Aprófalvi bölcsőde kapacitásbővítő átalakítása</t>
  </si>
  <si>
    <t xml:space="preserve">           - Veszprémi Ifjúsági Közalapítvány</t>
  </si>
  <si>
    <t>Mendelssohn Kamarazenekar</t>
  </si>
  <si>
    <t xml:space="preserve"> Európai Uniós forrásból finanszírozott támogatással megvalósuló programok, projektek bevételeiről és kiadásairól az Ávr. 24. § (1) bekezdés a.) és bd.) pontjainak megfelelően</t>
  </si>
  <si>
    <t>Program megnevezés</t>
  </si>
  <si>
    <t>Program megvalósításának ideje</t>
  </si>
  <si>
    <t>Saját erő</t>
  </si>
  <si>
    <t>EU támogatás összesen</t>
  </si>
  <si>
    <t>EU támogatás</t>
  </si>
  <si>
    <t>TOP.6.6.1-15-VP2-2016-00001 Egészségház építése</t>
  </si>
  <si>
    <t>TOP-6.6.2-15-VP1-2016-00001 Idős demensek nappali ellátójának kialakítása</t>
  </si>
  <si>
    <t>TOP-6.4-1-15-VP1-2016-00002 Fenntartható Város Mobilitási terv készítése Veszprém Megyei Jogú Város területére (SUMP)</t>
  </si>
  <si>
    <t xml:space="preserve">Család- és gyermekjóléti szolgálat </t>
  </si>
  <si>
    <t>Család- és gyermekjóléti központ</t>
  </si>
  <si>
    <t>Fogyatékos személyek nappali intézményi ellátása</t>
  </si>
  <si>
    <t>Demens személyek nappali intézményi ellátása</t>
  </si>
  <si>
    <t>Bölcsődei, mini bölcsődei ellátás (kedvezményes étk. támog. nélkül)</t>
  </si>
  <si>
    <t>3. Települési önkormányzatok szociális, gyermekjóléti és gyermek-étkeztetési feladatainak támogatása</t>
  </si>
  <si>
    <t>VMJV Önkormányzat</t>
  </si>
  <si>
    <t xml:space="preserve">Veszprémi Bóbita Körzeti Óvoda </t>
  </si>
  <si>
    <r>
      <t>Ebből</t>
    </r>
    <r>
      <rPr>
        <i/>
        <sz val="10"/>
        <rFont val="Palatino Linotype"/>
        <family val="1"/>
        <charset val="238"/>
      </rPr>
      <t>: költségvetési támogatás</t>
    </r>
  </si>
  <si>
    <t>Veszprémi Vadvirág Körzeti Óvoda                                                (Csillagvár Waldorf Tagóvoda, Vadvirág Óvoda)</t>
  </si>
  <si>
    <t>Veszprémi Kastélykert Körzeti Óvoda                                       (Kastélykert Óvoda, Ficánka Óvoda)</t>
  </si>
  <si>
    <t xml:space="preserve">B </t>
  </si>
  <si>
    <t>Projekt forrás összetétel</t>
  </si>
  <si>
    <t>Projekt költség megbontás</t>
  </si>
  <si>
    <t>2016. évi            tény</t>
  </si>
  <si>
    <t>2016. évi                tény</t>
  </si>
  <si>
    <t>1-16</t>
  </si>
  <si>
    <t>Tőke-törlesztés 2020</t>
  </si>
  <si>
    <t>Kamat 2020</t>
  </si>
  <si>
    <t>Rövid lejáratú hitel (1500M Ft)</t>
  </si>
  <si>
    <t>Beruházási hitel  - MFB 2014</t>
  </si>
  <si>
    <t>Beruházási hitel - Célhitel 2014</t>
  </si>
  <si>
    <t>Polgármesteri Hivatal épületeinek takarítási feladatainak ellátása</t>
  </si>
  <si>
    <t>a Veszprém Megyei Jogú Város Önkormányzata Támogatási Szerződéssel rendelkező</t>
  </si>
  <si>
    <t>Erdész u.-i parkoló építés</t>
  </si>
  <si>
    <t>Orgona utca átépítésének kivitelezése</t>
  </si>
  <si>
    <t>Petőfi Sándor utca rekonstrukciója</t>
  </si>
  <si>
    <t>Stromfeld Aurél utca akadálymentesítés</t>
  </si>
  <si>
    <t>Eü. Alapellátás</t>
  </si>
  <si>
    <t>Megyei Könyvtár kistelepülési könyvtári és közművelődési célú kiegészítő állami támogatás</t>
  </si>
  <si>
    <t>Gépkocsi gumiabroncs beszerzés</t>
  </si>
  <si>
    <t>Mihály-napi búcsú</t>
  </si>
  <si>
    <t>Stadion üzemeltetése</t>
  </si>
  <si>
    <t>Városi ifjúsági keret</t>
  </si>
  <si>
    <t>Rendszeres gyermekvédelmi kedvezmény/pénzbeli ellátás</t>
  </si>
  <si>
    <t>Szünidei gyermekétkeztetés</t>
  </si>
  <si>
    <t xml:space="preserve">          - Lakásfenntartási támogatás </t>
  </si>
  <si>
    <t xml:space="preserve">          - Albérleti támogatás</t>
  </si>
  <si>
    <t xml:space="preserve">          - Temetési támogatás</t>
  </si>
  <si>
    <t xml:space="preserve">          - Térítési díj</t>
  </si>
  <si>
    <t xml:space="preserve">          - Gyógyszertámogatás</t>
  </si>
  <si>
    <t xml:space="preserve">         - Adósságcsökkentési támogatás</t>
  </si>
  <si>
    <t xml:space="preserve">         - Szünidei gyermekétkeztetés</t>
  </si>
  <si>
    <t>Nevelési szolgáltatás</t>
  </si>
  <si>
    <t>Német Nemzetiségi Önk. helységének bérleti díja</t>
  </si>
  <si>
    <t>Szolidaritási hozzájárulás</t>
  </si>
  <si>
    <t xml:space="preserve">Észak-Nyugati Közlekedési Központ Zrt. Helyi közösségi közlekedés közszolgáltatás és veszteségkiegyenlítés </t>
  </si>
  <si>
    <t>Önkormányzati tulajdonú ingatlanok művelési ág változásával járó költségek (Földhivatal)</t>
  </si>
  <si>
    <t>Közmű alaptérkép változásvezetés</t>
  </si>
  <si>
    <t>Térinformatikai rendszer adatfeltöltés, fakataszter</t>
  </si>
  <si>
    <t>Óvodai csoportok átmeneti elhelyezését szolgáló konténerek bérleti díja</t>
  </si>
  <si>
    <t>TOP-6.8.2-15-VPI-2016-00001 Helyi foglalkoztatási együttműködések a megyei jogú város területén és várostérségben, foglalkoztatási együttműködés a veszprémi járás területén</t>
  </si>
  <si>
    <t>TOP-6.4.1-15-VP1-2016-00001"Közlekedésbiztonsági és kerékpárosbarát fejlesztések megvalósulása Veszprém város területén"</t>
  </si>
  <si>
    <t>Szentkirályszabadja - Veszprém Reptér tulajdonjogának megszerzéséhez kapcsolódó per- és egyéb költség</t>
  </si>
  <si>
    <t>DAT térképfrissítés, földkönyv, közműnyilvántartás, GPS</t>
  </si>
  <si>
    <t>Rendezési terv felülvizsgálat megjelenítése a térinformatikai rendszerben</t>
  </si>
  <si>
    <t>Hiány finanszírozása belső finanszírozásra szolgáló költségvetési bevétel összegével</t>
  </si>
  <si>
    <t>Hiány finanszírozása külső finanszírozásra szolgáló költségvetési bevétel összegével</t>
  </si>
  <si>
    <t>DTP1-1-311-2.2 Interreg Duna Nemzetközi Program Networld*</t>
  </si>
  <si>
    <t>Országgyűlési képviselők választása 2018.</t>
  </si>
  <si>
    <t>KÖFOP-1.2.1-VEKOP-16-2017-01268, Veszprém Megyei Jogú Város Önkormányzata ASP Központhoz való csatlakozása</t>
  </si>
  <si>
    <t>Csillagvár Waldorf Tagóvoda</t>
  </si>
  <si>
    <t>Hársfa Tagóvoda</t>
  </si>
  <si>
    <t>Nárcisz Tagóvoda</t>
  </si>
  <si>
    <t>Cholnoky Jenő Ltp. Tagóvoda</t>
  </si>
  <si>
    <t>Ficánka Tagóvoda</t>
  </si>
  <si>
    <t>Tárgyi eszközök beszerzésére</t>
  </si>
  <si>
    <t>Hóvirág Bölcsőde</t>
  </si>
  <si>
    <t>Vackor Bölcsőde</t>
  </si>
  <si>
    <t>Aprófalvi Bölcsőde</t>
  </si>
  <si>
    <t>Módszertani Bölcsőde</t>
  </si>
  <si>
    <t>Fogorvosi körzeteknek működési hozzájárulás</t>
  </si>
  <si>
    <t>Fogorvosi körzetek részére pályázati alap</t>
  </si>
  <si>
    <t>Paktum Iroda működéséhez hozzájárulás</t>
  </si>
  <si>
    <t>Magyar-Lengyel Barátság napja</t>
  </si>
  <si>
    <t>Állatmenhelyek támogatása</t>
  </si>
  <si>
    <t>Helikoni Ünnepségek Keszthelyen (diákok nevezési díjai)</t>
  </si>
  <si>
    <t>Hatósági engedélyek beszerzése, hatályban tartása</t>
  </si>
  <si>
    <t>Közlekedési Igazgatóság költségei</t>
  </si>
  <si>
    <t>"Városom Veszprém", "Virágos Magyarországért" és "Entente Florale" verseny szervezési, előkészítési, lebonyolítási költségei</t>
  </si>
  <si>
    <t>Repülőtér üzemeltetése</t>
  </si>
  <si>
    <t>Musica Sacra Alapítvány</t>
  </si>
  <si>
    <t>Veszprémi Deák Ferenc Ált. Iskoláért Közhasznú Alapítvány</t>
  </si>
  <si>
    <t>Fúvós Kultúráért Alapítvány támogatása</t>
  </si>
  <si>
    <t>Balaton Vívóklub</t>
  </si>
  <si>
    <t>DTP1-1-311-2.2 Interreg Duna Nemzetközi Program Netwold</t>
  </si>
  <si>
    <t>TOP 6.1.5-16-VPI-2017-00001 Északi Iparterület Közlekedésfejlesztése</t>
  </si>
  <si>
    <t>MVP Veszprémi Petőfi Színház komplex fejlesztése</t>
  </si>
  <si>
    <t>TOP-6.3.3-15 Csapadékvíz-elvezető rendszer rekonstrukciója I. ütem - Dózsaváros előkészítő, engedélyezési, kiviteli és tender terv</t>
  </si>
  <si>
    <t>Táncsics utcai rendelő felújítása</t>
  </si>
  <si>
    <t>Egészségház közműfejlesztési költségek</t>
  </si>
  <si>
    <t>Védőnői és háziorvosi körzetek költöztetési költsége</t>
  </si>
  <si>
    <t>Állatkert építési engedélyezési tervek</t>
  </si>
  <si>
    <t>Gyulafirátót 10089/4 hrsz-ú ingatlan közműfejlesztési költségei</t>
  </si>
  <si>
    <t>Veszprémi Dózsa György Német Nemzetiségi Nyelvoktató Általános Iskola - nyílászáró csere 2 tanteremben</t>
  </si>
  <si>
    <t>TOP-6.3.3-16-VP1-2017-00001 Dózsaváros, Pápai úti csapadékvíz-elvezető rendszer fejlesztése</t>
  </si>
  <si>
    <t>TOP-6.6.1-16-VP1-2017-00001 Gyulafirátóti rendelő felújítása</t>
  </si>
  <si>
    <t>TOP – 6.3.2 Zöldváros kialakítása (Kulturális negyed - Színházkert, Megyeház tér, Erzsébet liget, Erzsébet sétány – fejlesztése)</t>
  </si>
  <si>
    <t>EFOP-1.9.9-17-2017-00004 Még jobb kezekben - Veszprémben</t>
  </si>
  <si>
    <t>Veszprém, Pápai út 37. szám alatti ingatlanon munkásszállás kialakítása</t>
  </si>
  <si>
    <t>MVP Kittenberger Kálmán Növény- és Vadaspark fejlesztése és bővítése</t>
  </si>
  <si>
    <t>MVP Veszprémi Zeneművészeti Szakgimnázium és Alapfokú Művészeti Iskola intézményegysége, a Csermák Antal Zeneiskola felújításának megvalósítása</t>
  </si>
  <si>
    <t>A Várlift építészeti tervpályázat lebonyolítása</t>
  </si>
  <si>
    <t>Veszprémi Torna Club részére könnyűszerkezetes sportlétesítmény építése</t>
  </si>
  <si>
    <t>Gyulafirátót Németh u. útrekonstrukció I. ütem csapadékvíz elvezetés</t>
  </si>
  <si>
    <t>Veszprém Foci Centrum Utánpótlás SE</t>
  </si>
  <si>
    <t>Veszprémi Egyetemi és Diák Atlétikai Club</t>
  </si>
  <si>
    <t>Török I.u. - Aulich összekötés</t>
  </si>
  <si>
    <t>Máltai Szeretetszolgálat</t>
  </si>
  <si>
    <t>Veszprémi Labdarúgó és Sportszervező Korlátolt Felelősségű Társaság támogatása</t>
  </si>
  <si>
    <t>Fogorvosok működési hozzájárulás</t>
  </si>
  <si>
    <t>Fogorvosi körzet pályázati alap</t>
  </si>
  <si>
    <t>Kulturális kínálat bővítés/ amatőr művészeti csoportok támogatása</t>
  </si>
  <si>
    <t>Tőke-törlesztés 2021</t>
  </si>
  <si>
    <t>Kamat 2021</t>
  </si>
  <si>
    <t>Hiszek Benned Sport Program</t>
  </si>
  <si>
    <t>Veszprémi Kistérségi Társulásnak pénzeszköz átadás (Egyesített Szoc.Int.)</t>
  </si>
  <si>
    <t>Közutak, hidak fenntartása</t>
  </si>
  <si>
    <t>2019. év</t>
  </si>
  <si>
    <t xml:space="preserve"> - Viziközmű fejlesztés</t>
  </si>
  <si>
    <t>Művészetek Háza Veszprém Művelődési Ház és Kiállítóhely</t>
  </si>
  <si>
    <t>Kabóca Bábszínház</t>
  </si>
  <si>
    <r>
      <rPr>
        <b/>
        <sz val="10"/>
        <rFont val="Palatino Linotype"/>
        <family val="1"/>
        <charset val="238"/>
      </rPr>
      <t>EFOP-1.9.9-17-2017-00004</t>
    </r>
    <r>
      <rPr>
        <sz val="10"/>
        <rFont val="Palatino Linotype"/>
        <family val="1"/>
        <charset val="238"/>
      </rPr>
      <t xml:space="preserve"> Még jobb kezekben - Veszprémben</t>
    </r>
  </si>
  <si>
    <r>
      <rPr>
        <b/>
        <sz val="10"/>
        <rFont val="Palatino Linotype"/>
        <family val="1"/>
        <charset val="238"/>
      </rPr>
      <t>EFOP-4.1.9-16-2017-00014</t>
    </r>
    <r>
      <rPr>
        <sz val="10"/>
        <rFont val="Palatino Linotype"/>
        <family val="1"/>
        <charset val="238"/>
      </rPr>
      <t xml:space="preserve"> A múzeumi és levéltári intézményrendszer tanulás segítő infrastrukturális fejlesztései -Laczkó Dezső Múzeumban oktatótermek és kiszolgáló helyiségek kialakítása</t>
    </r>
  </si>
  <si>
    <r>
      <rPr>
        <b/>
        <sz val="10"/>
        <rFont val="Palatino Linotype"/>
        <family val="1"/>
        <charset val="238"/>
      </rPr>
      <t>EFOP-3.3.2-16-2016-00107</t>
    </r>
    <r>
      <rPr>
        <sz val="10"/>
        <rFont val="Palatino Linotype"/>
        <family val="1"/>
        <charset val="238"/>
      </rPr>
      <t xml:space="preserve"> Kulturális intézmények a köznevelés eredményességéért</t>
    </r>
  </si>
  <si>
    <t xml:space="preserve">Kabóca Bábszínház </t>
  </si>
  <si>
    <t>2017. évi tény</t>
  </si>
  <si>
    <t>TOP-6.4.1-16-VP1-17-00001 Kerékpárút építése Alsóörs - Felsőörs irányába</t>
  </si>
  <si>
    <t>TOP-6.5.1-16-VP1-2017-00001 Veszprém Városra vonatkozó fenntartható energia és klíma akcióterv (SECAP) elkészítése</t>
  </si>
  <si>
    <t>EFOP-2.4.2-17-2018-00012 Szociális bérlakások felújítása Veszprémben</t>
  </si>
  <si>
    <t>Időközi helyi önkormányzati képviselő választás 2018.</t>
  </si>
  <si>
    <t>TOP-6.6.1-16-VP1-2017-00002 Kádártai rendelő felújítása</t>
  </si>
  <si>
    <t>601835-CITIZ-1-2018-1-HU-CITIZ-NT Reveal YouropEaN Cultural Heritage/Tárd fel  európai kulturális örökségedet (ENriCH)</t>
  </si>
  <si>
    <t>Mentorprogram pályakezdők részre, együttműködési megállapodás az Életet Segítő Alapítvánnyal az 57/2018. (III.29.) határozat alapján</t>
  </si>
  <si>
    <t>TOP-6.4.1-15-VP1-2016-00001 Közlekedésbiztonsági és kerékpárosbarát fejlesztések megvalósulása Veszprém város területén</t>
  </si>
  <si>
    <t>** Ezen projektek esetében a 2018. évi EU támogatás negatív előirányzata az EU támogatás visszautalását jelenti.</t>
  </si>
  <si>
    <t>Veszprémi Családsegítő és Gyermekjóléti Integrált Intézmény</t>
  </si>
  <si>
    <t>Agóra Veszprém Kulturális Központ</t>
  </si>
  <si>
    <t xml:space="preserve">Agóra Veszprém Kulturális Központ </t>
  </si>
  <si>
    <t>1-17</t>
  </si>
  <si>
    <t>18</t>
  </si>
  <si>
    <t>Nemzetiségi pótlék</t>
  </si>
  <si>
    <t>Óvodai és iskolaiszociális segítő tevékenység támogatása</t>
  </si>
  <si>
    <t>Napsugár Bölcsőde</t>
  </si>
  <si>
    <t>TOP-6.4.1-16-VP1-2018-00002 Kerékpárút építése Márkó-Bánd települések irányába</t>
  </si>
  <si>
    <t xml:space="preserve">          - 10 éves kiadvány</t>
  </si>
  <si>
    <t>Veszprém Város Vegyeskar utánpótlás/Dúdoló Kórus</t>
  </si>
  <si>
    <t>Oktatási intézmények támogatása</t>
  </si>
  <si>
    <t>Téli rezsicsökkentésben nem részesültek egyszeri támogatása</t>
  </si>
  <si>
    <t>V-Busz Kft. Szolgáltatás vásárlás</t>
  </si>
  <si>
    <t>Környezet terhelés vizsgálat K-Ny-i főtengely I. ütem</t>
  </si>
  <si>
    <t>VESZOL - Veszprém, Pápai u. 37. sz. munkásszálló működetési feladatai</t>
  </si>
  <si>
    <t>MVP Veszprémi Zeneművészeti Szakgimnázium és Alapfokú Művészeti Iskola intézményegysége, a Csermák Antal Zeneiskola felújításához tartozó költöztetési feladatok elvégzése</t>
  </si>
  <si>
    <t>TOP orvosi rendelők felújításához tartozó költöztetési munkák</t>
  </si>
  <si>
    <t>Felújításra kerülő bölcsődék költöztetési, eszközszállítási feladatai</t>
  </si>
  <si>
    <t xml:space="preserve">EFOP-1.9.9-17-2017-00004 Még jobb kezekben - Veszprémben </t>
  </si>
  <si>
    <t>V-Busz Kft. Cégalapítás költségei</t>
  </si>
  <si>
    <t>Digitális Kódfejtő Alapítvány támogatása/Talentum Centrum Tehetséggondozó Alapítvány</t>
  </si>
  <si>
    <t>TOP-71.1. Helyi közösségi kezdeményezések (CLLD kulcsprojekt előkészítése)</t>
  </si>
  <si>
    <t>TOP-6.9.2 A helyi identitás és koházió erősítése</t>
  </si>
  <si>
    <t>Erasmus+K3 SporTown</t>
  </si>
  <si>
    <t>Gyulafirátóti rendelő felújítása költöztetés)</t>
  </si>
  <si>
    <t>Kádártai rendelő felújítása - Posta költöztetés</t>
  </si>
  <si>
    <t>9.sz. választókerületi járdaépítések</t>
  </si>
  <si>
    <t>A "Helyi foglalkoztatási együttműködések a megyei jogú város területén és várostérségben, foglalkoztatási együttműködés a veszprémi járás területén" projekt közbeszerzési eljárásával kapcsolatos fizetési kötelezettség</t>
  </si>
  <si>
    <t>Infrastruktúra fejlesztési feladatokhoz kapcsolódó kiadások</t>
  </si>
  <si>
    <t>Belváros komplett gazdasági, szociális, épített örökségvédelmi rehabilitációja és városfejlesztési stratégia elkészítése KDOP-3.1.1/D-2010-0001</t>
  </si>
  <si>
    <t>TOP-6.6.1-16-VP1 Jutasi u. 59. sz. alatti rendelő megújítása</t>
  </si>
  <si>
    <t>Jutasi u. 59. sz. alatti rendelő felújításához - költöztetés</t>
  </si>
  <si>
    <t>TOP 6.5.1-16 Önkormányzati épületek energetikai korszerűsítése</t>
  </si>
  <si>
    <t>MVP "Veszprémi új Városi Jégcsarnok építése"</t>
  </si>
  <si>
    <t>Tornászgyakorló kivitelezéséhez kapcsolódó közbeszerzés</t>
  </si>
  <si>
    <t>Veszprém, Óvári Ferenc u. 1. volt Zeneiskolában kiállításhoz szükséges költségekre</t>
  </si>
  <si>
    <t>Közbeszerzési szakértelem beszerzése (sportmarketing)</t>
  </si>
  <si>
    <t>Tagsági díj Balatoni Szövetség</t>
  </si>
  <si>
    <t>Felsőörs raktárbázis Felsőörs Szabadság tér 14 érintésvédelmi felülvizsgálata hatósági kötelezettség</t>
  </si>
  <si>
    <t>GINOP - 7.1.9-17-2018-00023 Veszprém kulturális turisztikai kínálatának fejlesztése</t>
  </si>
  <si>
    <t>Barátság park sportfejlesztések előkészítése, közmű ellátása</t>
  </si>
  <si>
    <t>Játszótérépítések</t>
  </si>
  <si>
    <t>Boglárka u.-Lóczy u. gyalogátkelő</t>
  </si>
  <si>
    <t>Festő utca rekonstrukciója, tervezés</t>
  </si>
  <si>
    <t>Polgármesteri Hivatal felújítási munkák</t>
  </si>
  <si>
    <t>Magyar Építőipari Múzeum Szent István u. épület fertőtlenítése és felújítása</t>
  </si>
  <si>
    <t>Védett sírok felújítása az Alsóvárosi temetőben</t>
  </si>
  <si>
    <t>Szilágyi Táncegyüttes Alapítvány</t>
  </si>
  <si>
    <t>Cholnoky Jazzbalettért Alapítvány</t>
  </si>
  <si>
    <t>Szent Miklós szeg környezetének fejlesztése, építészeti ötletpályázat</t>
  </si>
  <si>
    <t>Befektetés ösztönzési kiadványök (részvétel a Renexpo ingatlanfejlesztési vásáron, marketingakciók)</t>
  </si>
  <si>
    <t>Egyesített Szoc.Int. - Hóvirág utcai II.sz. Gondozási Központ 3.sz. Idősek Nappali Intézménye (9.vk. támogatása)</t>
  </si>
  <si>
    <t>Brusznyai Árpád Alapítvány támogatása</t>
  </si>
  <si>
    <t>Működési célú tartalékok</t>
  </si>
  <si>
    <t>Felhalmozási célú tartalékok</t>
  </si>
  <si>
    <t>Működési célú céltartalékok</t>
  </si>
  <si>
    <t>Felhalmozási célú céltartalékok</t>
  </si>
  <si>
    <t>I. Adósságot keletkeztető ügyletek összesen</t>
  </si>
  <si>
    <t>R</t>
  </si>
  <si>
    <t>S</t>
  </si>
  <si>
    <t>Tőke-törlesztés 2022</t>
  </si>
  <si>
    <t>Kamat 2022</t>
  </si>
  <si>
    <t>8.</t>
  </si>
  <si>
    <t>TOP-6.2.1-16-VP1-2018-00002 Egry úti óvoda újjáépítése</t>
  </si>
  <si>
    <t xml:space="preserve">TOP 6.5.1-16 Önkormányzati épületek energetikai korszerűsítése </t>
  </si>
  <si>
    <t>URBACT Innova Tor</t>
  </si>
  <si>
    <t>Projekt teljes költség</t>
  </si>
  <si>
    <t>2023. évi előirányzat</t>
  </si>
  <si>
    <t xml:space="preserve">Rekultivációt megelőző telephely fenntartási költség </t>
  </si>
  <si>
    <t>TOP-6.6.1-16-VP1-2018-00006 - Cserhát ltp.1.sz.alatti gyermekorvosi rendelők  felújítása</t>
  </si>
  <si>
    <t>TOP-6.5.1-16-VP1-2018-00005 - Március 15. utcai Sportcsarnok és Uszoda energetikai megújítása</t>
  </si>
  <si>
    <t>TOP-6.5.1-16-VP1-2018-00002 Völgyikút utca 2. szám alatti épület energetikai megújítása</t>
  </si>
  <si>
    <t>TOP-6.2.1-16-VP1-2018-00001  A Veszprémi Bölcsődei és Egészségügyi Alapellátási Integrált Intézmény Módszertani Bölcsődéje megújítása, illetve bölcsődei eszközbeszerzések</t>
  </si>
  <si>
    <t xml:space="preserve"> - Beruházási kiadásokra képzett céltartalék                     </t>
  </si>
  <si>
    <t xml:space="preserve"> - Intézményi beruházáshoz kapcsolódó létszámbővítés</t>
  </si>
  <si>
    <t>Hitel összege 2020. év</t>
  </si>
  <si>
    <t xml:space="preserve">          - Beiskolázási támogatás</t>
  </si>
  <si>
    <t>Magyarország gazdasági stabilitásáról szóló 2011. évi CXCIV. törvény szerint Kormányengedélyhez kötött, adósságot keletkeztető ügylet</t>
  </si>
  <si>
    <t>TOP-6.2.1-16-VP1-2018-00001  A Veszprémi Bölcsődei és Egészségügyi Alapellátási Integrált Intézmény Módszertani Bölcsődéje megújítása, illetve bölcsődei eszközbeszerzések (saját forrás)</t>
  </si>
  <si>
    <t>TOP-6.2.1-16-VP1-2018-00002 Egry úti óvoda újjáépítése (saját forrás)</t>
  </si>
  <si>
    <t>TOP-6.5.1-16-VP1-2018-00002 Völgyikút utca 2. szám alatti épület energetikai megújítása (saját forrás)</t>
  </si>
  <si>
    <t>2020. év</t>
  </si>
  <si>
    <t>2021. év</t>
  </si>
  <si>
    <t>2022. év</t>
  </si>
  <si>
    <t>Több éves kihatással járó döntések számszerűsítése éves bontásban</t>
  </si>
  <si>
    <t>2018. évi           tény</t>
  </si>
  <si>
    <t>2019. évi eredeti előirányzat</t>
  </si>
  <si>
    <t>2020. évi  előirányzat</t>
  </si>
  <si>
    <t>2018. évi tény</t>
  </si>
  <si>
    <t>2020. évi előirányzat</t>
  </si>
  <si>
    <t>2020. évi kiadási előirányzat</t>
  </si>
  <si>
    <t>2020. évi bevételi előirányzat</t>
  </si>
  <si>
    <t>VMJV Polgármesteri Hivatal összesen:</t>
  </si>
  <si>
    <t>Veszprémi Bóbita Körzeti Óvoda                                                                    (Hársfa Tagóvoda, Bóbita Óvoda)</t>
  </si>
  <si>
    <t>Veszprémi Ringató Körzeti Óvoda                                                              (Ringató Óvoda, Erdei Tagóvoda, Kuckó Tagóvoda)</t>
  </si>
  <si>
    <t>Veszprémi Egry úti Körzeti Óvoda                                                                          (Egry ltp. Óvoda, Nárcisz Tagóvoda)</t>
  </si>
  <si>
    <t>Veszprémi Csillag úti Körzeti Óvoda                                                                   (Csillag úti Óvoda, Cholnoky ltp. Óvoda)</t>
  </si>
  <si>
    <t>Teljesítés                      2018.          12.31.-ig</t>
  </si>
  <si>
    <t>2020. év utáni javaslat</t>
  </si>
  <si>
    <t>Munk.a. terh. Jár. És szoc.hj.adó</t>
  </si>
  <si>
    <t>TOP-6.3.2-16-VP1-2018-00001 Kulturális negyed</t>
  </si>
  <si>
    <t>Egyéb működési célú kiadások</t>
  </si>
  <si>
    <t>Teljes költség*</t>
  </si>
  <si>
    <t>* Az intézményeknél kimutatott adatokat is tartalmazza</t>
  </si>
  <si>
    <t>Működési költségvetési                                                                         kiadások</t>
  </si>
  <si>
    <r>
      <rPr>
        <b/>
        <sz val="10"/>
        <rFont val="Palatino Linotype"/>
        <family val="1"/>
        <charset val="238"/>
      </rPr>
      <t>TOP – 6.9.2 -16-VP1-2018-00001</t>
    </r>
    <r>
      <rPr>
        <sz val="10"/>
        <rFont val="Palatino Linotype"/>
        <family val="1"/>
        <charset val="238"/>
      </rPr>
      <t xml:space="preserve"> Közösségfejlesztés Veszprém város településrészein</t>
    </r>
  </si>
  <si>
    <t>Európa Parlament tagjainak 2019. évi választása</t>
  </si>
  <si>
    <t>Helyi és nemzetiségi önkormányzati képviselők 2019. évi választása</t>
  </si>
  <si>
    <t>Teljesítés                      2018.          12.31.-ig*</t>
  </si>
  <si>
    <t>2018. évi              tény</t>
  </si>
  <si>
    <t>alakulása 2019. és 2020. évben</t>
  </si>
  <si>
    <t>2020/2019.</t>
  </si>
  <si>
    <t xml:space="preserve"> - Működési kiadásokra képzett céltartalék</t>
  </si>
  <si>
    <t xml:space="preserve"> - Adóbevételekkel szembeni kötelezettség</t>
  </si>
  <si>
    <t>Óvodák összesen:</t>
  </si>
  <si>
    <t>Egészségügyi és szociális intézmények összesen:</t>
  </si>
  <si>
    <t>Kulturális és közművelődési intézmények összesen:</t>
  </si>
  <si>
    <t>TOP-6.6.1-16-VP1-2018-0003 "Jutasi u. 59. sz. alatti orvosi rendelők megújítása"</t>
  </si>
  <si>
    <t xml:space="preserve">Előir. csop. </t>
  </si>
  <si>
    <t>Kie-melt előir.</t>
  </si>
  <si>
    <t xml:space="preserve">Kie-melt előir. </t>
  </si>
  <si>
    <t xml:space="preserve"> Erdei és Kuckó Tagóvoda</t>
  </si>
  <si>
    <t>Önkormányzati működési kiadások</t>
  </si>
  <si>
    <t>INTÉZMÉNYEK BERUHÁZÁSI KIADÁSAI ÖSSZESEN:</t>
  </si>
  <si>
    <t>VMJV  Polgármesteri Hivatal beruházási kiadásai összesen:</t>
  </si>
  <si>
    <t>2020. évi engedélyezett létszám</t>
  </si>
  <si>
    <t>2020.</t>
  </si>
  <si>
    <t>2021-től</t>
  </si>
  <si>
    <t>a 2020. évi közvetett támogatásokról</t>
  </si>
  <si>
    <t>Erasmus +K3 SporTown</t>
  </si>
  <si>
    <t>TOP-6.5.1-16-VP1-2018-00004 Aprófalvi bölcsőde energetikai korszerűsítése</t>
  </si>
  <si>
    <t>TOP-6.6.1-16-VP1-2017-00002 Kádártai rendelő kialakítása</t>
  </si>
  <si>
    <t>TOP-6.5.1-16-VP1-2018-00006 Módszertani bölcsőde energetikai megújítása</t>
  </si>
  <si>
    <t>TOP-6.6.1-16-VP1-2018-00004 Vilonyai utca 2/B szám alatti orvosi rendelő megújítása</t>
  </si>
  <si>
    <t>TOP-6.6.1-16-VP1-2018-00005 Ördögárok u. 5. szám alatti orvosi rendelő megújítása</t>
  </si>
  <si>
    <t>TOP-6.1.5-16-VP1-2017-00001 Északi Iparterület Közlekedés-fejlesztése</t>
  </si>
  <si>
    <t>TOP-6.4.1-16-VP1-2018-00002 Márkó-Bánd települések irányába kerékpárút építése</t>
  </si>
  <si>
    <t>KEHOP-5.4.1-16-2016-00142 "Veszprém, az energiatudatos város"</t>
  </si>
  <si>
    <t xml:space="preserve">TOP-7.1.1-16-H-ERFA-2019-00078 Szent Miklós-szegi Kálvária domb és környékének infrastrukturális felújítása és funkcióbővítése </t>
  </si>
  <si>
    <t xml:space="preserve">Urbact Innova-tor </t>
  </si>
  <si>
    <t>"Creative Impulses for the Cities" DTP Interreg projekt</t>
  </si>
  <si>
    <t>"Scholl of Participation" - Creative Europe projekt</t>
  </si>
  <si>
    <t>"Ister DTP Interreg Projekt</t>
  </si>
  <si>
    <t>TOP-7.1.1-16-H-ERFA-2019-00372 Barátságparki csalánkert</t>
  </si>
  <si>
    <t>KEHOP-1.2.1-18-2019-00247 Veszprém MJV klímastratégia kidolgozása és klímatudatosságot erősítő, szemléletformáló programok megvalósítása</t>
  </si>
  <si>
    <t>Urban Innovative Actions Európai Uniós közösségi kezdeményezés</t>
  </si>
  <si>
    <t>TOP-6.9 "Közösségfejlesztés Veszprém város településrészein</t>
  </si>
  <si>
    <t>Erasmus+ KA1 " Media of the Future</t>
  </si>
  <si>
    <t>TOP-6.5-1-19 Laczkó Dezső Múzeum energetikai megújítása</t>
  </si>
  <si>
    <t>KEHOP-5.2.2 VSZC Ipari Szakgimnázium energetikai fejlesztése</t>
  </si>
  <si>
    <t>Iparos Park</t>
  </si>
  <si>
    <t>Veszprémi Petőfi Színház komplex fejlesztése</t>
  </si>
  <si>
    <t>Kittenberger Kálmán Növény- és Vadaspark fejlesztése és bővítése</t>
  </si>
  <si>
    <t>Veszprémi Zeneművészeti Szakgimnázium és Alapfokú Művészeti Iskola intézményegysége, a Csermák Antal Zeneiskola felújításának megvalósítása</t>
  </si>
  <si>
    <t>Veszprémi új Városi Jégcsarnok építése</t>
  </si>
  <si>
    <t>MVP feladatok előkészítés költségei</t>
  </si>
  <si>
    <t>Európa Kulturális Fővárosa I. ütem - nem elszámolható költségek</t>
  </si>
  <si>
    <t>Karácsonyi köztéri dekorációk beszerzése</t>
  </si>
  <si>
    <t>Kertészeti felújítások</t>
  </si>
  <si>
    <t>Játszótér építése</t>
  </si>
  <si>
    <t>Csikász u., Egyetem u., Stadion u., Hóvirág u. tömbbelső</t>
  </si>
  <si>
    <t>Hősök kapuja vizesedési gondok</t>
  </si>
  <si>
    <t>Intézményi játszóeszközök</t>
  </si>
  <si>
    <t>Térfigyelő kamerák</t>
  </si>
  <si>
    <t>Agóra parkoló, Halle u.</t>
  </si>
  <si>
    <t>TÁMOP-3.1.3-11/2-2012-0061 "Természettudományos közoktatási laboratórium kialakítása a veszprémi Ipari Szakközépiskola és Gimnáziumban"</t>
  </si>
  <si>
    <t>Kreatív Európa Program "Az együttműködés iskolája" projekt önerő</t>
  </si>
  <si>
    <t>Beruházások közműdíjai</t>
  </si>
  <si>
    <t>Leégett párizsi Notre Dame Katedrális támogatása</t>
  </si>
  <si>
    <t>Illegális hulladéklerakók felszámolása KIEFO/14535/2019-ITM</t>
  </si>
  <si>
    <t>Vörösmarty tér tömbbelső fejlesztés, I. ütem (csapadékvíz elvezés kiépítése) + II. ütem</t>
  </si>
  <si>
    <t>Petőfi Sándor utca rekonstrukciójai-III. ütem</t>
  </si>
  <si>
    <t>Csererdő csapadékvíz -tervezés</t>
  </si>
  <si>
    <t>6.vk. Gyalogátkelőhely tervezése (Ady E. u)</t>
  </si>
  <si>
    <t>Parkoló tervezése a Halle u.-i szám előtti területen</t>
  </si>
  <si>
    <t>Egry úti Óvoda újjáépítése miatt szükséges óvodai felújítások, konténer ovi telepítése</t>
  </si>
  <si>
    <t>Nagyfelületű út- és járdafelújítások</t>
  </si>
  <si>
    <t>Vízrendezési feladatok, árkok felújítása</t>
  </si>
  <si>
    <t>Kertvárosi utcák felújítása víziközmű rekonstrukció után</t>
  </si>
  <si>
    <t>Elkorhadt nyílászárók cseréje II. ütem</t>
  </si>
  <si>
    <t>Árnyékolás két pavilon teraszán</t>
  </si>
  <si>
    <t>Hátsó épület utólagos vízszigetelése, külső terepszint süllyesztése</t>
  </si>
  <si>
    <t>Erdei Tagóvoda</t>
  </si>
  <si>
    <t>Terasz árnyékolás</t>
  </si>
  <si>
    <t>Kuckó Tagóvoda</t>
  </si>
  <si>
    <t>Veszprémi Egry Úti Körzeti Óvoda</t>
  </si>
  <si>
    <t>Ereszcsatorna bővítés, csapadékelvezetés</t>
  </si>
  <si>
    <t>Burkolat cseréje szélfogóban, folyosón</t>
  </si>
  <si>
    <t>Veszprémi Csillag Úti Körzeti Óvoda</t>
  </si>
  <si>
    <t>Cholnoky Jenő Tagóvoda</t>
  </si>
  <si>
    <t>Éjszakai áramkör kialakítása</t>
  </si>
  <si>
    <t>Elektromos hálózat felújítása I. ütem</t>
  </si>
  <si>
    <t>Veszprémi Bölcsődei és Eü.Alapell. Integrált Int.</t>
  </si>
  <si>
    <t>Terasz árnyékolás megoldása 3 pavilonnál</t>
  </si>
  <si>
    <t>Vass-Gyűjtemény</t>
  </si>
  <si>
    <t>Kazán csere</t>
  </si>
  <si>
    <t>Fan-coil fűtési rendszer javítása</t>
  </si>
  <si>
    <t>Európa Kulturális Fővárosa beruházási feladatok (tervezés-előkészítés)</t>
  </si>
  <si>
    <t>Európa Kulturális Fővárosa II. ütem</t>
  </si>
  <si>
    <t>Működési kiadások</t>
  </si>
  <si>
    <t>Felhalmozási kiadások</t>
  </si>
  <si>
    <t>Európa Kulturális Fővárosa I. ütem</t>
  </si>
  <si>
    <t>Petőfi Sándor utca rekonstrukciója I-III. ütem</t>
  </si>
  <si>
    <t>Vörösmarty tér tömbbelső fejlesztés, I. ütem (csapadékvíz elvezetés kiépítése) + II. ütem</t>
  </si>
  <si>
    <t>Kulturális negyed tervezése II. ütem</t>
  </si>
  <si>
    <t>Bolgár Mihály utcai híd áteresz kapacitás bővítés, tervezés, engedélyezés, kivitelezés</t>
  </si>
  <si>
    <t>Egry utcai óvoda új villamos és gáz betáp vezeték tervezése és kiépítése, villamos kapacitásbővítés</t>
  </si>
  <si>
    <t>Gyulafirátóti köztéri játszótér eszközeinek elhelyezése</t>
  </si>
  <si>
    <t>82-es út közlekedésbiztonsági fejlesztése</t>
  </si>
  <si>
    <t xml:space="preserve">Erdőtelepítés és utógondozás (a 241/2009.(IX.15.) Közgyűlési határozat; Erdészeti Hatóság 28.3/1176-7/2010.(V.25.) és VE-G-001/3883-8/2013. sz. határozata; 298/2009.(X.20.) Vfkb és 48/2010.(II.16.) Vfkb </t>
  </si>
  <si>
    <t xml:space="preserve">Utcanévtáblák </t>
  </si>
  <si>
    <t>Kézi hulladékgyűjtők beszerzése</t>
  </si>
  <si>
    <t>Térfigyelő rendszer bővítése 51/2011. (IV.29.) VMJV Önk.</t>
  </si>
  <si>
    <t>Veszprém 0105/1 hrsz.alatti nem veszélyes hulladéklerakó részletes tényfeltárása</t>
  </si>
  <si>
    <t>8.vk. Hulladékgyűjtő elhelyezése a Kalmár térre</t>
  </si>
  <si>
    <t>8.vk. Kutyaürülék gyűjtő elhelyezése a Kalmár téren</t>
  </si>
  <si>
    <t>Hulladéklerakó környezetének vizsgálata és rekultiváció</t>
  </si>
  <si>
    <t>József Attila utca és Takácskert utcai körforgalmi csomópont tervezése</t>
  </si>
  <si>
    <t>Diósi M. u. parkolóépítés tervezés</t>
  </si>
  <si>
    <t>Közvilágítás fejlesztése (Zrínyi Miklós utca és a Káposztáskert utca)</t>
  </si>
  <si>
    <t>Helikopter statikus elhelyezése</t>
  </si>
  <si>
    <t>Közműalagút vészjelző rendszer tervezése és cseréje</t>
  </si>
  <si>
    <t>Vízbázisvédelmi feladatok KDKvTvVF 27063/05. sz. határozat</t>
  </si>
  <si>
    <t>Barátság park sport fejlesztések előkészítése, közmű ellátása</t>
  </si>
  <si>
    <t>CLLD - Városrészi közösségi és kulturális terek infrastrukturális felújítása, átépítése</t>
  </si>
  <si>
    <t>Aradi Vértanúk emlékmű pályázat tervezési díja</t>
  </si>
  <si>
    <t>Elektromos személygépjármű beszerzése 2 db.</t>
  </si>
  <si>
    <t>Völgyikút u. 2. villamos mérőhely kialakítás</t>
  </si>
  <si>
    <t>Járásszékhely múzeumok szakmai támogatása</t>
  </si>
  <si>
    <t>6.vk. Konstruktív dézsa</t>
  </si>
  <si>
    <t>Káposztáskert utcai távközlési kábel áthelyezése és új kiépítése</t>
  </si>
  <si>
    <t>VKSZ Zrt. által ellátott EKF feladatok</t>
  </si>
  <si>
    <t>Infrastrukturális feladatok</t>
  </si>
  <si>
    <t>Magyar Kórusok találkozója</t>
  </si>
  <si>
    <t>Dózsa György u. 34. 726/1 hrsz.-ú ingatlan vásárlás</t>
  </si>
  <si>
    <t>Játszóeszközök felújítása (78/2003 GKM rendelet)</t>
  </si>
  <si>
    <t>Programiroda Kft. törzstőke emelés</t>
  </si>
  <si>
    <t xml:space="preserve">Programiroda Kft. tőketartalékba helyezés </t>
  </si>
  <si>
    <t>Swing-Swing Kft. törzstőke emelés</t>
  </si>
  <si>
    <t>Swing-Swing Kft. tőketartalékba helyezés</t>
  </si>
  <si>
    <t>Veszprém - Balaton 2023 Zrt. törzstőke emelés</t>
  </si>
  <si>
    <t>Veszprém - Balaton 2023 Zrt. tőketartalékba helyezés</t>
  </si>
  <si>
    <t>Padbeszerzés és kihelyezés, avult padok bontása (141/2008(IV.22.) VFKB és 215/2008(VI.20.) VFKB</t>
  </si>
  <si>
    <t>MLSZ TAO pályaépítési program</t>
  </si>
  <si>
    <t xml:space="preserve">207/2019. (IX.26.) Közgy.h. GFT beruházás: Veszprém Séd 3. sz. kút bekötővezeték, Kút bekötése a települési hálózatba </t>
  </si>
  <si>
    <t>207/2019. (IX.26.) Közgy.h. GFT beruházás:  Veszprém Méhes utca, Támfal építéshez kapcsolódó ivóvíz-hálózat bővítés</t>
  </si>
  <si>
    <t xml:space="preserve">207/2019. (IX.26.) Közgy.h. GFT beruházás: Veszprém Reguly A. utca, Barnamezős beruházásokhoz kapcsolódóan ivóvízvezeték kapacitás bővítés </t>
  </si>
  <si>
    <t>Veszprém, Batthyány utca járda és tér rendezése a Görgey Artúr utca és a Batthyány utca közötti szakaszon</t>
  </si>
  <si>
    <t>Ady u. gyalogátkelőhely kialakítás</t>
  </si>
  <si>
    <t>Csillag úti óvoda parkoló építés</t>
  </si>
  <si>
    <t>Agóra VKK -Villámhárító tervezése, kivitelezése (Gyulafirátót)</t>
  </si>
  <si>
    <t>MKSZ Tornacsarnok Felújítási Program</t>
  </si>
  <si>
    <t>V-Busz Kft. - autóbusz vásárlás</t>
  </si>
  <si>
    <t xml:space="preserve"> - Képviselői keret</t>
  </si>
  <si>
    <t>Bábos raktár nyitott bútorzat befejezése</t>
  </si>
  <si>
    <t>Mosókonyha bejárati ajtó csere</t>
  </si>
  <si>
    <t>20 m2-es faház, játéktárolónak</t>
  </si>
  <si>
    <t>Gyulafirátóti Bölcsőde</t>
  </si>
  <si>
    <t>Védőnői Szolgálat</t>
  </si>
  <si>
    <t>Oktatási eszközök vásárlása iskolavédőnők részére</t>
  </si>
  <si>
    <r>
      <rPr>
        <b/>
        <sz val="10"/>
        <rFont val="Palatino Linotype"/>
        <family val="1"/>
        <charset val="238"/>
      </rPr>
      <t xml:space="preserve">TOP – 6.9.2 -16-VP1-2018-00001 </t>
    </r>
    <r>
      <rPr>
        <sz val="10"/>
        <rFont val="Palatino Linotype"/>
        <family val="1"/>
        <charset val="238"/>
      </rPr>
      <t>Közösségfejlesztés Veszprém város településrészein</t>
    </r>
  </si>
  <si>
    <t>Műtárgybeszerzés (NKA pályázat)</t>
  </si>
  <si>
    <r>
      <rPr>
        <b/>
        <sz val="10"/>
        <rFont val="Palatino Linotype"/>
        <family val="1"/>
        <charset val="238"/>
      </rPr>
      <t xml:space="preserve">EFOP-4.1.9-16-2017-00014 </t>
    </r>
    <r>
      <rPr>
        <sz val="10"/>
        <rFont val="Palatino Linotype"/>
        <family val="1"/>
        <charset val="238"/>
      </rPr>
      <t>A múzeumi és levéltári intézményrendszer tanulás segítő infrastrukturális fejlesztései -Laczkó Dezső Múzeumban oktatótermek és kiszolgáló helyiségek kialakítása</t>
    </r>
  </si>
  <si>
    <r>
      <rPr>
        <b/>
        <sz val="10"/>
        <rFont val="Palatino Linotype"/>
        <family val="1"/>
        <charset val="238"/>
      </rPr>
      <t xml:space="preserve">EFOP-3.3.2-16-2016-00107 </t>
    </r>
    <r>
      <rPr>
        <sz val="10"/>
        <rFont val="Palatino Linotype"/>
        <family val="1"/>
        <charset val="238"/>
      </rPr>
      <t>Kulturális intézmények a köznevelés eredményességéért</t>
    </r>
  </si>
  <si>
    <t>Személygépjármű vásárlás 1 db</t>
  </si>
  <si>
    <t>Közösség Kádártáért Egyesület</t>
  </si>
  <si>
    <t>Virágzó Veszprém Egyesület</t>
  </si>
  <si>
    <t>Lokálpatrióták a Városért Egyesület</t>
  </si>
  <si>
    <t>Veszprémi Kultúráért Közalapítvány (új kuratórium, könyvvizsgálat költségeire)</t>
  </si>
  <si>
    <t>Gerence Hagyományőrző Néptáncegyüttes támogatása</t>
  </si>
  <si>
    <t xml:space="preserve">            - Civil irodai szolgáltatások, civil ház</t>
  </si>
  <si>
    <t xml:space="preserve">            - Civil nap költségei</t>
  </si>
  <si>
    <t>Pszichiátriai betegek nappali ellátás ("Horgony" Pszichiátriai Betegekért Közhasznú Alapítvány)</t>
  </si>
  <si>
    <t>V-Busz Kft. 2019. évi ellentételezés</t>
  </si>
  <si>
    <t>Intézményi karbantartási költségek</t>
  </si>
  <si>
    <t>Intézményi közüzemi költségek</t>
  </si>
  <si>
    <t>Kolostorok és kertek működtetése</t>
  </si>
  <si>
    <t>Viziközmű vagyonértékelés költségei</t>
  </si>
  <si>
    <t>Köztéri Szobor Alap</t>
  </si>
  <si>
    <t>Endrődi Sándor emlékév programjaira</t>
  </si>
  <si>
    <t>Pszichiátriai betegek nappali ellátása ("Horgony" Pszichiátriai Betegekért Közhasznú Alapítvány)</t>
  </si>
  <si>
    <t>Aszfalt burkolatok, útlapok és makadám burkolatok, földmunkák</t>
  </si>
  <si>
    <t>Kubinyi Ágoston program</t>
  </si>
  <si>
    <t>Swing-Swing Kft. üzletrész vásárlás</t>
  </si>
  <si>
    <t>II. ütem összesen</t>
  </si>
  <si>
    <t>Kelet-nyugati gyűjtőút zajvédő létesítmény tervezése</t>
  </si>
  <si>
    <t>I. ütem összesen</t>
  </si>
  <si>
    <t>Hitel-állomány 2019.12.31</t>
  </si>
  <si>
    <t>Hitelfelvétel 2020-as</t>
  </si>
  <si>
    <t>Hitel-állomány  2020.12.31</t>
  </si>
  <si>
    <t>Tőke-törlesztés 2023</t>
  </si>
  <si>
    <t>Tőke-törlesztés 2024-tól</t>
  </si>
  <si>
    <t>Kamat 2023</t>
  </si>
  <si>
    <t xml:space="preserve"> 2020.06.01</t>
  </si>
  <si>
    <t>9.</t>
  </si>
  <si>
    <t>Veszprém Megyei Jogú Város Önkormányzatának 2020. évi</t>
  </si>
  <si>
    <t>Adósságot Keletkeztető Ügyletek fejlesztési célok szerinti besorolása</t>
  </si>
  <si>
    <t>Közutak, hidak építése, felújítása</t>
  </si>
  <si>
    <t>Egyéb, törvény által az önkormányzatok számára előírt feladatok teljesítéséhez szükséges infrastrukturális beruházások</t>
  </si>
  <si>
    <t>TOP-6.9.2-16-VP1-2018-00001 Közösségfejlesztés Veszprém város településrészein</t>
  </si>
  <si>
    <t>2023. év</t>
  </si>
  <si>
    <t>TOP-6.6.1-16-VP1-2018-00005 Ördögárok u. 5. szám alatti orvosi rendelő megújítása (saját forrás)</t>
  </si>
  <si>
    <t>TOP-6.6.1-16-VP1-2018-00004 Vilonyai utca 2/B szám alatti orvosi rendelő megújítása (saját forrás)</t>
  </si>
  <si>
    <t>TOP-6.5.1-16-VP1-2018-00004 Aprófalvi bölcsőde energetikai korszerűsítése (saját forrás)</t>
  </si>
  <si>
    <t>TOP-6.5.1-16-VP1-2018-00006 Módszertani bölcsőde energetikai megújítása (saját forrás)</t>
  </si>
  <si>
    <t xml:space="preserve">Swing-Swing Kft. törzstőke emelés, tőketartalékba helyezés (Hangvilla üzletrész vásárlás) </t>
  </si>
  <si>
    <t xml:space="preserve">Swing-Swing Kft. üzletrész vásárlás </t>
  </si>
  <si>
    <t>Villamos energia beszerzés (Intézmények)</t>
  </si>
  <si>
    <t>Villamos energia beszerzés (Közvilágítás célú)</t>
  </si>
  <si>
    <t>Földgáz energia beszerzés</t>
  </si>
  <si>
    <t>Veszprémi Foci Centrum Utánpótlás SE</t>
  </si>
  <si>
    <t>Signator Audit Könyvvizsgáló Kft-vel kötött megbízási szerződés könyvvizsgálói feladatok ellátására</t>
  </si>
  <si>
    <t>Szenvedélybetegek ellátásának működési kiadásaihoz támogatás (Alkohol-Drogsegély Ambulancia - ellátási szerződés)</t>
  </si>
  <si>
    <t>Polgármesteri Hivatal „Őrzés-védelmi és portaszolgálat feladatainak” ellátása 2 évre</t>
  </si>
  <si>
    <t>Egészségügyi feladatok ellátása - Veszprémi Csolnoky Ferenc Kórházzal kötött használati szerződés</t>
  </si>
  <si>
    <t>Német Nemzetiségi Önk. helyiségének bérleti díja</t>
  </si>
  <si>
    <t>Hitel összege 2019</t>
  </si>
  <si>
    <t>Hitel összege 2020</t>
  </si>
  <si>
    <t>Környezetvédelemhez és természeti katasztrófák elhárításához kapcsolódó beruházási célok (szennyvízelvezetés és szennyvíztisztítás, csapadékvíz-elvezetés, hulladékkezelés, árvíz/belvíz elleni védekezés stb.)</t>
  </si>
  <si>
    <t>Közoktatási célú beruházási célok (óvodák, iskolák, tornaterem, tanuszoda, egyéb köznevelési intézmények építése, felújítása stb.)</t>
  </si>
  <si>
    <t>Szociális, gyermekjóléti és gyermekvédelmi célok (bölcsődék, időskorúak ellátását, gyermekek és családok átmeneti gondozását szolgáló beruházások stb.)</t>
  </si>
  <si>
    <t>TOP-6.5.1-16-VPI-2018-00006 Módszertani Bölcsőde energetikai megújítása</t>
  </si>
  <si>
    <t>TOP-6.2.1-16-VP1-2018-00001 Módszertani Bölcsőde megújítása – eszközbeszerzés</t>
  </si>
  <si>
    <t>TOP-6.5.1 Aprófalvi Bölcsőde energetikai megújítása</t>
  </si>
  <si>
    <t>TOP-6.5.1 Völgyikút utca 2. szám alatti épület energetikai megújítása</t>
  </si>
  <si>
    <t>Egészségügyi szolgáltatások fejlesztése (egészségházak, orvosi, gyermekorvosi, fogorvosi szakrendelők felújítása, eszközbeszerzések stb.)</t>
  </si>
  <si>
    <t>TOP - Vilonyai u. 2/B sz. gyermekorvosi rendelők felújítása</t>
  </si>
  <si>
    <t>TOP - Ördögárok u. 5. sz. gyermekorvosi rendelők felújítása</t>
  </si>
  <si>
    <t>Egyéb feladatokhoz kapcsolódó célok (közutak építése, felújítása, közbiztonság növelése, egyéb önkormányzati tulajdonú létesítmények felújítása, fejlesztése, város és település-rehabilitáció stb.)</t>
  </si>
  <si>
    <t>Petőfi Sándor utca rekonstrukciója III. ütem</t>
  </si>
  <si>
    <t>Török I. u. - Aulich L. u. összekötés</t>
  </si>
  <si>
    <t>Közvilágítás bővítések (tervezés, kivitelezés) 2011. évi CLXXXIX törvény</t>
  </si>
  <si>
    <t>II. Adósságot keletkeztető ügyletek mindösszesen</t>
  </si>
  <si>
    <t xml:space="preserve">A  </t>
  </si>
  <si>
    <t>T</t>
  </si>
  <si>
    <t>2019. évi tény</t>
  </si>
  <si>
    <t>2018-2021</t>
  </si>
  <si>
    <t>2018-2019</t>
  </si>
  <si>
    <t>2019-2020</t>
  </si>
  <si>
    <t>TOP-6.6.1-16-VP1-2018-00003 Jutasi u. 59. szám alatti orvosi rendelő megújítása</t>
  </si>
  <si>
    <t>2016-2021</t>
  </si>
  <si>
    <t>2017-2020</t>
  </si>
  <si>
    <t>2018-2020</t>
  </si>
  <si>
    <t>2016-2019</t>
  </si>
  <si>
    <t>2019-2021</t>
  </si>
  <si>
    <t>2019-2022</t>
  </si>
  <si>
    <t>Urbact Innova-tor *</t>
  </si>
  <si>
    <t>KÖFOP-1.2.1-VEKOP-16-2017-01268 Veszprém Megyei Jogú Város Önkormányzata ASP Központhoz való csatlakozása **</t>
  </si>
  <si>
    <t>2017-2018</t>
  </si>
  <si>
    <t>EFOP-3.3.2-16-2016-00107 Kulturális intézmények a köznevelés eredményességéért***</t>
  </si>
  <si>
    <t>* Az Urbact Innova-tor támogatása a szerződésben €-ban van meghatározva, az átszámítás 316.39 Ft/EUR-val történt</t>
  </si>
  <si>
    <t>ebből: - Európa Kulturális Fővárosa I. ütem</t>
  </si>
  <si>
    <t>ebből: - Európa Kulturális Fővárosa II. ütem</t>
  </si>
  <si>
    <t>17. melléklet a .../2020. (…….) önkormányzati rendelethez</t>
  </si>
  <si>
    <t>ebből: - Európa Kulturális Főváros II. ütem</t>
  </si>
  <si>
    <t>15.A. melléklet a ….../2020 (……..) önkormányzati rendelethez</t>
  </si>
  <si>
    <t>15.B. melléklet a .../2020. (…….) önkormányzati rendelethez</t>
  </si>
  <si>
    <t>Projekthez kapcsolódó működési bevétel (ÁFA)</t>
  </si>
  <si>
    <t>Veszprém Megyei Jogú Város Önkormányzatának 2019. évi</t>
  </si>
  <si>
    <t>új hitelszerződésen alapuló beruházási hitelfelvétele feladatonként</t>
  </si>
  <si>
    <t>Fejlesztési hitel - Célhitel 2017</t>
  </si>
  <si>
    <t>hitelszerződésen alapuló 2019. és 2020. évre vonatkozó beruházási hitelfelvétele feladatonként *</t>
  </si>
  <si>
    <t>a TOP-6.1.5-16-VP1-2017-00001 Északi Iparterület Közlekedés-fejlesztése elnevezésű projekthez szükséges kiegészítő pénzügyi forrással kapcsolatos pénzügyi kötelezettségvállalás (saját forrás)</t>
  </si>
  <si>
    <t>Az ÉNYKK Északnyugat-magyarországi Közlekedési Központ Zrt. által 2018. évben ellátott helyi menetrend szerinti közösségi közlekedés közszolgáltatás ellentételezése</t>
  </si>
  <si>
    <t>Sport marketing tárgyú több éves szolgáltatásvásárlási szerződés megkötése érdekében pénzügyi kötelezettségvállalás</t>
  </si>
  <si>
    <t>Veszprém Fiatal Sportolóiért Közhasznú Alapítvány támogatása
élsport, versenysport és utánpótlás nevelési feladatokhoz kapcsolódóan</t>
  </si>
  <si>
    <t>A Magyar Kézilabda Szövetség Országos Tornaterem Felújítási Programjához kapcsolódó támogatási igény benyújtása és előzetes kötelezettségvállalás a veszprémi stadion területén található sportcsarnok belső felújítása érdekében</t>
  </si>
  <si>
    <t>Jutasi úti műfüves sportpálya fenntartása és működtetése</t>
  </si>
  <si>
    <t>Foglalkozás egészségügyi szolgáltatás ellátásával kapcsolatos pénzügyi kötelezettségvállalás</t>
  </si>
  <si>
    <t>VMJV Önkormányzatánál, költségvetési szerveinél, valamint a Veszprémi Kistérség Többcélú Társulása Egyesített Szociális Intézménynél foglalkozás-egészségügyi szolgáltatás ellátásával kapcsolatos pénzügyi kötelezettségvállalás</t>
  </si>
  <si>
    <t>A Települési Önkormányzatok Országos Szövetségéhez történő csatlakozás</t>
  </si>
  <si>
    <t>A Klímabarát Települések Szövetségéhez történő csatlakozás</t>
  </si>
  <si>
    <t>Polgármesteri Hivatal használatában lévő nyomatkészítő eszközök tartós üzemeltetése</t>
  </si>
  <si>
    <t>Megállapodás megkötése üzemidő hasznosítás tárgyában  a Veszprémi Programiroda Rendezvényszervező és Kulturális Szolgáltató Kft-vel</t>
  </si>
  <si>
    <t>Az Önkormányzat vagyonbiztosításával kapcsolatos pénzügyi
kötelezettségvállalás</t>
  </si>
  <si>
    <t>Munka- és tűzvédelmi feladatok; 2019.01.01-2020.02.29. és 2020.03.01-2022.02.28.</t>
  </si>
  <si>
    <t>A diákétkeztetésre vonatkozó szolgáltatási díj emelése</t>
  </si>
  <si>
    <t>a Veszprémi Intézményi Szolgáltató Szervezet diákétkeztetési
közfeladatainak ellátásához szükséges étkezési nyilvántartó program beszerzésével kapcsolatos pénzügyi kötelezettségvállalás</t>
  </si>
  <si>
    <t>Veszprémi óvodák gyermekétkeztetési közfeladat ellátása érdekében élelmezési nyilvántartó program beszerzéséhez szükséges pénzügyi kötelezettségvállalás</t>
  </si>
  <si>
    <t>Veszprémi óvodák gyermekétkeztetési közfeladat ellátása érdekében vásárolt élelmezés beszerzéséhez szükséges pénzügyi kötelezettségvállalások</t>
  </si>
  <si>
    <r>
      <t>* Magyarország gazdasági stabilitásáról szóló 2011. évi CXCIV. törvény szerint Kormányengedélyhez kötött, adósságot keletkeztető ügylet jóváhagyása megtörtént az</t>
    </r>
    <r>
      <rPr>
        <b/>
        <sz val="10"/>
        <rFont val="Palatino Linotype"/>
        <family val="1"/>
        <charset val="238"/>
      </rPr>
      <t xml:space="preserve"> önkormányzatok adósságot keletkeztető, valamint kezesség-, illetve garanciavállalásra vonatkozó ügyleteihez történő 2019. áprilisi előzetes kormányzati hozzájárulásról szóló 1356/2019. (VI.14.) Korm. határozatában.</t>
    </r>
  </si>
  <si>
    <t>Adósságot keletkeztető ügyletek összesen</t>
  </si>
  <si>
    <t>14. melléklet a ….../2020. (……..) önkormányzati rendelethez</t>
  </si>
  <si>
    <t>Döntés pályázat benyújtásáról az "Urban Innovative Actions" elnevezésű Európai Uniós közösségi kezdeményezés pályázati felhívására</t>
  </si>
  <si>
    <t>Döntés a helyi közösségi közlekedés biztosításához kapcsolódó autóbuszbeszerzési szerződés és előzetes kötelelezettségvállalás jóváhagyásáról</t>
  </si>
  <si>
    <t xml:space="preserve">Döntés az "ELENA" elnevezésű projektfejlesztési támogatásra benyújtott Európai Uniós pályázat konzorciumi szerződés módosítás tárgyában </t>
  </si>
  <si>
    <t>Pályázat benyújtása az Magyar Labdarúgó Szövetség TAO pályaépítési programjához (saját forrás)</t>
  </si>
  <si>
    <t>Újjáépítésre kerülő óvodák költöztetési munkák</t>
  </si>
  <si>
    <t>Veszprémi Stadion gázellátása és villamos kapacitásbővítése</t>
  </si>
  <si>
    <t>Tűzjelző rendszer felújítása</t>
  </si>
  <si>
    <t>Sportterület közmű-, út infrastruktúra fejlesztés</t>
  </si>
  <si>
    <t>EKF programokhoz kapcsolódó infrastruktúra fejlesztési feladatok</t>
  </si>
  <si>
    <t>Szent István utca rekonstrukciója I. ütem (csapadékvíz elvezetés kiépítése) tervezés</t>
  </si>
  <si>
    <t>Séd-völgyi tó faszerkezet cseréje és tótisztítás</t>
  </si>
  <si>
    <t>2020. január 1. - 2020. február 29. között 4 fő</t>
  </si>
  <si>
    <t>határozott idejű foglalkozatottak létszáma                 (2020. március 1 - 2021. december 31)</t>
  </si>
  <si>
    <t>Beruházás / felújítás / projekt kötelezettségvállalások összesen</t>
  </si>
  <si>
    <t xml:space="preserve">          - Comitatus Társadalomkutató Egyesület - Comitatus Önkormányzati Szemle</t>
  </si>
  <si>
    <r>
      <rPr>
        <b/>
        <u/>
        <sz val="11"/>
        <rFont val="Palatino Linotype"/>
        <family val="1"/>
        <charset val="238"/>
      </rPr>
      <t xml:space="preserve">VKSZ Zrt. által ellátott városüzemeltetési feladatok </t>
    </r>
    <r>
      <rPr>
        <sz val="11"/>
        <rFont val="Palatino Linotype"/>
        <family val="1"/>
        <charset val="238"/>
      </rPr>
      <t>közszolgáltatási keretmegállapodás alapján:</t>
    </r>
  </si>
  <si>
    <t>Kolostorok és Kertek működtetése</t>
  </si>
  <si>
    <t>V-Busz Kft. szolgáltatás vásárlás</t>
  </si>
  <si>
    <t>**Az intézményeknél kimutatott adatokat is tartalmazza</t>
  </si>
  <si>
    <t>Teljesítés                      2018.          12.31.-ig**</t>
  </si>
  <si>
    <t>** Az intézményeknél kimutatott adatokat is tartalmazza</t>
  </si>
  <si>
    <t>2020. évi eredeti előirányzat</t>
  </si>
  <si>
    <t>módosítás-</t>
  </si>
  <si>
    <t>ÖSSZEFOGLALÓ TÁBLA</t>
  </si>
  <si>
    <t>a bevételi és kiadási előirányzatok módosításáról</t>
  </si>
  <si>
    <t xml:space="preserve">                </t>
  </si>
  <si>
    <t>BEVÉTELEK</t>
  </si>
  <si>
    <t>Helyi önkormányzatok általános működéséhez és ágazati feladataihoz kapcsolódó támogatás</t>
  </si>
  <si>
    <t>Egyéb működési célú támogatások</t>
  </si>
  <si>
    <t>Önkormányzati Intézmények működési célú támogatások Áht-on belülről</t>
  </si>
  <si>
    <t>Polgármesteri Hivatal</t>
  </si>
  <si>
    <t>Önkormányzati intézmények működési bevételei</t>
  </si>
  <si>
    <t>BEVÉTELEK ÖSSZESEN:</t>
  </si>
  <si>
    <t>II.</t>
  </si>
  <si>
    <t>KIADÁSOK</t>
  </si>
  <si>
    <t xml:space="preserve">Felhalmozási kiadások </t>
  </si>
  <si>
    <t>Felhalmozási kiadások összesen:</t>
  </si>
  <si>
    <t>INTÉZMÉNYI KIADÁSOK</t>
  </si>
  <si>
    <t>Intézményi működési kiadások összesen</t>
  </si>
  <si>
    <t xml:space="preserve">Intézményi felhalmozási költségvetés </t>
  </si>
  <si>
    <t>Kiadások összesen</t>
  </si>
  <si>
    <t>2020. év összesen</t>
  </si>
  <si>
    <t>Állam felé befizetési kötelezettség</t>
  </si>
  <si>
    <t>módosítás- költségvetési maradvány</t>
  </si>
  <si>
    <t xml:space="preserve">módosítás- </t>
  </si>
  <si>
    <t>módosítás- átcsoportosítás</t>
  </si>
  <si>
    <t>Udvari játékok (Bóbita és Hársfa Tagóvoda)</t>
  </si>
  <si>
    <t>Mobiltelefon törlesztés</t>
  </si>
  <si>
    <t>Szekrény</t>
  </si>
  <si>
    <t>Könyvek, egyéb könyvtári dokumentumok</t>
  </si>
  <si>
    <t>Közművelődési érdekeltségnövelő pályázat</t>
  </si>
  <si>
    <t>Számítógépek</t>
  </si>
  <si>
    <t>Tárgyi eszközök beszerzésére (számítástechnikai beszerzések, kisértékű eszközök cseréje</t>
  </si>
  <si>
    <t>Nyílászáró cserék a Török I. u. műtárgy-raktárban és műtárgyvédelmi központban</t>
  </si>
  <si>
    <t>*** A projekt a támogatási szerződés szerint nettó módon finanszírozott.</t>
  </si>
  <si>
    <t>Koronavírus védekezés költségeire és gazdasági hatásának enyhítésére</t>
  </si>
  <si>
    <t>8.vk. Síkosságmentesítő-anyag tároló láda Flórián utcába</t>
  </si>
  <si>
    <t>8.vk. Hulladékgyűjtő beszerzése</t>
  </si>
  <si>
    <t>Képviselői keretből civil szervezetek támogatása</t>
  </si>
  <si>
    <t>8.vk. Városi Nyilvánosságért Alapítvány - karácsonyi ajándékcsomagok beszerzésére</t>
  </si>
  <si>
    <t>FELHALMOZÁSI KIADÁSOK MINDÖSSZESEN:</t>
  </si>
  <si>
    <t>Felújítási kiadások mindösszesen:</t>
  </si>
  <si>
    <t>Beruházási kiadások mindösszesen:</t>
  </si>
  <si>
    <t xml:space="preserve">Udvari játékok </t>
  </si>
  <si>
    <t>módosítás- hitel</t>
  </si>
  <si>
    <t>módosítás-hitel</t>
  </si>
  <si>
    <t>Saját forrásból megvalósuló beruházási és felhalmozási kiadások (7.Beruh.)</t>
  </si>
  <si>
    <t>Európai Uniós forrásból finanszírozott támogatással megvalósuló programok, projektek (9.Projekt)</t>
  </si>
  <si>
    <t>VMJV Önkormányzata működési kiadás mindösszesen</t>
  </si>
  <si>
    <t>VMJV Önkormányzat működési kiadások (6.Önk.műk.)</t>
  </si>
  <si>
    <t>Koronavírus elleni védekezés költségeire</t>
  </si>
  <si>
    <t xml:space="preserve">Beruházási kiadások </t>
  </si>
  <si>
    <t>Bevételi források változásából adódóan, valamint feladatok közötti átcsoportosításból</t>
  </si>
  <si>
    <t xml:space="preserve">          - Veszprémi várostörténeti kiadványok előkészítése</t>
  </si>
  <si>
    <t xml:space="preserve">         - Ex Symposion Alapítvány</t>
  </si>
  <si>
    <t>2019. évi              tény</t>
  </si>
  <si>
    <t>2019. évi              tény*</t>
  </si>
  <si>
    <t>ebből: Koronavírus elleni védekezésre adomány</t>
  </si>
  <si>
    <t>Kulturális negyed tervezése II. ütem - Pannon Egyetem Campus</t>
  </si>
  <si>
    <t>Átfogó infrastruktúra fejlesztés Megvalósíthatósági Tanulmány</t>
  </si>
  <si>
    <t>Vár, Jókai utca 8.</t>
  </si>
  <si>
    <t>Vár FutureLabs, Vár utca 17.</t>
  </si>
  <si>
    <t>SÉD-völgy Kolostorok és kertek I. ütem</t>
  </si>
  <si>
    <t>Buszpályaudvar</t>
  </si>
  <si>
    <t>Beruházási és egyéb felhalmozási célú kiadások összesen</t>
  </si>
  <si>
    <t>Vár, Óváros tér, Vár utca fejlesztései</t>
  </si>
  <si>
    <t>Haszkovó lakótelep fejlesztései</t>
  </si>
  <si>
    <t>Műtárgyvásárlás</t>
  </si>
  <si>
    <t>Salgó polcrendszer a Felsőörsi raktárbázisra</t>
  </si>
  <si>
    <t xml:space="preserve">         - Veszprémi Kaleidoszkóp 1-2 újraindítása</t>
  </si>
  <si>
    <t>Pápai u.-Jutasi u. belső krt. mellékkötelezettségek</t>
  </si>
  <si>
    <t xml:space="preserve">           - Vészhelyzeti támogatás</t>
  </si>
  <si>
    <t>Veszprémi Táncegyüttesért Alapítvány</t>
  </si>
  <si>
    <t>Liszt F. Kórus</t>
  </si>
  <si>
    <t>Gizella Kórus/Dowland Alapítvány</t>
  </si>
  <si>
    <t>VSZC Ipari Szakgimnázium energetikai fejlesztésének támogatása</t>
  </si>
  <si>
    <t>TOP-6.4.1-16-VP1-17-00001 Szabadságpuszta településrész és Felsőörs Község közötti kerékpárút beruházása</t>
  </si>
  <si>
    <r>
      <t xml:space="preserve">Tárgyi eszközök beszerzése </t>
    </r>
    <r>
      <rPr>
        <b/>
        <sz val="10"/>
        <rFont val="Palatino Linotype"/>
        <family val="1"/>
        <charset val="238"/>
      </rPr>
      <t>Pápai út 37. - CSÁO</t>
    </r>
    <r>
      <rPr>
        <sz val="10"/>
        <rFont val="Palatino Linotype"/>
        <family val="1"/>
        <charset val="238"/>
      </rPr>
      <t xml:space="preserve"> (kézfertőtlenítő állomás, bútor, szőnyeg, függöny, mobiltelefon, mikró, kávéfőző, vízmelegítő, ventilátor/hősugárzó, külső winchester, router, iratmegsemmisítő, porszívó, mérleg, szárítógép)</t>
    </r>
  </si>
  <si>
    <t>Mosógép vásárlás (kigyulladt lakás károsultjának megsegítésére)</t>
  </si>
  <si>
    <t>Közbiztonsági feladatok / Gyulafirátóti Polgárőrség</t>
  </si>
  <si>
    <t xml:space="preserve">2020. évi  eredeti előirányzat </t>
  </si>
  <si>
    <t xml:space="preserve">2020. évi eredeti előirányzat </t>
  </si>
  <si>
    <t>Notebook, monitor, programok</t>
  </si>
  <si>
    <t>Készlet és pénztár program</t>
  </si>
  <si>
    <t>2020. szeptember 1-től (2 fő óvodapedagógus, 1 fő dajka)</t>
  </si>
  <si>
    <t>Festmény</t>
  </si>
  <si>
    <t>TOP-6.2.1-16-VP1-2020-00003 A Veszprémi Bölcsődei és Egészségügyi Alapellátási Integrált Intézmény Módszertani Bölcsődéje megújítása, illetve bölcsődei eszközbeszerzések</t>
  </si>
  <si>
    <t>2020-2021</t>
  </si>
  <si>
    <t>Kossuth utca fejlesztései</t>
  </si>
  <si>
    <t>8-as főút felújításának terelőút építéséhez kapcsolódó ingatlanrendezés</t>
  </si>
  <si>
    <t>MLSZ ovifoci program önrész és területelőkészítés</t>
  </si>
  <si>
    <t>VESZOL - Veszprém, Pápai u. 37. sz. munkásszálló működetési feladatai - tönkrement bútorok pótlása</t>
  </si>
  <si>
    <t>Lakossági vízbekötések</t>
  </si>
  <si>
    <t>Kórház Bébi Koraszülött Mentő Alapítványa részére - echocardiograf eszközbeszerzésre</t>
  </si>
  <si>
    <t>Veszprémi Atlétikai Stadion felújítása - I. ütem (BMSK)</t>
  </si>
  <si>
    <t>2019. évi           tény</t>
  </si>
  <si>
    <r>
      <rPr>
        <b/>
        <sz val="10"/>
        <rFont val="Palatino Linotype"/>
        <family val="1"/>
        <charset val="238"/>
      </rPr>
      <t>EMMI pályázat</t>
    </r>
    <r>
      <rPr>
        <sz val="10"/>
        <rFont val="Palatino Linotype"/>
        <family val="1"/>
        <charset val="238"/>
      </rPr>
      <t xml:space="preserve"> - Kulturális mobilitást támogató szállítóeszköz beszerzése - VW T6 Kombi gépjármű vásárlás</t>
    </r>
  </si>
  <si>
    <r>
      <rPr>
        <b/>
        <sz val="10"/>
        <rFont val="Palatino Linotype"/>
        <family val="1"/>
        <charset val="238"/>
      </rPr>
      <t>Bóbita Körzeti Óvoda (Hársfa Tagóvoda)</t>
    </r>
    <r>
      <rPr>
        <sz val="10"/>
        <rFont val="Palatino Linotype"/>
        <family val="1"/>
        <charset val="238"/>
      </rPr>
      <t xml:space="preserve"> - Csoportszoba vízszigetelése, vakolás, festés</t>
    </r>
  </si>
  <si>
    <r>
      <t xml:space="preserve">Tárgyi eszközök beszerzése </t>
    </r>
    <r>
      <rPr>
        <b/>
        <sz val="10"/>
        <rFont val="Palatino Linotype"/>
        <family val="1"/>
        <charset val="238"/>
      </rPr>
      <t xml:space="preserve">Rózsa u. 48 </t>
    </r>
    <r>
      <rPr>
        <sz val="10"/>
        <rFont val="Palatino Linotype"/>
        <family val="1"/>
        <charset val="238"/>
      </rPr>
      <t>(kézfertőtlenítő állomás, bútor, szőnyeg, függöny, mobiltelefon, mikró, kávéfőző, vízmelegítő, ventilátor/hősugárzó, külső winchester, router, iratmegsemmisítő, porszívó, mérleg, szárítógép, játék/társasjáték)</t>
    </r>
  </si>
  <si>
    <t>Színművészeti szervezetek támogatása*</t>
  </si>
  <si>
    <r>
      <rPr>
        <b/>
        <sz val="10"/>
        <rFont val="Palatino Linotype"/>
        <family val="1"/>
        <charset val="238"/>
      </rPr>
      <t>*</t>
    </r>
    <r>
      <rPr>
        <b/>
        <u/>
        <sz val="10"/>
        <rFont val="Palatino Linotype"/>
        <family val="1"/>
        <charset val="238"/>
      </rPr>
      <t xml:space="preserve"> Megjegyzés</t>
    </r>
    <r>
      <rPr>
        <b/>
        <sz val="10"/>
        <rFont val="Palatino Linotype"/>
        <family val="1"/>
        <charset val="238"/>
      </rPr>
      <t xml:space="preserve">: </t>
    </r>
    <r>
      <rPr>
        <sz val="10"/>
        <rFont val="Palatino Linotype"/>
        <family val="1"/>
        <charset val="238"/>
      </rPr>
      <t>A Magyar Államkincstár tájékoztatása szerint a Magyarország 2020. évi központi költségvetéséről szóló 2019. évi LXXI. Törvény 3. melléklet I. 13. e) pontjában szereplő Színházművészeti szervezetek támogatása jogcímen eredeti előirányzatként 0 forintot kell az elemi költségvetésben tervezni.                                                                                       A színművészeti szervezetek finanszírozására  VMJV Önkormányzata és Magyrország Kormány között Társműködtetői megállapodás jött létre.</t>
    </r>
  </si>
  <si>
    <t>Vár u. 10. volt piarista gimnázium</t>
  </si>
  <si>
    <t>Jókai utca 8.</t>
  </si>
  <si>
    <t>Haszkovó lakótelep újjáélesztése</t>
  </si>
  <si>
    <t>Vasútállomás és környezetének fejlesztése</t>
  </si>
  <si>
    <t>2020. július 1. - 2020. december 31.    1,5 fő</t>
  </si>
  <si>
    <t>MINDÖSSZESEN</t>
  </si>
  <si>
    <t>Pannon SE női kézilabda</t>
  </si>
  <si>
    <t>Veszprémi Úszó Klub</t>
  </si>
  <si>
    <t>Balaton Úszó Klub</t>
  </si>
  <si>
    <t>Veszprémi Torna Club</t>
  </si>
  <si>
    <t>VESC női röplabda</t>
  </si>
  <si>
    <t>Szilágyi DSE</t>
  </si>
  <si>
    <t>Dózsavárosi DSE</t>
  </si>
  <si>
    <t>Sportolj Velünk SE</t>
  </si>
  <si>
    <t>Gyulafirátót SE</t>
  </si>
  <si>
    <t>Veszprémi Jégkorong SE</t>
  </si>
  <si>
    <t>Veszprémi Asztalitenisz Sportegyesület</t>
  </si>
  <si>
    <t>Centrum Diák és Szabadidő Egyesület</t>
  </si>
  <si>
    <t>Veszprémi Judo és Szabadidő SE</t>
  </si>
  <si>
    <t>Veszprémi Honvéd SE</t>
  </si>
  <si>
    <t>Veszprémi Dózsa SK-birkózó</t>
  </si>
  <si>
    <t>Veszprémi Sportmászó Egyesület</t>
  </si>
  <si>
    <t>Körmendi Ferenc Veszprémi Thai-Boksz SE</t>
  </si>
  <si>
    <t>Építők Természetbarát SE</t>
  </si>
  <si>
    <t>Veszprémi Spartacus SE</t>
  </si>
  <si>
    <t>K.O. Sport és Szabadidő Egyesület</t>
  </si>
  <si>
    <t>Top-Gym SE</t>
  </si>
  <si>
    <t>Veszprémi Kerékpáros Egyesület</t>
  </si>
  <si>
    <t>Veszprémi Szivárvány Integrált SE</t>
  </si>
  <si>
    <t>Acro Dance</t>
  </si>
  <si>
    <t>Hemo Winner Versenytánc SE</t>
  </si>
  <si>
    <t>Kid Rock and Roll SE</t>
  </si>
  <si>
    <t>Golding Táncsport Egyesület</t>
  </si>
  <si>
    <t>Olimpiai felkészülés céljára támogatás</t>
  </si>
  <si>
    <t>Sportolj Velünk SE (Bartha-Kéri Bianka)</t>
  </si>
  <si>
    <t>VEDAC (Orbán Éva)</t>
  </si>
  <si>
    <t>Veszprémi Sí Egylet (Kónya Ádám)</t>
  </si>
  <si>
    <t>Balaton Úszó Klub (Rasovszky Kristóf)</t>
  </si>
  <si>
    <t>Verseny és élsport - működési támogatások</t>
  </si>
  <si>
    <t>Veszprémi Atlétikai Stadion komplex megújítás (tornász gyakorló csarnok) - I. ütem</t>
  </si>
  <si>
    <t>Fa kerti tároló</t>
  </si>
  <si>
    <r>
      <rPr>
        <b/>
        <sz val="10"/>
        <rFont val="Palatino Linotype"/>
        <family val="1"/>
        <charset val="238"/>
      </rPr>
      <t>Vadvirág Körzeti Óvoda (Waldorf Tagóvoda)</t>
    </r>
    <r>
      <rPr>
        <sz val="10"/>
        <rFont val="Palatino Linotype"/>
        <family val="1"/>
        <charset val="238"/>
      </rPr>
      <t>- Mosókonyha bejárati ajtó csere</t>
    </r>
  </si>
  <si>
    <t>Laptopok szoftverrel</t>
  </si>
  <si>
    <t>Könyvtári érdekeltségnövelő támogatásból műszaki, technikai, informatikai eszközök</t>
  </si>
  <si>
    <t>Laptop</t>
  </si>
  <si>
    <t>Komakút tér 1. Fogorvosi rendelők - rendelők leválasztása</t>
  </si>
  <si>
    <t>Sátrak vásárlása pályázaton belül megvalósított projekthez</t>
  </si>
  <si>
    <t>Hangtechnikai felszerelés vásárlása pályázaton belül megvalósított projekthez</t>
  </si>
  <si>
    <t>Dombormű vásárlása</t>
  </si>
  <si>
    <t>Mini keverő (MANK Nonprofit rendezvény)</t>
  </si>
  <si>
    <t>SMART Veszprém alapinfrastruktúra I.</t>
  </si>
  <si>
    <t>Adattári polcok, lemezszekrények (Levéltárból történő kiköltözéshez)</t>
  </si>
  <si>
    <t>Aggregátor, szivattyú (régészeti feltárásokra)</t>
  </si>
  <si>
    <t>Laptopok</t>
  </si>
  <si>
    <t>Nyilvános WC beléptető rendszer</t>
  </si>
  <si>
    <t>Kisértékű tárgyi eszközök (székek, szőnyegek, bútorok, egyéb kisértékű tárgyi eszközök, ventilátor, vasaló, zászlók)</t>
  </si>
  <si>
    <r>
      <rPr>
        <b/>
        <sz val="11"/>
        <rFont val="Palatino Linotype"/>
        <family val="1"/>
        <charset val="238"/>
      </rPr>
      <t xml:space="preserve">Koronavírus elleni védekezés adományából </t>
    </r>
    <r>
      <rPr>
        <sz val="11"/>
        <rFont val="Palatino Linotype"/>
        <family val="1"/>
        <charset val="238"/>
      </rPr>
      <t>-</t>
    </r>
    <r>
      <rPr>
        <sz val="10"/>
        <rFont val="Palatino Linotype"/>
        <family val="1"/>
        <charset val="238"/>
      </rPr>
      <t xml:space="preserve"> Egyesített Szociális Intézmény I. sz. Idősek Otthonába laptop vásárlására</t>
    </r>
  </si>
  <si>
    <t>Kiskúti Csárda építéstörténeti dokumentációja</t>
  </si>
  <si>
    <t>Veszprém 2030 Kft. tőketartalékba helyezés</t>
  </si>
  <si>
    <t>Veszprém 2030 Kft. törzstőke emelés</t>
  </si>
  <si>
    <t>Intézményi felhalmozási kiadások összesen</t>
  </si>
  <si>
    <t>Toborzó u. 2. - gázkazánok cseréje</t>
  </si>
  <si>
    <t>Mikroport rendszer 16 frekvencia, mikroport rendszerhez tárolók</t>
  </si>
  <si>
    <r>
      <t xml:space="preserve">Tárgyi eszközök beszerzése </t>
    </r>
    <r>
      <rPr>
        <b/>
        <sz val="10"/>
        <rFont val="Palatino Linotype"/>
        <family val="1"/>
        <charset val="238"/>
      </rPr>
      <t xml:space="preserve">Mikszáth K.u.13. </t>
    </r>
    <r>
      <rPr>
        <sz val="10"/>
        <rFont val="Palatino Linotype"/>
        <family val="1"/>
        <charset val="238"/>
      </rPr>
      <t>(kézfertőtlenítő állomás, bútor, szőnyeg, függöny, mobiltelefon, mikró, kávéfőző, vízmelegítő, tűzhely, ventilátor/hősugárzó, külső winchester, router, iratmegsemmisítő, porszívó, játék/társasjáték)</t>
    </r>
  </si>
  <si>
    <r>
      <rPr>
        <b/>
        <sz val="10"/>
        <rFont val="Palatino Linotype"/>
        <family val="1"/>
        <charset val="238"/>
      </rPr>
      <t xml:space="preserve">EMT-Te-19-0345 pályázat </t>
    </r>
    <r>
      <rPr>
        <sz val="10"/>
        <rFont val="Palatino Linotype"/>
        <family val="1"/>
        <charset val="238"/>
      </rPr>
      <t>- mikroportok, kézzel varrott bőrcipő, hordozható hangfal, asztal, CAJUN hangszerek, fémből készült díszlet</t>
    </r>
  </si>
  <si>
    <t>Veszprémi Taekwon-do SE</t>
  </si>
  <si>
    <t>Művészetek Háza - Csikász galéria viharkárban sérült ajtó cseréje</t>
  </si>
  <si>
    <t>Működési céltartalék</t>
  </si>
  <si>
    <t>Tárgyi eszközök beszerzésére (Mobiltelefon, laptop, irodai székek, mosógép, légtisztító berendezések, hőmérő, nyomtató, irodai spirálozó gép)</t>
  </si>
  <si>
    <t>Kisértékű tárgyi eszközök (Hűtőszekrény főzőkonyhába, irodai székek, hőmérők)</t>
  </si>
  <si>
    <t>Beruházási kiadások összesen</t>
  </si>
  <si>
    <t>Digitális lázmérők, érintésmentes asztali kézfertőtlenítő adagolók, kézfertőtlenítő állomások</t>
  </si>
  <si>
    <t>Tárgyi eszköz beszerzések (szekrény, ventilátorok, klaviatúrák, vízforraló, mobil telefon, érintős lázmérők, mobilklímák)</t>
  </si>
  <si>
    <r>
      <t xml:space="preserve">Tárgyi eszközök beszerzése </t>
    </r>
    <r>
      <rPr>
        <i/>
        <sz val="10"/>
        <rFont val="Palatino Linotype"/>
        <family val="1"/>
        <charset val="238"/>
      </rPr>
      <t>(mosógép, gáztűzhely, szakmai eszközök)</t>
    </r>
  </si>
  <si>
    <r>
      <t xml:space="preserve">Tárgyi eszközök beszerzése </t>
    </r>
    <r>
      <rPr>
        <i/>
        <sz val="10"/>
        <rFont val="Palatino Linotype"/>
        <family val="1"/>
        <charset val="238"/>
      </rPr>
      <t>(öltöző szekrény, varrógép, szakmai eszközök)</t>
    </r>
  </si>
  <si>
    <r>
      <t xml:space="preserve">Tárgyi eszközök beszerzése </t>
    </r>
    <r>
      <rPr>
        <i/>
        <sz val="10"/>
        <rFont val="Palatino Linotype"/>
        <family val="1"/>
        <charset val="238"/>
      </rPr>
      <t>(mosógép, szárítógép, hűtőszekrény, szakmai eszközök)</t>
    </r>
  </si>
  <si>
    <r>
      <t xml:space="preserve">Tárgyi eszközök beszerzése </t>
    </r>
    <r>
      <rPr>
        <i/>
        <sz val="10"/>
        <rFont val="Palatino Linotype"/>
        <family val="1"/>
        <charset val="238"/>
      </rPr>
      <t>(mosógép, hűtőszekrény, szakmai eszközök)</t>
    </r>
  </si>
  <si>
    <t>Szoftver beszerzés, honlap beszerzés</t>
  </si>
  <si>
    <t>Kézfertőtlenítő adagolók, érintés nélküli lázmérők</t>
  </si>
  <si>
    <t>módosítás- projekt visszaadása</t>
  </si>
  <si>
    <t>Bútorok (irodai székek, irodai berendezés kanapé és fotel, asztalok)</t>
  </si>
  <si>
    <t>Veszprémi Intézményi Szolgáltató szervezet</t>
  </si>
  <si>
    <t>Átcsoportosítás</t>
  </si>
  <si>
    <t>Veszprémi Turisztikai Kft. törzstőke emelés</t>
  </si>
  <si>
    <t>Veszprémi Turisztikai Kft. tőketartalékba helyezés</t>
  </si>
  <si>
    <t>Önkormányzati érdekeket érintő településrendezési eszközök módosítása</t>
  </si>
  <si>
    <t>2020. évi költségvetési bevételei</t>
  </si>
  <si>
    <t>"1. melléklet VMJV Önkormányzata Közgyűlésének 5/2020. (II. 27.) önkormányzati rendeletéhez"</t>
  </si>
  <si>
    <t>2020. évi költségvetési kiadásai</t>
  </si>
  <si>
    <t xml:space="preserve">2020. évi saját bevételei </t>
  </si>
  <si>
    <t>2020. évi felhalmozási költségvetési kiadások előirányzatai</t>
  </si>
  <si>
    <t xml:space="preserve">Önkormányzati feladatok és egyéb kötelezettségek 2020. évi működési költségvetési kiadásai </t>
  </si>
  <si>
    <t xml:space="preserve">alapítványoknak, egyesületeknek, civil szervezeteknek, társadalmi szervezeteknek nyújtott támogatásokról 2020. évben </t>
  </si>
  <si>
    <t>2020. évi beruházási és egyéb felhalmozási célú kiadások előirányzatai</t>
  </si>
  <si>
    <t xml:space="preserve">Európai Uniós forrásból finanszírozott támogatással megvalósuló programok, projektek 2020. évi költségvetési kiadásainak előirányzata </t>
  </si>
  <si>
    <t>8. melléklet a 2020. évi költségvetésről szóló 5/2020. (II. 27.) önkormányzati rendelet módosításáról szóló .../2020. (…….) önkormányzati rendelethez</t>
  </si>
  <si>
    <t>Európa Kulturális Főváros 2020. évi költségvetési kiadásainak előirányzatai</t>
  </si>
  <si>
    <t xml:space="preserve">KÖLTSÉGVETÉSI BEVÉTELEI ÉS KIADÁSAI 2020. ÉVBEN </t>
  </si>
  <si>
    <t>Tartalékok</t>
  </si>
  <si>
    <t>"2. melléklet VMJV Önkormányzata Közgyűlésének 5/2020. (II. 27.) önkormányzati rendeletéhez"</t>
  </si>
  <si>
    <t>"3. melléklet VMJV Önkormányzata Közgyűlésének 5/2020. (II. 27.) önkormányzati rendeletéhez"</t>
  </si>
  <si>
    <t>"4. melléklet VMJV Önkormányzata Közgyűlésének 5/2020. (II. 27.) önkormányzati rendeletéhez"</t>
  </si>
  <si>
    <t>"5. melléklet VMJV Önkormányzata Közgyűlésének 5/2020. (II. 27.) önkormányzati rendeletéhez"</t>
  </si>
  <si>
    <t>"6. melléklet VMJV Önkormányzata Közgyűlésének 5/2020. (II. 27.) önkormányzati rendeletéhez"</t>
  </si>
  <si>
    <t>"7. melléklet VMJV Önkormányzata Közgyűlésének 5/2020. (II. 27.) önkormányzati rendeletéhez"</t>
  </si>
  <si>
    <t>"11. melléklet VMJV Önkormányzata Közgyűlésének 5/2020. (II. 27.) önkormányzati rendeletéhez"</t>
  </si>
  <si>
    <t>"12. melléklet VMJV Önkormányzata Közgyűlésének 5/2020. (II. 27.) önkormányzati rendeletéhez"</t>
  </si>
  <si>
    <t>"16. melléklet VMJV Önkormányzata Közgyűlésének 5/2020. (II. 27.) önkormányzati rendeletéhez"</t>
  </si>
  <si>
    <t>"3/A. melléklet VMJV Önkormányzata Közgyűlésének 5/2020. (II. 27.) önkormányzati rendeletéhez"</t>
  </si>
  <si>
    <t>6/A. melléklet a 2020. évi költségvetésről szóló 5/2020. (II. 27.) önkormányzati rendelet módosításáról szóló .../2020. (…….) önkormányzati rendelethez</t>
  </si>
  <si>
    <t>"6/A. melléklet VMJV Önkormányzata Közgyűlésének 5/2020. (II. 27.) önkormányzati rendeletéhez"</t>
  </si>
  <si>
    <t>2020. évi módosított előirányzat 5.</t>
  </si>
  <si>
    <t>módosított előirányzat 5.</t>
  </si>
  <si>
    <t>2020. évi felújítási kiadások előirányzatai</t>
  </si>
  <si>
    <t>Modern Városok Program és más hazai finanszírozásból megvalósuló feladatok 2020. évi költségvetési kiadásainak előirányzatai</t>
  </si>
  <si>
    <t>"8. melléklet VMJV Önkormányzata Közgyűlésének 5/2020. (II. 27.) önkormányzati rendeletéhez"</t>
  </si>
  <si>
    <t>"10. melléklet VMJV Önkormányzata Közgyűlésének 5/2020. (II. 27.) önkormányzati rendeletéhez"</t>
  </si>
  <si>
    <t xml:space="preserve">a 2020. évi engedélyezett létszámról </t>
  </si>
  <si>
    <t>Kisértékű tárgyi eszközök (mosógép, porszívó, mobiltelefon, gyermekszék, szőnyeg, redőny, roló, szúnyogháló, konyhai kisgép, érintés nélküli lázmérő, tartós szakmai játék, számítástechnikai eszközök, hűtő, párologtató, irodai szék)</t>
  </si>
  <si>
    <t xml:space="preserve">Bútorzat </t>
  </si>
  <si>
    <t>Asztali számítógép, laptop beszerzése, bluetooth hangszóró</t>
  </si>
  <si>
    <t>Laptop, bluetooth hangszóró</t>
  </si>
  <si>
    <t>átcsoportosítás</t>
  </si>
  <si>
    <t>Okostábla állvánnyal</t>
  </si>
  <si>
    <t>Gőzállomás, varrógép, széf, érintésmentes kézfertőtlenítő, nyomtató-fénymásoló, lázmérők, fénymásoló, gyerek kanapé, porszívó)</t>
  </si>
  <si>
    <t>Kisértékű tárgyi eszközök (Vákuumfóliázó - védőmaszkok varrása utáni csomagoláshoz, érintésmentes lázmérő, elektromos konzervnyitó és késélező, hűtőgépek, gőzállomás vasaló, irodaszék, laptop)</t>
  </si>
  <si>
    <t>Kisértékű tárgyi eszközök ( érintésmentes lázmérő, átfolyó vízmelegítő, gőzállomás vasaló, laptop)</t>
  </si>
  <si>
    <t>Koronavírus-járványügyi vészhelyzettel kapcsolatos beszerzések: érintés nélküli lázmérők, kártyaolvasók, mobiltelefonok, számítógép, szakmai eszközök, Viktória ügyeleti program, porszívó)</t>
  </si>
  <si>
    <t>Önkormányzati intézmények működési célú átvett pénzeszközei</t>
  </si>
  <si>
    <t>Egyéb tárgyi eszköz beszerzés (plexifal, karbantartáshoz kapcsolható eszköz, telefon, játék, fűkasza, ózongenerátor, pénztárgép, kis értékű tárgyi eszköz)</t>
  </si>
  <si>
    <t>Irodai szék</t>
  </si>
  <si>
    <t>Ózongenerátorok</t>
  </si>
  <si>
    <t>Programok online megvalósításához eszközbeszerzések (professzionális kamera, telefonállvány, okostelefon, asztali PC munkaállomás)</t>
  </si>
  <si>
    <t>Asztali számítógép szerver</t>
  </si>
  <si>
    <t>ERASMUS+ Program</t>
  </si>
  <si>
    <t>Veszprémi Szemle Várostörténeti Közhasznú Alapítvány Támogatása</t>
  </si>
  <si>
    <t>Ex Symposion Alapítvány</t>
  </si>
  <si>
    <t>Március 15. u. 4/B. orvosi rendelő - bejárat mellett nyitható ablak kialakítása</t>
  </si>
  <si>
    <t>Comitatus Társadalomkutató Egyesület - Comitatus Önkormányzati Szemle</t>
  </si>
  <si>
    <t xml:space="preserve">Sportcélok és feladatok </t>
  </si>
  <si>
    <t>Állatvédelmi Kompetencia Központ beruházás</t>
  </si>
  <si>
    <t>Európa Kulturális Főváros működési kiadása (11.EKF.)</t>
  </si>
  <si>
    <t>Európa Kulturális Fővárosa felhalmozási kiadása (11.EKF)</t>
  </si>
  <si>
    <t>Restaurátor eszközök beszerzésére</t>
  </si>
  <si>
    <t>Kompresszor</t>
  </si>
  <si>
    <t>Páraelszívó ventilátor</t>
  </si>
  <si>
    <t>Vegyszeres mosókád</t>
  </si>
  <si>
    <t>Fényképezőgép kiegészítőkkel</t>
  </si>
  <si>
    <t>Sarokcsiszoló kiegészítőkkel</t>
  </si>
  <si>
    <t>Kisértékű restaurátor eszközök</t>
  </si>
  <si>
    <t>COVID fertőtlenítő kapu</t>
  </si>
  <si>
    <t>Számítógép - speciális, vetítéshez használható konfiguráció szakmai munkához, előadások kiszolgálásához</t>
  </si>
  <si>
    <t>Balatoni Vívóklub</t>
  </si>
  <si>
    <t>Alkohol-Drogsegély Ambulancia/Szenvedélybetegek ellátásának működési kiadásaihoz támogatás</t>
  </si>
  <si>
    <t xml:space="preserve">        ebből:  - TDM Iroda szolgáltatás vásárlása</t>
  </si>
  <si>
    <t>Modern Városok Program és más hazai finanszírozásból megvalósuló feladatok (10.MVP és hazai)</t>
  </si>
  <si>
    <t>Tárgyi eszközök beszerzésére (Higiéniai eszközök, csöpögtető öntöző berendezés, wifi hálózat kiépítése, takarító eszközök, konyhai eszközök, járványügyi eszközök, létrák, salgó polcok, hirdető tábla, étkező garnitúra, mobiltelefon)</t>
  </si>
  <si>
    <t>Március 15. u. Uszoda - pénztárgép</t>
  </si>
  <si>
    <t>EKF II. ütem</t>
  </si>
  <si>
    <t>EKF beruházási kiadások összesen</t>
  </si>
  <si>
    <t>10.</t>
  </si>
  <si>
    <t>ebből: - Európa Kulturális Fővárosa III. ütem</t>
  </si>
  <si>
    <t>módosítás- átcsoportosítás EKF II. ütem önkormányzati feladatokra</t>
  </si>
  <si>
    <t xml:space="preserve">módosítás- átcsoportosítás </t>
  </si>
  <si>
    <t>Európa Kulturális Fővárosa III. ütem</t>
  </si>
  <si>
    <t>Játszóeszközök felújítása</t>
  </si>
  <si>
    <t>III. ütem összesen</t>
  </si>
  <si>
    <t>"9. melléklet VMJV Önkormányzata Közgyűlésének 5/2020. (II. 27.) önkormányzati rendeletéhez"</t>
  </si>
  <si>
    <t>13. melléklet a 2020. évi költségvetésről szóló 5/2020. (II. 27.) önkormányzati rendelet módosításáról szóló .../2020. (…….) önkormányzati rendelethez</t>
  </si>
  <si>
    <t>"13. melléklet VMJV Önkormányzata Közgyűlésének 5/2020. (II. 27.) önkormányzati rendeletéhez"</t>
  </si>
  <si>
    <t xml:space="preserve">        Eseti rendezvények</t>
  </si>
  <si>
    <t xml:space="preserve">        Polgármesteri keret</t>
  </si>
  <si>
    <t xml:space="preserve">        Nemzeti ünnepek/Programiroda</t>
  </si>
  <si>
    <t xml:space="preserve">        Köztéri szobrok, emléktáblák, lektorátus</t>
  </si>
  <si>
    <t xml:space="preserve">        Nemzetközi kapcsolatok</t>
  </si>
  <si>
    <t xml:space="preserve">        Könyvvizsgálat</t>
  </si>
  <si>
    <t xml:space="preserve">        Egyéb szakértői szolgáltatások</t>
  </si>
  <si>
    <t xml:space="preserve">        Sportcélok és feladatok/sportévnyitó</t>
  </si>
  <si>
    <t xml:space="preserve">        Közművelődési szolgáltatás/Programiroda/Magyar Kultúra napja</t>
  </si>
  <si>
    <t xml:space="preserve">        Önkormányzati igazgatás/Bakony Balaton Média</t>
  </si>
  <si>
    <r>
      <rPr>
        <b/>
        <i/>
        <sz val="10"/>
        <rFont val="Palatino Linotype"/>
        <family val="1"/>
        <charset val="238"/>
      </rPr>
      <t xml:space="preserve">        ebből:</t>
    </r>
    <r>
      <rPr>
        <i/>
        <sz val="10"/>
        <rFont val="Palatino Linotype"/>
        <family val="1"/>
        <charset val="238"/>
      </rPr>
      <t xml:space="preserve">  - TDM Iroda szolgáltatás vásárlása</t>
    </r>
  </si>
  <si>
    <t xml:space="preserve">        Városi Ifjúsági keret - Lélektér Alapítvány</t>
  </si>
  <si>
    <t>EMMI és Belügyminisztérium "Idősbarát Önkormányzati Díj"</t>
  </si>
  <si>
    <t>Illegális hulladéklerakó felszámolása</t>
  </si>
  <si>
    <t>Intézmények mindösszesen</t>
  </si>
  <si>
    <t xml:space="preserve">        Marketing tevékenység, marketing stratégia</t>
  </si>
  <si>
    <t>A 2020. évi engedélyezett létszám 2021. január 1-től 1 fővel emelkedik (1 fő családsegítő)</t>
  </si>
  <si>
    <t>ActiCity - Hóvirág u. 1.</t>
  </si>
  <si>
    <t>Koronavírus elleni védekezés költségeire - mobiltelefonok, fertőtlenítő adagolók, lázmérők</t>
  </si>
  <si>
    <t>Notebookok Windows 10 operációs rendszerrel vírusirtóval</t>
  </si>
  <si>
    <t>Notebook Windows 10 operációs rendszerrel vírusirtóval</t>
  </si>
  <si>
    <t>Tárgyi eszközök beszerzésére (Katica csoport: polcos szekrény, babakonyha szekrény, tálaló szekrény, foglalkoztató szekrény, játéktároló, ágyazó, tükrök, élősarokpolc, teakonyha polc, ágyazó polc, szőnyegek, konyhai eszközök, étel-italszállító badellák, botmixer, serpenyő, érintésmentes kézfertőtlenítő, lázmérők, komód, porszívók, konyhai eszközök, polc)</t>
  </si>
  <si>
    <t>Tárgyi eszközök beszerzése (mosógép, szakmai eszközök)</t>
  </si>
  <si>
    <t>Okoseszközök nyertes pályázatból, látássérült munkavállaló részére (Apple MacBook, okostelefon, óra)</t>
  </si>
  <si>
    <t>Informatikai eszközök (router, USB adapter bővítés, laptopok, windows office programok, okostelefonok, monitor)</t>
  </si>
  <si>
    <t>Laptopok gazdasági ügyintézőknek, laptopok, asztali gépek, vírusirtók, office csomagok</t>
  </si>
  <si>
    <t>módosítás- projekt előleg visszautalása az Államkincstárnak</t>
  </si>
  <si>
    <t>Dózsa György u. 2 sz. alatti épület felújítása (tervezés-előkészítés)</t>
  </si>
  <si>
    <t>Népszámlálás 2021. (2020. évi része)</t>
  </si>
  <si>
    <r>
      <rPr>
        <b/>
        <u/>
        <sz val="11"/>
        <rFont val="Palatino Linotype"/>
        <family val="1"/>
        <charset val="238"/>
      </rPr>
      <t>Szabadidő és diáksport</t>
    </r>
    <r>
      <rPr>
        <sz val="11"/>
        <rFont val="Palatino Linotype"/>
        <family val="1"/>
        <charset val="238"/>
      </rPr>
      <t xml:space="preserve"> - Veszprémi Pannon SE</t>
    </r>
  </si>
  <si>
    <t>"1/A. melléklet VMJV Önkormányzata Közgyűlésének 5/2020. (II. 27.) önkormányzati rendeletéhez"</t>
  </si>
  <si>
    <t>2020. december 18-31-ig</t>
  </si>
  <si>
    <t>2020. évi módosított előirányzat 6.</t>
  </si>
  <si>
    <t>2020. évi     módosított előirányzat 5.</t>
  </si>
  <si>
    <t>módosított előirányzat 6.</t>
  </si>
  <si>
    <t xml:space="preserve">   módosított előirányzat 5.</t>
  </si>
  <si>
    <t>2020. évi  módosított előirányzat 5.</t>
  </si>
  <si>
    <t>Miniszterelnökség-Veszprém Európa Kulturális Fővárosa 2023 programsorozat - ingatlanvásárlás (bútorgyár, SZMT irodaház)</t>
  </si>
  <si>
    <t>EKF IV. ütem</t>
  </si>
  <si>
    <t>2005/2020. (XII.24.) Korm. Határozat szerinti támogatás (víziközmű szolgáltató ázsiós tőkeemelése)</t>
  </si>
  <si>
    <t>2005/2020. (XII.24.) Korm. Határozat szerinti támogatás önkormányzati feladatok ellátása érdekében</t>
  </si>
  <si>
    <t>Kittenberger K. Növény- és Vadaspark - törzstőke emelés</t>
  </si>
  <si>
    <t>Kittenberger K. Növény- és Vadaspark - tőketartalékba helyezés</t>
  </si>
  <si>
    <t>Veszprémi Közüzemi Szolgáltató Zrt.</t>
  </si>
  <si>
    <t>Egyéb városüzemeltetési feladatok - törzstőke emelés</t>
  </si>
  <si>
    <t>Egyéb városüzemeltetési feladatok - tőketartalékba helyezés</t>
  </si>
  <si>
    <t>V-Busz Kft. törzstőke emelés</t>
  </si>
  <si>
    <t>V-Busz Kft. tőketartalékba helyezés</t>
  </si>
  <si>
    <t>Parkfenntartási feladatok - tőketartalékba helyezés</t>
  </si>
  <si>
    <t>Köztisztasági feladatok - tőketartalékba helyezés</t>
  </si>
  <si>
    <t>Temetők üzemeltetésével kapcsolatos feladatok - tőketartalékba helyezés</t>
  </si>
  <si>
    <t>Intézményi működtetők kiadásaira - tőketartalékba helyezés</t>
  </si>
  <si>
    <t>EMMI - Közművelődési intézmények 6%-os bérfejlesztésére</t>
  </si>
  <si>
    <t>átcsoportosítás dologi kiadásokról</t>
  </si>
  <si>
    <t>munkaadót terhelő szociális hozzájárulási adóra</t>
  </si>
  <si>
    <t>Európa Kulturális Főváros 2023 beruházások előkészítése (önerő)</t>
  </si>
  <si>
    <t>Európa Kulturális Fővárosa IV. ütem</t>
  </si>
  <si>
    <t>módosítás- támogatói okirat szerint</t>
  </si>
  <si>
    <t>Beruházási céltartalék</t>
  </si>
  <si>
    <t>Intézményi karbantartási feladatok - tőketartalékba helyezés</t>
  </si>
  <si>
    <t>Tőketartalékba helyezés</t>
  </si>
  <si>
    <r>
      <rPr>
        <b/>
        <i/>
        <sz val="11"/>
        <rFont val="Palatino Linotype"/>
        <family val="1"/>
        <charset val="238"/>
      </rPr>
      <t>ebből</t>
    </r>
    <r>
      <rPr>
        <i/>
        <sz val="11"/>
        <rFont val="Palatino Linotype"/>
        <family val="1"/>
        <charset val="238"/>
      </rPr>
      <t>:Egyéb városüzemeltetési feladatok - tőketartalékba helyezés</t>
    </r>
  </si>
  <si>
    <t>V-Busz Kft. törzstőke emelés 2005/2020. (XII.24.) Korm. határozat</t>
  </si>
  <si>
    <t>V-Busz Kft. tőketartalékba helyezés 2005/2020. (XII.24.) Korm. Határozat</t>
  </si>
  <si>
    <t>Kittenberger K. Növény- és Vadaspark - törzstőke emelés 2005/2020. (XII.24.) Korm. Határozat</t>
  </si>
  <si>
    <t>Kittenberger K. Növény- és Vadaspark - tőketartalékba helyezés 2005/2020. (XII.24.) Korm. Határozat</t>
  </si>
  <si>
    <t>Veszprémi Közüzemi Szolgáltató Zrt. 2005/2020. (XII.24.) Korm. Határozat</t>
  </si>
  <si>
    <t xml:space="preserve">Törzstőke emelés (egyéb városüzemeltetési feladatok) </t>
  </si>
  <si>
    <t xml:space="preserve">       Temetők üzemeltetésével kapcsolatos feladatok - tőketartalékba helyezés</t>
  </si>
  <si>
    <t>EMMI - Járásszékhely múzeumok szakmai támogatása</t>
  </si>
  <si>
    <t>módosítás- támogatási szerződés szerint</t>
  </si>
  <si>
    <t>Illegális hulladéklerakók felszámolása</t>
  </si>
  <si>
    <t>Kisértékű tárgyi eszközök (mosógép, porszívó, mobiltelefon, gyermekszék, gyermekfektető és tartó, függöny, redőny, szúnyogháló, roló, konyhai kisgép, érintés nélküli lázmérő, tartós szakmai játék, számítástechnikai eszközök, karnis, iratmegsemmisítő, párologtató,irodai szék, magasnyomású mosó, vízforraló, bútorzat)</t>
  </si>
  <si>
    <t>Veszprémi Csillag Úti Körzeti Óvoda - gyermekétkeztetés térítési díj bevétel</t>
  </si>
  <si>
    <t>gyermekétkeztetés térítési díj kiesés rendezése</t>
  </si>
  <si>
    <t>Kisértékű tárgyi eszközök (porszívó, vércukormérő, szék)</t>
  </si>
  <si>
    <t>Városgazdálkodási szolgáltatás</t>
  </si>
  <si>
    <t>Veszprém Európa Kulturális Fővárosa 2023 programsorozat - ingatlanvásárlás (volt Balaton Bútorgyár területe 4061, 4038/1 hrsz., "Szakszervezetek ház" 4073/3, 4073/3/A hrsz.)</t>
  </si>
  <si>
    <t>Működési kiadások (dologi kiadások)</t>
  </si>
  <si>
    <t xml:space="preserve">Jókai u. 8. </t>
  </si>
  <si>
    <t>módosítás- támogatás</t>
  </si>
  <si>
    <t>módosítás-  átcsoportosítás</t>
  </si>
  <si>
    <t>Urbact Innova-tor (személyi kiadásokra)</t>
  </si>
  <si>
    <t>Urbact Innova-tor átcsoportosítás dologi kiadásokról</t>
  </si>
  <si>
    <t>TDM Iroda szolgáltatás vásárlás</t>
  </si>
  <si>
    <t>átcsoportosítás dologi kiadásokra</t>
  </si>
  <si>
    <t>módosítás- roncsautók</t>
  </si>
  <si>
    <t>Önkormányzat működési bevétele</t>
  </si>
  <si>
    <t>Közterület felügyelet - roncsautók</t>
  </si>
  <si>
    <t>TOP-6.4.1-16-VP1-2019-00003 Kerékpárút és kerékpárforgalmi létesítmények építése Veszprém - Gyulafirátót szakaszon</t>
  </si>
  <si>
    <t>módosítás- NKA pályázatok</t>
  </si>
  <si>
    <t xml:space="preserve">módosítás- Néptánc és Hungarikum pályázati támogatás </t>
  </si>
  <si>
    <t>Agóra Veszprém Kulturális Központ - Néptánc és Hungarikum pályázati támogatás</t>
  </si>
  <si>
    <t>Néptánc és Hungarikum pályázati támogatás</t>
  </si>
  <si>
    <t>Kabóca Bábszínház - Erasmus+ Program</t>
  </si>
  <si>
    <t>Erasmus+ Program</t>
  </si>
  <si>
    <t>2020-2022</t>
  </si>
  <si>
    <t>módosítás- készletértékesítés bevétele</t>
  </si>
  <si>
    <t>EMMI-NKA pályázati támogatás</t>
  </si>
  <si>
    <t>módosítás- bevételi többletből</t>
  </si>
  <si>
    <t>Veszprémi Petőfi Színház - készletértékesítés</t>
  </si>
  <si>
    <t>Veszprémi Petőfi Színház - EMMI NKA pályázati támogatás</t>
  </si>
  <si>
    <t>Készletértékesítés többletbevételéből, NKA-s pályázati forrásból</t>
  </si>
  <si>
    <t>Eötvös Károly Megyei Könyvtár - áfa visszatérülés</t>
  </si>
  <si>
    <t>módosítás- áfa visszatérülés</t>
  </si>
  <si>
    <t>módosítás- bevételi többletből, átcsoportosítások</t>
  </si>
  <si>
    <t>személyi kiadásokról</t>
  </si>
  <si>
    <t>munkaadót terhelő szociális hozzájárulási adóról</t>
  </si>
  <si>
    <t>dologi kiadásokra</t>
  </si>
  <si>
    <t>módosítás- bevétel kiesés és NKA pályázati bevételek</t>
  </si>
  <si>
    <t>Művészetek Háza - NKA pályázati támogatások</t>
  </si>
  <si>
    <t>Előző évi költségvetési maradvány korrekciója dologi kiadásokon</t>
  </si>
  <si>
    <t>módosítás- Előző évi költségvetési maradvány korrekciója dologi kiadásokon</t>
  </si>
  <si>
    <t>módosítás- előző évi költségvetési maradvány korrekciója</t>
  </si>
  <si>
    <t>előző évi költségvetési maradvány korrekciója</t>
  </si>
  <si>
    <t>Adóbevételek</t>
  </si>
  <si>
    <t>Hiteltörlesztés</t>
  </si>
  <si>
    <t>Laczkó Dezső Múzeum - EMMI pályázati támogatás</t>
  </si>
  <si>
    <t>Laczkó Dezső Múzeum - Erasmus+ Program</t>
  </si>
  <si>
    <t>Önkormányzat felhalmozási bevétele</t>
  </si>
  <si>
    <t>Adóbevételekkel szembeni fizetési kötelezettség</t>
  </si>
  <si>
    <t>Viziközmű fejlesztés</t>
  </si>
  <si>
    <t xml:space="preserve">Működési célú költségvetési maradvány igénybevétele </t>
  </si>
  <si>
    <t>Működési kiadásokra képzett céltartalék - adóbevételek többletéből</t>
  </si>
  <si>
    <t xml:space="preserve"> - Felmentési idő, jub.jut., végkielégítés, egyéb működési kiadások</t>
  </si>
  <si>
    <t>"15. melléklet VMJV Önkormányzata Közgyűlésének 5/2020. (II. 27.) önkormányzati rendeletéhez"</t>
  </si>
  <si>
    <t>Laczkó Dezső Múzeum - bevételkiesés</t>
  </si>
  <si>
    <t>Művészetek Háza - bevételkiesés</t>
  </si>
  <si>
    <t>Ingatlanértékesítésből származó bevétel - bevételkiesés</t>
  </si>
  <si>
    <t>gyermekétkeztetés térítési díj bevételkiesés rendezése dologi kiadásokról</t>
  </si>
  <si>
    <t>NKA pályázati támogatás és bevételkiesés rendezés</t>
  </si>
  <si>
    <t>Helyi önkormányzatok működésének általános és ágazati feladataihoz kapcsolódó támogatás</t>
  </si>
  <si>
    <t>saját bevétel rendezés, EMMI támogatás</t>
  </si>
  <si>
    <t>módosítás- gyermekétkeztetés térítési díj bevételkiesés</t>
  </si>
  <si>
    <t>bevételkiesés rendezése</t>
  </si>
  <si>
    <t>Szakmai tárgyi eszközök beszerzésére (határfelület mikrofonok, számítógépek frissítése, létra-díszítőtár, biztonsági heveder-díszítőtár, járás lámpa 10 db-világosítótár, vércukorszintmérő, pendriveive (nagy kapacitású), iratmegsemmisítő, stúdió monitor-hangtár, számítógéphez kiegészítők, Informatika eszközök, személyigazolvány-olvasó, pendrive-ok, laptopok, projektorok, iratmegsemmisítő, mosógép, LED-es világítás, állólámpa, ügyelői monitor, lámpák, vércukorszint mérő, vasaló állomás, webkamera, kézfertőtlenítő adagoló gépek, hőmérők, ventillátor, minihűtő, laminálógép, biztonsági testheveder, ügyelői monitor, csőtisztítógép, présszerszám, matracok, forrasztó, hőlégfúvó, tűzőgép, búvárszivattyú, sarokcsiszoló, bluetooth hangfal, vasalódeszka, ragasztópisztoly, Canon fényképezőgép, objektív, akkumulátor, hangfalak, ózongenerátor, aggregátor, vízforraló, konyhai eszközök)</t>
  </si>
  <si>
    <t xml:space="preserve">        Programiroda szolgáltatások</t>
  </si>
  <si>
    <t>Könyvtári érdekeltségnövelő támogatás</t>
  </si>
  <si>
    <t>Kulturális pótlék</t>
  </si>
  <si>
    <t>Bérkompenzáció</t>
  </si>
  <si>
    <t>Szociális ágazati pótlék</t>
  </si>
  <si>
    <t>Egészségügyi kiegészítő pótlék</t>
  </si>
  <si>
    <t>Felhalmozási hitel - Célhitel 2019</t>
  </si>
  <si>
    <t>személyi kiadásokra 27 eFt. munkaadót terhelő szoc.hoz.adóra 13 eFt.</t>
  </si>
  <si>
    <t>1. melléklet a 2020. évi költségvetésről szóló 5/2020. (II. 27.) önkormányzati rendelet módosításáról szóló 6/2021. (II.25.) önkormányzati rendelethez</t>
  </si>
  <si>
    <t>1/A. melléklet a 2020. évi költségvetésről szóló 5/2020. (II. 27.) önkormányzati rendelet módosításáról szóló  6/2021. (II.25.) önkormányzati rendelethez</t>
  </si>
  <si>
    <t>2. melléklet a 2020. évi költségvetésről szóló 5/2020. (II. 27.) önkormányzati rendelet módosításáról szóló 6/2021. (II.25.) önkormányzati rendelethez</t>
  </si>
  <si>
    <t>3. melléklet a 2020. évi költségvetésről szóló 5/2020. (II. 27.) önkormányzati rendelet módosításáról szóló  6/2021. (II.25.) önkormányzati rendelethez</t>
  </si>
  <si>
    <t>3/A. melléklet a 2020. évi költségvetésről szóló 5/2020. (II. 27.) önkormányzati rendelet módosításáról szóló  6/2021. (II.25.) önkormányzati rendelethez</t>
  </si>
  <si>
    <t>4. melléklet a 2020. évi költségvetésről szóló 5/2020. (II. 27.) önkormányzati rendelet módosításáról szóló  6/2021. (II.25.) önkormányzati rendelethez</t>
  </si>
  <si>
    <t>5. melléklet a 2020. évi költségvetésről szóló 5/2020. (II. 27.) önkormányzati rendelet módosításáról szóló  6/2021. (II.25.) önkormányzati rendelethez</t>
  </si>
  <si>
    <t>6. melléklet a 2020. évi költségvetésről szóló 5/2020. (II. 27.) önkormányzati rendelet módosításáról szóló  6/2021. (II.25.) önkormányzati rendelethez</t>
  </si>
  <si>
    <t>7. melléklet a 2020. évi költségvetésről szóló 5/2020. (II. 27.) önkormányzati rendelet módosításáról szóló  6/2021. (II.25.) önkormányzati rendelethez</t>
  </si>
  <si>
    <t>8. melléklet a 2020. évi költségvetésről szóló 5/2020. (II. 27.) önkormányzati rendelet módosításáról szóló  6/2021. (II.25.) önkormányzati rendelethez</t>
  </si>
  <si>
    <t>9. melléklet a 2020. évi költségvetésről szóló 5/2020. (II. 27.) önkormányzati rendelet módosításáról szóló  6/2021. (II.25.) önkormányzati rendelethez</t>
  </si>
  <si>
    <t>10. melléklet a 2020. évi költségvetésről szóló 5/2020. (II. 27.) önkormányzati rendelet módosításáról szóló  6/2021. (II.25.) önkormányzati rendelethez</t>
  </si>
  <si>
    <t>11. melléklet a 2020. évi költségvetésről szóló 5/2020. (II. 27.) önkormányzati rendelet módosításáról szóló 6/2021. (II.25.) önkormányzati rendelethez</t>
  </si>
  <si>
    <t>12. melléklet a 2020. évi költségvetésről szóló 5/2020. (II. 27.) önkormányzati rendelet módosításáról szóló 6/2021. (II.25.) önkormányzati rendelethez</t>
  </si>
  <si>
    <t>13. melléklet a 2020. évi költségvetésről szóló 5/2020. (II. 27.) önkormányzati rendelet módosításáról szóló  6/2021. (II.25.) önkormányzati rendelethez</t>
  </si>
</sst>
</file>

<file path=xl/styles.xml><?xml version="1.0" encoding="utf-8"?>
<styleSheet xmlns="http://schemas.openxmlformats.org/spreadsheetml/2006/main" xmlns:mc="http://schemas.openxmlformats.org/markup-compatibility/2006" xmlns:x14ac="http://schemas.microsoft.com/office/spreadsheetml/2009/9/ac" mc:Ignorable="x14ac">
  <numFmts count="3">
    <numFmt numFmtId="43" formatCode="_-* #,##0.00\ _F_t_-;\-* #,##0.00\ _F_t_-;_-* &quot;-&quot;??\ _F_t_-;_-@_-"/>
    <numFmt numFmtId="164" formatCode="0.000"/>
    <numFmt numFmtId="165" formatCode="0.0%"/>
  </numFmts>
  <fonts count="66" x14ac:knownFonts="1">
    <font>
      <sz val="10"/>
      <name val="Arial CE"/>
      <charset val="238"/>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0"/>
      <name val="Arial CE"/>
      <charset val="238"/>
    </font>
    <font>
      <sz val="11"/>
      <name val="Palatino Linotype"/>
      <family val="1"/>
      <charset val="238"/>
    </font>
    <font>
      <sz val="10"/>
      <name val="Arial"/>
      <family val="2"/>
      <charset val="238"/>
    </font>
    <font>
      <b/>
      <sz val="11"/>
      <name val="Palatino Linotype"/>
      <family val="1"/>
      <charset val="238"/>
    </font>
    <font>
      <i/>
      <sz val="11"/>
      <name val="Palatino Linotype"/>
      <family val="1"/>
      <charset val="238"/>
    </font>
    <font>
      <sz val="9"/>
      <name val="Palatino Linotype"/>
      <family val="1"/>
      <charset val="238"/>
    </font>
    <font>
      <sz val="8"/>
      <name val="Arial CE"/>
      <charset val="238"/>
    </font>
    <font>
      <sz val="12"/>
      <name val="Times New Roman"/>
      <family val="1"/>
      <charset val="238"/>
    </font>
    <font>
      <sz val="8"/>
      <name val="Palatino Linotype"/>
      <family val="1"/>
      <charset val="238"/>
    </font>
    <font>
      <sz val="10"/>
      <name val="Palatino Linotype"/>
      <family val="1"/>
      <charset val="238"/>
    </font>
    <font>
      <b/>
      <sz val="9"/>
      <name val="Palatino Linotype"/>
      <family val="1"/>
      <charset val="238"/>
    </font>
    <font>
      <i/>
      <sz val="10"/>
      <name val="Palatino Linotype"/>
      <family val="1"/>
      <charset val="238"/>
    </font>
    <font>
      <b/>
      <sz val="10"/>
      <name val="Palatino Linotype"/>
      <family val="1"/>
      <charset val="238"/>
    </font>
    <font>
      <sz val="9"/>
      <name val="Arial CE"/>
      <charset val="238"/>
    </font>
    <font>
      <i/>
      <u/>
      <sz val="10"/>
      <name val="Palatino Linotype"/>
      <family val="1"/>
      <charset val="238"/>
    </font>
    <font>
      <b/>
      <i/>
      <sz val="10"/>
      <name val="Palatino Linotype"/>
      <family val="1"/>
      <charset val="238"/>
    </font>
    <font>
      <b/>
      <i/>
      <sz val="11"/>
      <name val="Palatino Linotype"/>
      <family val="1"/>
      <charset val="238"/>
    </font>
    <font>
      <sz val="7"/>
      <name val="Palatino Linotype"/>
      <family val="1"/>
      <charset val="238"/>
    </font>
    <font>
      <b/>
      <sz val="8"/>
      <name val="Palatino Linotype"/>
      <family val="1"/>
      <charset val="238"/>
    </font>
    <font>
      <b/>
      <sz val="10"/>
      <name val="Arial CE"/>
      <charset val="238"/>
    </font>
    <font>
      <i/>
      <sz val="10"/>
      <name val="Arial CE"/>
      <charset val="238"/>
    </font>
    <font>
      <b/>
      <u val="double"/>
      <sz val="10"/>
      <name val="Palatino Linotype"/>
      <family val="1"/>
      <charset val="238"/>
    </font>
    <font>
      <sz val="11"/>
      <name val="Arial CE"/>
      <charset val="238"/>
    </font>
    <font>
      <sz val="10"/>
      <name val="Times New Roman"/>
      <family val="1"/>
      <charset val="238"/>
    </font>
    <font>
      <b/>
      <u/>
      <sz val="10"/>
      <name val="Palatino Linotype"/>
      <family val="1"/>
      <charset val="238"/>
    </font>
    <font>
      <b/>
      <u/>
      <sz val="11"/>
      <name val="Palatino Linotype"/>
      <family val="1"/>
      <charset val="238"/>
    </font>
    <font>
      <u/>
      <sz val="11"/>
      <name val="Palatino Linotype"/>
      <family val="1"/>
      <charset val="238"/>
    </font>
    <font>
      <sz val="11"/>
      <color theme="1"/>
      <name val="Calibri"/>
      <family val="2"/>
      <charset val="238"/>
      <scheme val="minor"/>
    </font>
    <font>
      <sz val="11"/>
      <color rgb="FFFF0000"/>
      <name val="Palatino Linotype"/>
      <family val="1"/>
      <charset val="238"/>
    </font>
    <font>
      <sz val="11"/>
      <color theme="1"/>
      <name val="Palatino Linotype"/>
      <family val="1"/>
      <charset val="238"/>
    </font>
    <font>
      <b/>
      <sz val="10"/>
      <color theme="5" tint="-0.499984740745262"/>
      <name val="Palatino Linotype"/>
      <family val="1"/>
      <charset val="238"/>
    </font>
    <font>
      <b/>
      <i/>
      <sz val="10"/>
      <color theme="5" tint="-0.499984740745262"/>
      <name val="Palatino Linotype"/>
      <family val="1"/>
      <charset val="238"/>
    </font>
    <font>
      <b/>
      <sz val="10"/>
      <color theme="5" tint="-0.499984740745262"/>
      <name val="Arial CE"/>
      <charset val="238"/>
    </font>
    <font>
      <b/>
      <i/>
      <sz val="10"/>
      <color theme="5" tint="-0.499984740745262"/>
      <name val="Arial CE"/>
      <charset val="238"/>
    </font>
    <font>
      <b/>
      <sz val="11"/>
      <color theme="5" tint="-0.499984740745262"/>
      <name val="Palatino Linotype"/>
      <family val="1"/>
      <charset val="238"/>
    </font>
    <font>
      <sz val="11"/>
      <color theme="5" tint="-0.499984740745262"/>
      <name val="Palatino Linotype"/>
      <family val="1"/>
      <charset val="238"/>
    </font>
    <font>
      <sz val="9"/>
      <color indexed="81"/>
      <name val="Tahoma"/>
      <family val="2"/>
      <charset val="238"/>
    </font>
    <font>
      <b/>
      <sz val="9"/>
      <color indexed="81"/>
      <name val="Tahoma"/>
      <family val="2"/>
      <charset val="238"/>
    </font>
    <font>
      <b/>
      <u/>
      <sz val="12"/>
      <name val="Palatino Linotype"/>
      <family val="1"/>
      <charset val="238"/>
    </font>
    <font>
      <u/>
      <sz val="10"/>
      <name val="Palatino Linotype"/>
      <family val="1"/>
      <charset val="238"/>
    </font>
    <font>
      <b/>
      <sz val="11"/>
      <color theme="1"/>
      <name val="Calibri"/>
      <family val="2"/>
      <charset val="238"/>
      <scheme val="minor"/>
    </font>
    <font>
      <b/>
      <sz val="11"/>
      <color theme="1"/>
      <name val="Palatino Linotype"/>
      <family val="1"/>
      <charset val="238"/>
    </font>
    <font>
      <sz val="11"/>
      <color rgb="FF000000"/>
      <name val="Palatino Linotype"/>
      <family val="1"/>
      <charset val="238"/>
    </font>
    <font>
      <b/>
      <i/>
      <sz val="11"/>
      <color theme="5" tint="-0.499984740745262"/>
      <name val="Palatino Linotype"/>
      <family val="1"/>
      <charset val="238"/>
    </font>
    <font>
      <b/>
      <sz val="9"/>
      <color theme="5" tint="-0.499984740745262"/>
      <name val="Palatino Linotype"/>
      <family val="1"/>
      <charset val="238"/>
    </font>
    <font>
      <i/>
      <sz val="10"/>
      <color theme="1"/>
      <name val="Palatino Linotype"/>
      <family val="1"/>
      <charset val="238"/>
    </font>
    <font>
      <b/>
      <sz val="10"/>
      <color theme="1"/>
      <name val="Palatino Linotype"/>
      <family val="1"/>
      <charset val="238"/>
    </font>
    <font>
      <b/>
      <sz val="12"/>
      <name val="Palatino Linotype"/>
      <family val="1"/>
      <charset val="238"/>
    </font>
    <font>
      <i/>
      <u/>
      <sz val="11"/>
      <name val="Palatino Linotype"/>
      <family val="1"/>
      <charset val="238"/>
    </font>
    <font>
      <b/>
      <i/>
      <u/>
      <sz val="11"/>
      <name val="Palatino Linotype"/>
      <family val="1"/>
      <charset val="238"/>
    </font>
    <font>
      <b/>
      <i/>
      <sz val="12"/>
      <name val="Palatino Linotype"/>
      <family val="1"/>
      <charset val="238"/>
    </font>
    <font>
      <i/>
      <sz val="14"/>
      <name val="Garamond"/>
      <family val="1"/>
      <charset val="238"/>
    </font>
    <font>
      <i/>
      <sz val="11"/>
      <color rgb="FFFF0000"/>
      <name val="Palatino Linotype"/>
      <family val="1"/>
      <charset val="238"/>
    </font>
    <font>
      <b/>
      <u/>
      <sz val="10"/>
      <color theme="1"/>
      <name val="Palatino Linotype"/>
      <family val="1"/>
      <charset val="238"/>
    </font>
    <font>
      <sz val="12"/>
      <name val="Palatino Linotype"/>
      <family val="1"/>
      <charset val="238"/>
    </font>
    <font>
      <strike/>
      <sz val="11"/>
      <name val="Palatino Linotype"/>
      <family val="1"/>
      <charset val="238"/>
    </font>
  </fonts>
  <fills count="4">
    <fill>
      <patternFill patternType="none"/>
    </fill>
    <fill>
      <patternFill patternType="gray125"/>
    </fill>
    <fill>
      <patternFill patternType="solid">
        <fgColor theme="7" tint="-0.249977111117893"/>
        <bgColor indexed="64"/>
      </patternFill>
    </fill>
    <fill>
      <patternFill patternType="solid">
        <fgColor theme="6" tint="0.39997558519241921"/>
        <bgColor indexed="64"/>
      </patternFill>
    </fill>
  </fills>
  <borders count="255">
    <border>
      <left/>
      <right/>
      <top/>
      <bottom/>
      <diagonal/>
    </border>
    <border>
      <left style="medium">
        <color indexed="64"/>
      </left>
      <right style="thin">
        <color indexed="64"/>
      </right>
      <top style="medium">
        <color indexed="64"/>
      </top>
      <bottom style="double">
        <color indexed="64"/>
      </bottom>
      <diagonal/>
    </border>
    <border>
      <left style="thin">
        <color indexed="64"/>
      </left>
      <right style="thin">
        <color indexed="64"/>
      </right>
      <top style="medium">
        <color indexed="64"/>
      </top>
      <bottom style="double">
        <color indexed="64"/>
      </bottom>
      <diagonal/>
    </border>
    <border>
      <left style="thin">
        <color indexed="64"/>
      </left>
      <right style="medium">
        <color indexed="64"/>
      </right>
      <top style="medium">
        <color indexed="64"/>
      </top>
      <bottom style="double">
        <color indexed="64"/>
      </bottom>
      <diagonal/>
    </border>
    <border>
      <left style="medium">
        <color indexed="64"/>
      </left>
      <right/>
      <top/>
      <bottom/>
      <diagonal/>
    </border>
    <border>
      <left style="medium">
        <color indexed="64"/>
      </left>
      <right/>
      <top/>
      <bottom style="medium">
        <color indexed="64"/>
      </bottom>
      <diagonal/>
    </border>
    <border>
      <left/>
      <right/>
      <top/>
      <bottom style="medium">
        <color indexed="64"/>
      </bottom>
      <diagonal/>
    </border>
    <border>
      <left style="medium">
        <color indexed="64"/>
      </left>
      <right style="medium">
        <color indexed="64"/>
      </right>
      <top/>
      <bottom style="medium">
        <color indexed="64"/>
      </bottom>
      <diagonal/>
    </border>
    <border>
      <left/>
      <right/>
      <top style="thin">
        <color indexed="64"/>
      </top>
      <bottom style="thin">
        <color indexed="64"/>
      </bottom>
      <diagonal/>
    </border>
    <border>
      <left/>
      <right/>
      <top style="double">
        <color indexed="64"/>
      </top>
      <bottom style="medium">
        <color indexed="64"/>
      </bottom>
      <diagonal/>
    </border>
    <border>
      <left/>
      <right/>
      <top/>
      <bottom style="thin">
        <color indexed="64"/>
      </bottom>
      <diagonal/>
    </border>
    <border>
      <left/>
      <right/>
      <top style="medium">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medium">
        <color indexed="64"/>
      </left>
      <right style="hair">
        <color indexed="64"/>
      </right>
      <top style="double">
        <color indexed="64"/>
      </top>
      <bottom style="hair">
        <color indexed="64"/>
      </bottom>
      <diagonal/>
    </border>
    <border>
      <left style="hair">
        <color indexed="64"/>
      </left>
      <right style="hair">
        <color indexed="64"/>
      </right>
      <top style="double">
        <color indexed="64"/>
      </top>
      <bottom style="hair">
        <color indexed="64"/>
      </bottom>
      <diagonal/>
    </border>
    <border>
      <left style="medium">
        <color indexed="64"/>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style="medium">
        <color indexed="64"/>
      </right>
      <top style="hair">
        <color indexed="64"/>
      </top>
      <bottom style="hair">
        <color indexed="64"/>
      </bottom>
      <diagonal/>
    </border>
    <border>
      <left/>
      <right style="medium">
        <color indexed="64"/>
      </right>
      <top/>
      <bottom/>
      <diagonal/>
    </border>
    <border>
      <left/>
      <right style="medium">
        <color indexed="64"/>
      </right>
      <top/>
      <bottom style="medium">
        <color indexed="64"/>
      </bottom>
      <diagonal/>
    </border>
    <border>
      <left style="double">
        <color indexed="64"/>
      </left>
      <right style="hair">
        <color indexed="64"/>
      </right>
      <top style="hair">
        <color indexed="64"/>
      </top>
      <bottom/>
      <diagonal/>
    </border>
    <border>
      <left style="hair">
        <color indexed="64"/>
      </left>
      <right style="medium">
        <color indexed="64"/>
      </right>
      <top/>
      <bottom style="double">
        <color indexed="64"/>
      </bottom>
      <diagonal/>
    </border>
    <border>
      <left style="hair">
        <color indexed="64"/>
      </left>
      <right/>
      <top style="hair">
        <color indexed="64"/>
      </top>
      <bottom style="hair">
        <color indexed="64"/>
      </bottom>
      <diagonal/>
    </border>
    <border>
      <left style="hair">
        <color indexed="64"/>
      </left>
      <right style="hair">
        <color indexed="64"/>
      </right>
      <top/>
      <bottom style="hair">
        <color indexed="64"/>
      </bottom>
      <diagonal/>
    </border>
    <border>
      <left style="hair">
        <color indexed="64"/>
      </left>
      <right style="medium">
        <color indexed="64"/>
      </right>
      <top/>
      <bottom style="hair">
        <color indexed="64"/>
      </bottom>
      <diagonal/>
    </border>
    <border>
      <left style="hair">
        <color indexed="64"/>
      </left>
      <right/>
      <top/>
      <bottom style="hair">
        <color indexed="64"/>
      </bottom>
      <diagonal/>
    </border>
    <border>
      <left style="medium">
        <color indexed="64"/>
      </left>
      <right style="hair">
        <color indexed="64"/>
      </right>
      <top/>
      <bottom style="hair">
        <color indexed="64"/>
      </bottom>
      <diagonal/>
    </border>
    <border>
      <left style="medium">
        <color indexed="64"/>
      </left>
      <right style="hair">
        <color indexed="64"/>
      </right>
      <top style="medium">
        <color indexed="64"/>
      </top>
      <bottom style="medium">
        <color indexed="64"/>
      </bottom>
      <diagonal/>
    </border>
    <border>
      <left style="hair">
        <color indexed="64"/>
      </left>
      <right style="medium">
        <color indexed="64"/>
      </right>
      <top style="medium">
        <color indexed="64"/>
      </top>
      <bottom style="medium">
        <color indexed="64"/>
      </bottom>
      <diagonal/>
    </border>
    <border>
      <left style="thin">
        <color indexed="64"/>
      </left>
      <right style="medium">
        <color indexed="64"/>
      </right>
      <top style="medium">
        <color indexed="64"/>
      </top>
      <bottom/>
      <diagonal/>
    </border>
    <border>
      <left style="thin">
        <color indexed="64"/>
      </left>
      <right style="medium">
        <color indexed="64"/>
      </right>
      <top/>
      <bottom style="medium">
        <color indexed="64"/>
      </bottom>
      <diagonal/>
    </border>
    <border>
      <left/>
      <right style="medium">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top style="thin">
        <color indexed="64"/>
      </top>
      <bottom style="double">
        <color indexed="64"/>
      </bottom>
      <diagonal/>
    </border>
    <border>
      <left/>
      <right/>
      <top style="thin">
        <color indexed="64"/>
      </top>
      <bottom style="medium">
        <color indexed="64"/>
      </bottom>
      <diagonal/>
    </border>
    <border>
      <left/>
      <right/>
      <top style="hair">
        <color indexed="64"/>
      </top>
      <bottom style="hair">
        <color indexed="64"/>
      </bottom>
      <diagonal/>
    </border>
    <border>
      <left style="double">
        <color indexed="64"/>
      </left>
      <right style="double">
        <color indexed="64"/>
      </right>
      <top style="medium">
        <color indexed="64"/>
      </top>
      <bottom style="medium">
        <color indexed="64"/>
      </bottom>
      <diagonal/>
    </border>
    <border>
      <left style="double">
        <color indexed="64"/>
      </left>
      <right style="double">
        <color indexed="64"/>
      </right>
      <top style="hair">
        <color indexed="64"/>
      </top>
      <bottom style="hair">
        <color indexed="64"/>
      </bottom>
      <diagonal/>
    </border>
    <border>
      <left/>
      <right/>
      <top style="medium">
        <color indexed="64"/>
      </top>
      <bottom/>
      <diagonal/>
    </border>
    <border>
      <left style="double">
        <color indexed="64"/>
      </left>
      <right style="medium">
        <color indexed="64"/>
      </right>
      <top style="double">
        <color indexed="64"/>
      </top>
      <bottom style="medium">
        <color indexed="64"/>
      </bottom>
      <diagonal/>
    </border>
    <border>
      <left style="thin">
        <color indexed="64"/>
      </left>
      <right style="thin">
        <color indexed="64"/>
      </right>
      <top style="medium">
        <color indexed="64"/>
      </top>
      <bottom style="medium">
        <color indexed="64"/>
      </bottom>
      <diagonal/>
    </border>
    <border>
      <left style="medium">
        <color indexed="64"/>
      </left>
      <right style="hair">
        <color indexed="64"/>
      </right>
      <top style="medium">
        <color indexed="64"/>
      </top>
      <bottom style="hair">
        <color indexed="64"/>
      </bottom>
      <diagonal/>
    </border>
    <border>
      <left style="hair">
        <color indexed="64"/>
      </left>
      <right style="hair">
        <color indexed="64"/>
      </right>
      <top style="medium">
        <color indexed="64"/>
      </top>
      <bottom style="hair">
        <color indexed="64"/>
      </bottom>
      <diagonal/>
    </border>
    <border>
      <left style="hair">
        <color indexed="64"/>
      </left>
      <right style="medium">
        <color indexed="64"/>
      </right>
      <top style="medium">
        <color indexed="64"/>
      </top>
      <bottom style="hair">
        <color indexed="64"/>
      </bottom>
      <diagonal/>
    </border>
    <border>
      <left style="hair">
        <color indexed="64"/>
      </left>
      <right style="hair">
        <color indexed="64"/>
      </right>
      <top style="hair">
        <color indexed="64"/>
      </top>
      <bottom/>
      <diagonal/>
    </border>
    <border>
      <left style="hair">
        <color indexed="64"/>
      </left>
      <right style="medium">
        <color indexed="64"/>
      </right>
      <top style="hair">
        <color indexed="64"/>
      </top>
      <bottom/>
      <diagonal/>
    </border>
    <border>
      <left style="medium">
        <color indexed="64"/>
      </left>
      <right style="hair">
        <color indexed="64"/>
      </right>
      <top style="hair">
        <color indexed="64"/>
      </top>
      <bottom style="medium">
        <color indexed="64"/>
      </bottom>
      <diagonal/>
    </border>
    <border>
      <left style="hair">
        <color indexed="64"/>
      </left>
      <right style="hair">
        <color indexed="64"/>
      </right>
      <top style="hair">
        <color indexed="64"/>
      </top>
      <bottom style="medium">
        <color indexed="64"/>
      </bottom>
      <diagonal/>
    </border>
    <border>
      <left style="hair">
        <color indexed="64"/>
      </left>
      <right style="medium">
        <color indexed="64"/>
      </right>
      <top style="hair">
        <color indexed="64"/>
      </top>
      <bottom style="medium">
        <color indexed="64"/>
      </bottom>
      <diagonal/>
    </border>
    <border>
      <left style="medium">
        <color indexed="64"/>
      </left>
      <right style="hair">
        <color indexed="64"/>
      </right>
      <top style="hair">
        <color indexed="64"/>
      </top>
      <bottom/>
      <diagonal/>
    </border>
    <border>
      <left style="hair">
        <color indexed="64"/>
      </left>
      <right style="hair">
        <color indexed="64"/>
      </right>
      <top/>
      <bottom/>
      <diagonal/>
    </border>
    <border>
      <left style="hair">
        <color indexed="64"/>
      </left>
      <right style="medium">
        <color indexed="64"/>
      </right>
      <top/>
      <bottom/>
      <diagonal/>
    </border>
    <border>
      <left style="hair">
        <color indexed="64"/>
      </left>
      <right style="hair">
        <color indexed="64"/>
      </right>
      <top style="medium">
        <color indexed="64"/>
      </top>
      <bottom style="medium">
        <color indexed="64"/>
      </bottom>
      <diagonal/>
    </border>
    <border>
      <left style="medium">
        <color indexed="64"/>
      </left>
      <right style="hair">
        <color indexed="64"/>
      </right>
      <top/>
      <bottom/>
      <diagonal/>
    </border>
    <border>
      <left style="hair">
        <color indexed="64"/>
      </left>
      <right style="hair">
        <color indexed="64"/>
      </right>
      <top style="double">
        <color indexed="64"/>
      </top>
      <bottom style="medium">
        <color indexed="64"/>
      </bottom>
      <diagonal/>
    </border>
    <border>
      <left style="hair">
        <color indexed="64"/>
      </left>
      <right style="medium">
        <color indexed="64"/>
      </right>
      <top style="double">
        <color indexed="64"/>
      </top>
      <bottom style="medium">
        <color indexed="64"/>
      </bottom>
      <diagonal/>
    </border>
    <border>
      <left style="double">
        <color indexed="64"/>
      </left>
      <right style="hair">
        <color indexed="64"/>
      </right>
      <top style="hair">
        <color indexed="64"/>
      </top>
      <bottom style="hair">
        <color indexed="64"/>
      </bottom>
      <diagonal/>
    </border>
    <border>
      <left style="hair">
        <color indexed="64"/>
      </left>
      <right/>
      <top style="hair">
        <color indexed="64"/>
      </top>
      <bottom/>
      <diagonal/>
    </border>
    <border>
      <left style="hair">
        <color indexed="64"/>
      </left>
      <right/>
      <top style="hair">
        <color indexed="64"/>
      </top>
      <bottom style="medium">
        <color indexed="64"/>
      </bottom>
      <diagonal/>
    </border>
    <border>
      <left style="double">
        <color indexed="64"/>
      </left>
      <right style="hair">
        <color indexed="64"/>
      </right>
      <top style="medium">
        <color indexed="64"/>
      </top>
      <bottom style="hair">
        <color indexed="64"/>
      </bottom>
      <diagonal/>
    </border>
    <border>
      <left style="double">
        <color indexed="64"/>
      </left>
      <right style="hair">
        <color indexed="64"/>
      </right>
      <top style="hair">
        <color indexed="64"/>
      </top>
      <bottom style="medium">
        <color indexed="64"/>
      </bottom>
      <diagonal/>
    </border>
    <border>
      <left/>
      <right style="medium">
        <color indexed="64"/>
      </right>
      <top/>
      <bottom style="thin">
        <color indexed="64"/>
      </bottom>
      <diagonal/>
    </border>
    <border>
      <left style="medium">
        <color indexed="64"/>
      </left>
      <right/>
      <top/>
      <bottom style="hair">
        <color indexed="64"/>
      </bottom>
      <diagonal/>
    </border>
    <border>
      <left style="thin">
        <color indexed="64"/>
      </left>
      <right style="thin">
        <color indexed="64"/>
      </right>
      <top style="thin">
        <color indexed="64"/>
      </top>
      <bottom style="medium">
        <color indexed="64"/>
      </bottom>
      <diagonal/>
    </border>
    <border>
      <left style="double">
        <color indexed="64"/>
      </left>
      <right style="thin">
        <color indexed="64"/>
      </right>
      <top style="thin">
        <color indexed="64"/>
      </top>
      <bottom style="medium">
        <color indexed="64"/>
      </bottom>
      <diagonal/>
    </border>
    <border>
      <left style="medium">
        <color indexed="64"/>
      </left>
      <right/>
      <top style="medium">
        <color indexed="64"/>
      </top>
      <bottom style="thin">
        <color indexed="64"/>
      </bottom>
      <diagonal/>
    </border>
    <border>
      <left style="medium">
        <color indexed="64"/>
      </left>
      <right/>
      <top style="thin">
        <color indexed="64"/>
      </top>
      <bottom style="thin">
        <color indexed="64"/>
      </bottom>
      <diagonal/>
    </border>
    <border>
      <left style="medium">
        <color indexed="64"/>
      </left>
      <right/>
      <top style="thin">
        <color indexed="64"/>
      </top>
      <bottom style="double">
        <color indexed="64"/>
      </bottom>
      <diagonal/>
    </border>
    <border>
      <left style="medium">
        <color indexed="64"/>
      </left>
      <right/>
      <top style="double">
        <color indexed="64"/>
      </top>
      <bottom style="medium">
        <color indexed="64"/>
      </bottom>
      <diagonal/>
    </border>
    <border>
      <left style="medium">
        <color indexed="64"/>
      </left>
      <right/>
      <top style="thin">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hair">
        <color indexed="64"/>
      </left>
      <right style="hair">
        <color indexed="64"/>
      </right>
      <top style="medium">
        <color indexed="64"/>
      </top>
      <bottom style="double">
        <color indexed="64"/>
      </bottom>
      <diagonal/>
    </border>
    <border>
      <left style="hair">
        <color indexed="64"/>
      </left>
      <right/>
      <top style="medium">
        <color indexed="64"/>
      </top>
      <bottom style="medium">
        <color indexed="64"/>
      </bottom>
      <diagonal/>
    </border>
    <border>
      <left style="hair">
        <color indexed="64"/>
      </left>
      <right style="hair">
        <color indexed="64"/>
      </right>
      <top/>
      <bottom style="medium">
        <color indexed="64"/>
      </bottom>
      <diagonal/>
    </border>
    <border>
      <left style="hair">
        <color indexed="64"/>
      </left>
      <right/>
      <top/>
      <bottom style="medium">
        <color indexed="64"/>
      </bottom>
      <diagonal/>
    </border>
    <border>
      <left style="double">
        <color indexed="64"/>
      </left>
      <right style="hair">
        <color indexed="64"/>
      </right>
      <top/>
      <bottom style="hair">
        <color indexed="64"/>
      </bottom>
      <diagonal/>
    </border>
    <border>
      <left/>
      <right style="hair">
        <color indexed="64"/>
      </right>
      <top/>
      <bottom/>
      <diagonal/>
    </border>
    <border>
      <left/>
      <right style="hair">
        <color indexed="64"/>
      </right>
      <top/>
      <bottom style="hair">
        <color indexed="64"/>
      </bottom>
      <diagonal/>
    </border>
    <border>
      <left style="hair">
        <color indexed="64"/>
      </left>
      <right/>
      <top style="medium">
        <color indexed="64"/>
      </top>
      <bottom style="hair">
        <color indexed="64"/>
      </bottom>
      <diagonal/>
    </border>
    <border>
      <left style="double">
        <color indexed="64"/>
      </left>
      <right style="medium">
        <color indexed="64"/>
      </right>
      <top/>
      <bottom style="hair">
        <color indexed="64"/>
      </bottom>
      <diagonal/>
    </border>
    <border>
      <left style="double">
        <color indexed="64"/>
      </left>
      <right style="medium">
        <color indexed="64"/>
      </right>
      <top style="hair">
        <color indexed="64"/>
      </top>
      <bottom style="hair">
        <color indexed="64"/>
      </bottom>
      <diagonal/>
    </border>
    <border>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style="double">
        <color indexed="64"/>
      </left>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top/>
      <bottom/>
      <diagonal/>
    </border>
    <border>
      <left style="double">
        <color indexed="64"/>
      </left>
      <right/>
      <top/>
      <bottom/>
      <diagonal/>
    </border>
    <border>
      <left style="thin">
        <color indexed="64"/>
      </left>
      <right/>
      <top style="thin">
        <color indexed="64"/>
      </top>
      <bottom style="thin">
        <color indexed="64"/>
      </bottom>
      <diagonal/>
    </border>
    <border>
      <left style="double">
        <color indexed="64"/>
      </left>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double">
        <color indexed="64"/>
      </left>
      <right/>
      <top style="thin">
        <color indexed="64"/>
      </top>
      <bottom style="double">
        <color indexed="64"/>
      </bottom>
      <diagonal/>
    </border>
    <border>
      <left style="medium">
        <color indexed="64"/>
      </left>
      <right/>
      <top style="double">
        <color indexed="64"/>
      </top>
      <bottom style="double">
        <color indexed="64"/>
      </bottom>
      <diagonal/>
    </border>
    <border>
      <left/>
      <right style="thin">
        <color indexed="64"/>
      </right>
      <top style="double">
        <color indexed="64"/>
      </top>
      <bottom style="double">
        <color indexed="64"/>
      </bottom>
      <diagonal/>
    </border>
    <border>
      <left style="double">
        <color indexed="64"/>
      </left>
      <right/>
      <top style="double">
        <color indexed="64"/>
      </top>
      <bottom style="double">
        <color indexed="64"/>
      </bottom>
      <diagonal/>
    </border>
    <border>
      <left style="medium">
        <color indexed="64"/>
      </left>
      <right/>
      <top style="double">
        <color indexed="64"/>
      </top>
      <bottom/>
      <diagonal/>
    </border>
    <border>
      <left/>
      <right/>
      <top style="double">
        <color indexed="64"/>
      </top>
      <bottom/>
      <diagonal/>
    </border>
    <border>
      <left/>
      <right style="thin">
        <color indexed="64"/>
      </right>
      <top/>
      <bottom/>
      <diagonal/>
    </border>
    <border>
      <left style="medium">
        <color indexed="64"/>
      </left>
      <right/>
      <top/>
      <bottom style="thin">
        <color indexed="64"/>
      </bottom>
      <diagonal/>
    </border>
    <border>
      <left style="double">
        <color indexed="64"/>
      </left>
      <right/>
      <top/>
      <bottom style="thin">
        <color indexed="64"/>
      </bottom>
      <diagonal/>
    </border>
    <border>
      <left style="double">
        <color indexed="64"/>
      </left>
      <right/>
      <top/>
      <bottom style="medium">
        <color indexed="64"/>
      </bottom>
      <diagonal/>
    </border>
    <border>
      <left style="thin">
        <color indexed="64"/>
      </left>
      <right/>
      <top style="thin">
        <color indexed="64"/>
      </top>
      <bottom style="double">
        <color indexed="64"/>
      </bottom>
      <diagonal/>
    </border>
    <border>
      <left style="thin">
        <color indexed="64"/>
      </left>
      <right style="double">
        <color indexed="64"/>
      </right>
      <top style="double">
        <color indexed="64"/>
      </top>
      <bottom style="double">
        <color indexed="64"/>
      </bottom>
      <diagonal/>
    </border>
    <border>
      <left style="thin">
        <color indexed="64"/>
      </left>
      <right/>
      <top style="double">
        <color indexed="64"/>
      </top>
      <bottom/>
      <diagonal/>
    </border>
    <border>
      <left style="thin">
        <color indexed="64"/>
      </left>
      <right/>
      <top/>
      <bottom style="thin">
        <color indexed="64"/>
      </bottom>
      <diagonal/>
    </border>
    <border>
      <left style="thin">
        <color indexed="64"/>
      </left>
      <right/>
      <top/>
      <bottom style="medium">
        <color indexed="64"/>
      </bottom>
      <diagonal/>
    </border>
    <border>
      <left style="medium">
        <color indexed="64"/>
      </left>
      <right style="hair">
        <color indexed="64"/>
      </right>
      <top style="hair">
        <color indexed="64"/>
      </top>
      <bottom style="double">
        <color indexed="64"/>
      </bottom>
      <diagonal/>
    </border>
    <border>
      <left style="hair">
        <color indexed="64"/>
      </left>
      <right style="hair">
        <color indexed="64"/>
      </right>
      <top style="hair">
        <color indexed="64"/>
      </top>
      <bottom style="double">
        <color indexed="64"/>
      </bottom>
      <diagonal/>
    </border>
    <border>
      <left style="double">
        <color indexed="64"/>
      </left>
      <right style="medium">
        <color indexed="64"/>
      </right>
      <top/>
      <bottom style="medium">
        <color indexed="64"/>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style="double">
        <color indexed="64"/>
      </bottom>
      <diagonal/>
    </border>
    <border>
      <left style="hair">
        <color indexed="64"/>
      </left>
      <right/>
      <top style="double">
        <color indexed="64"/>
      </top>
      <bottom style="hair">
        <color indexed="64"/>
      </bottom>
      <diagonal/>
    </border>
    <border>
      <left/>
      <right style="hair">
        <color indexed="64"/>
      </right>
      <top style="hair">
        <color indexed="64"/>
      </top>
      <bottom style="hair">
        <color indexed="64"/>
      </bottom>
      <diagonal/>
    </border>
    <border>
      <left/>
      <right style="hair">
        <color indexed="64"/>
      </right>
      <top style="hair">
        <color indexed="64"/>
      </top>
      <bottom style="medium">
        <color indexed="64"/>
      </bottom>
      <diagonal/>
    </border>
    <border>
      <left/>
      <right style="hair">
        <color indexed="64"/>
      </right>
      <top style="double">
        <color indexed="64"/>
      </top>
      <bottom style="hair">
        <color indexed="64"/>
      </bottom>
      <diagonal/>
    </border>
    <border>
      <left/>
      <right style="double">
        <color indexed="64"/>
      </right>
      <top style="thin">
        <color indexed="64"/>
      </top>
      <bottom style="thin">
        <color indexed="64"/>
      </bottom>
      <diagonal/>
    </border>
    <border>
      <left style="hair">
        <color indexed="64"/>
      </left>
      <right style="hair">
        <color indexed="64"/>
      </right>
      <top style="medium">
        <color indexed="64"/>
      </top>
      <bottom/>
      <diagonal/>
    </border>
    <border>
      <left style="double">
        <color indexed="64"/>
      </left>
      <right style="hair">
        <color indexed="64"/>
      </right>
      <top style="double">
        <color indexed="64"/>
      </top>
      <bottom style="hair">
        <color indexed="64"/>
      </bottom>
      <diagonal/>
    </border>
    <border>
      <left style="hair">
        <color indexed="64"/>
      </left>
      <right style="medium">
        <color indexed="64"/>
      </right>
      <top style="double">
        <color indexed="64"/>
      </top>
      <bottom style="hair">
        <color indexed="64"/>
      </bottom>
      <diagonal/>
    </border>
    <border>
      <left/>
      <right/>
      <top/>
      <bottom style="hair">
        <color indexed="64"/>
      </bottom>
      <diagonal/>
    </border>
    <border>
      <left style="hair">
        <color indexed="64"/>
      </left>
      <right/>
      <top/>
      <bottom/>
      <diagonal/>
    </border>
    <border>
      <left style="medium">
        <color indexed="64"/>
      </left>
      <right/>
      <top style="hair">
        <color indexed="64"/>
      </top>
      <bottom style="hair">
        <color indexed="64"/>
      </bottom>
      <diagonal/>
    </border>
    <border>
      <left style="double">
        <color indexed="64"/>
      </left>
      <right style="double">
        <color indexed="64"/>
      </right>
      <top/>
      <bottom/>
      <diagonal/>
    </border>
    <border>
      <left/>
      <right/>
      <top/>
      <bottom style="double">
        <color indexed="64"/>
      </bottom>
      <diagonal/>
    </border>
    <border>
      <left/>
      <right style="medium">
        <color indexed="64"/>
      </right>
      <top/>
      <bottom style="double">
        <color indexed="64"/>
      </bottom>
      <diagonal/>
    </border>
    <border>
      <left/>
      <right style="hair">
        <color indexed="64"/>
      </right>
      <top style="medium">
        <color indexed="64"/>
      </top>
      <bottom style="hair">
        <color indexed="64"/>
      </bottom>
      <diagonal/>
    </border>
    <border>
      <left/>
      <right style="hair">
        <color indexed="64"/>
      </right>
      <top style="hair">
        <color indexed="64"/>
      </top>
      <bottom/>
      <diagonal/>
    </border>
    <border>
      <left/>
      <right style="hair">
        <color indexed="64"/>
      </right>
      <top style="medium">
        <color indexed="64"/>
      </top>
      <bottom/>
      <diagonal/>
    </border>
    <border>
      <left/>
      <right style="hair">
        <color indexed="64"/>
      </right>
      <top style="medium">
        <color indexed="64"/>
      </top>
      <bottom style="medium">
        <color indexed="64"/>
      </bottom>
      <diagonal/>
    </border>
    <border>
      <left style="double">
        <color indexed="64"/>
      </left>
      <right style="hair">
        <color indexed="64"/>
      </right>
      <top style="hair">
        <color indexed="64"/>
      </top>
      <bottom style="double">
        <color indexed="64"/>
      </bottom>
      <diagonal/>
    </border>
    <border>
      <left/>
      <right style="hair">
        <color indexed="64"/>
      </right>
      <top style="hair">
        <color indexed="64"/>
      </top>
      <bottom style="double">
        <color indexed="64"/>
      </bottom>
      <diagonal/>
    </border>
    <border>
      <left style="hair">
        <color indexed="64"/>
      </left>
      <right style="medium">
        <color indexed="64"/>
      </right>
      <top style="medium">
        <color indexed="64"/>
      </top>
      <bottom style="double">
        <color indexed="64"/>
      </bottom>
      <diagonal/>
    </border>
    <border>
      <left style="hair">
        <color indexed="64"/>
      </left>
      <right style="medium">
        <color indexed="64"/>
      </right>
      <top style="hair">
        <color indexed="64"/>
      </top>
      <bottom style="double">
        <color indexed="64"/>
      </bottom>
      <diagonal/>
    </border>
    <border>
      <left style="hair">
        <color indexed="64"/>
      </left>
      <right style="medium">
        <color indexed="64"/>
      </right>
      <top/>
      <bottom style="medium">
        <color indexed="64"/>
      </bottom>
      <diagonal/>
    </border>
    <border>
      <left style="hair">
        <color indexed="64"/>
      </left>
      <right style="medium">
        <color indexed="64"/>
      </right>
      <top style="medium">
        <color indexed="64"/>
      </top>
      <bottom/>
      <diagonal/>
    </border>
    <border>
      <left style="hair">
        <color indexed="64"/>
      </left>
      <right/>
      <top style="hair">
        <color indexed="64"/>
      </top>
      <bottom style="double">
        <color indexed="64"/>
      </bottom>
      <diagonal/>
    </border>
    <border>
      <left style="medium">
        <color indexed="64"/>
      </left>
      <right style="thin">
        <color indexed="64"/>
      </right>
      <top style="medium">
        <color indexed="64"/>
      </top>
      <bottom/>
      <diagonal/>
    </border>
    <border>
      <left style="medium">
        <color indexed="64"/>
      </left>
      <right style="thin">
        <color indexed="64"/>
      </right>
      <top/>
      <bottom style="medium">
        <color indexed="64"/>
      </bottom>
      <diagonal/>
    </border>
    <border>
      <left style="thin">
        <color indexed="64"/>
      </left>
      <right style="thin">
        <color indexed="64"/>
      </right>
      <top style="medium">
        <color indexed="64"/>
      </top>
      <bottom/>
      <diagonal/>
    </border>
    <border>
      <left style="thin">
        <color indexed="64"/>
      </left>
      <right style="thin">
        <color indexed="64"/>
      </right>
      <top/>
      <bottom style="medium">
        <color indexed="64"/>
      </bottom>
      <diagonal/>
    </border>
    <border>
      <left style="medium">
        <color indexed="64"/>
      </left>
      <right style="medium">
        <color indexed="64"/>
      </right>
      <top style="medium">
        <color indexed="64"/>
      </top>
      <bottom/>
      <diagonal/>
    </border>
    <border>
      <left/>
      <right style="hair">
        <color indexed="64"/>
      </right>
      <top style="double">
        <color indexed="64"/>
      </top>
      <bottom style="medium">
        <color indexed="64"/>
      </bottom>
      <diagonal/>
    </border>
    <border>
      <left style="thin">
        <color indexed="64"/>
      </left>
      <right/>
      <top style="medium">
        <color indexed="64"/>
      </top>
      <bottom/>
      <diagonal/>
    </border>
    <border>
      <left style="double">
        <color indexed="64"/>
      </left>
      <right style="medium">
        <color indexed="64"/>
      </right>
      <top style="medium">
        <color indexed="64"/>
      </top>
      <bottom/>
      <diagonal/>
    </border>
    <border>
      <left style="medium">
        <color indexed="64"/>
      </left>
      <right style="hair">
        <color indexed="64"/>
      </right>
      <top style="medium">
        <color indexed="64"/>
      </top>
      <bottom style="dotted">
        <color indexed="64"/>
      </bottom>
      <diagonal/>
    </border>
    <border>
      <left style="medium">
        <color indexed="64"/>
      </left>
      <right style="hair">
        <color indexed="64"/>
      </right>
      <top style="dotted">
        <color indexed="64"/>
      </top>
      <bottom style="double">
        <color indexed="64"/>
      </bottom>
      <diagonal/>
    </border>
    <border>
      <left/>
      <right style="hair">
        <color indexed="64"/>
      </right>
      <top/>
      <bottom style="medium">
        <color indexed="64"/>
      </bottom>
      <diagonal/>
    </border>
    <border>
      <left style="thin">
        <color indexed="64"/>
      </left>
      <right style="hair">
        <color indexed="64"/>
      </right>
      <top style="medium">
        <color indexed="64"/>
      </top>
      <bottom/>
      <diagonal/>
    </border>
    <border>
      <left style="thin">
        <color indexed="64"/>
      </left>
      <right style="hair">
        <color indexed="64"/>
      </right>
      <top/>
      <bottom style="medium">
        <color indexed="64"/>
      </bottom>
      <diagonal/>
    </border>
    <border>
      <left style="medium">
        <color indexed="64"/>
      </left>
      <right/>
      <top style="medium">
        <color indexed="64"/>
      </top>
      <bottom style="double">
        <color indexed="64"/>
      </bottom>
      <diagonal/>
    </border>
    <border>
      <left/>
      <right style="hair">
        <color indexed="64"/>
      </right>
      <top style="medium">
        <color indexed="64"/>
      </top>
      <bottom style="double">
        <color indexed="64"/>
      </bottom>
      <diagonal/>
    </border>
    <border>
      <left style="thin">
        <color indexed="64"/>
      </left>
      <right style="thin">
        <color indexed="64"/>
      </right>
      <top style="thin">
        <color indexed="64"/>
      </top>
      <bottom style="thin">
        <color indexed="64"/>
      </bottom>
      <diagonal/>
    </border>
    <border>
      <left style="thin">
        <color indexed="64"/>
      </left>
      <right style="double">
        <color indexed="64"/>
      </right>
      <top style="thin">
        <color indexed="64"/>
      </top>
      <bottom style="thin">
        <color indexed="64"/>
      </bottom>
      <diagonal/>
    </border>
    <border>
      <left style="thin">
        <color indexed="64"/>
      </left>
      <right style="double">
        <color indexed="64"/>
      </right>
      <top style="thin">
        <color indexed="64"/>
      </top>
      <bottom style="medium">
        <color indexed="64"/>
      </bottom>
      <diagonal/>
    </border>
    <border>
      <left style="medium">
        <color indexed="64"/>
      </left>
      <right style="thin">
        <color indexed="64"/>
      </right>
      <top/>
      <bottom/>
      <diagonal/>
    </border>
    <border>
      <left style="thin">
        <color indexed="64"/>
      </left>
      <right style="thin">
        <color indexed="64"/>
      </right>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double">
        <color indexed="64"/>
      </right>
      <top style="medium">
        <color indexed="64"/>
      </top>
      <bottom style="thin">
        <color indexed="64"/>
      </bottom>
      <diagonal/>
    </border>
    <border>
      <left style="double">
        <color indexed="64"/>
      </left>
      <right style="thin">
        <color indexed="64"/>
      </right>
      <top style="medium">
        <color indexed="64"/>
      </top>
      <bottom style="thin">
        <color indexed="64"/>
      </bottom>
      <diagonal/>
    </border>
    <border>
      <left style="double">
        <color indexed="64"/>
      </left>
      <right style="thin">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right style="thin">
        <color indexed="64"/>
      </right>
      <top style="medium">
        <color indexed="64"/>
      </top>
      <bottom style="medium">
        <color indexed="64"/>
      </bottom>
      <diagonal/>
    </border>
    <border>
      <left style="thin">
        <color indexed="64"/>
      </left>
      <right style="double">
        <color indexed="64"/>
      </right>
      <top style="medium">
        <color indexed="64"/>
      </top>
      <bottom/>
      <diagonal/>
    </border>
    <border>
      <left style="thin">
        <color indexed="64"/>
      </left>
      <right style="double">
        <color indexed="64"/>
      </right>
      <top/>
      <bottom style="medium">
        <color indexed="64"/>
      </bottom>
      <diagonal/>
    </border>
    <border>
      <left/>
      <right/>
      <top style="medium">
        <color indexed="64"/>
      </top>
      <bottom style="hair">
        <color indexed="64"/>
      </bottom>
      <diagonal/>
    </border>
    <border>
      <left/>
      <right/>
      <top style="hair">
        <color indexed="64"/>
      </top>
      <bottom/>
      <diagonal/>
    </border>
    <border>
      <left/>
      <right/>
      <top style="hair">
        <color indexed="64"/>
      </top>
      <bottom style="medium">
        <color indexed="64"/>
      </bottom>
      <diagonal/>
    </border>
    <border>
      <left style="medium">
        <color indexed="64"/>
      </left>
      <right/>
      <top style="medium">
        <color indexed="64"/>
      </top>
      <bottom style="hair">
        <color indexed="64"/>
      </bottom>
      <diagonal/>
    </border>
    <border>
      <left style="hair">
        <color indexed="64"/>
      </left>
      <right/>
      <top style="medium">
        <color indexed="64"/>
      </top>
      <bottom style="double">
        <color indexed="64"/>
      </bottom>
      <diagonal/>
    </border>
    <border>
      <left/>
      <right style="thin">
        <color indexed="64"/>
      </right>
      <top style="medium">
        <color indexed="64"/>
      </top>
      <bottom/>
      <diagonal/>
    </border>
    <border>
      <left/>
      <right style="thin">
        <color indexed="64"/>
      </right>
      <top/>
      <bottom style="medium">
        <color indexed="64"/>
      </bottom>
      <diagonal/>
    </border>
    <border>
      <left style="double">
        <color indexed="64"/>
      </left>
      <right style="hair">
        <color indexed="64"/>
      </right>
      <top style="medium">
        <color indexed="64"/>
      </top>
      <bottom style="medium">
        <color indexed="64"/>
      </bottom>
      <diagonal/>
    </border>
    <border>
      <left style="thin">
        <color indexed="64"/>
      </left>
      <right/>
      <top style="thin">
        <color indexed="64"/>
      </top>
      <bottom style="medium">
        <color indexed="64"/>
      </bottom>
      <diagonal/>
    </border>
    <border>
      <left style="hair">
        <color indexed="64"/>
      </left>
      <right style="double">
        <color indexed="64"/>
      </right>
      <top style="medium">
        <color indexed="64"/>
      </top>
      <bottom style="hair">
        <color indexed="64"/>
      </bottom>
      <diagonal/>
    </border>
    <border>
      <left/>
      <right style="medium">
        <color indexed="64"/>
      </right>
      <top style="medium">
        <color indexed="64"/>
      </top>
      <bottom style="thin">
        <color indexed="64"/>
      </bottom>
      <diagonal/>
    </border>
    <border>
      <left/>
      <right style="medium">
        <color indexed="64"/>
      </right>
      <top style="thin">
        <color indexed="64"/>
      </top>
      <bottom style="thin">
        <color indexed="64"/>
      </bottom>
      <diagonal/>
    </border>
    <border>
      <left/>
      <right style="medium">
        <color indexed="64"/>
      </right>
      <top style="thin">
        <color indexed="64"/>
      </top>
      <bottom style="medium">
        <color indexed="64"/>
      </bottom>
      <diagonal/>
    </border>
    <border>
      <left/>
      <right style="double">
        <color indexed="64"/>
      </right>
      <top style="thin">
        <color indexed="64"/>
      </top>
      <bottom style="medium">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style="medium">
        <color indexed="64"/>
      </left>
      <right style="medium">
        <color indexed="64"/>
      </right>
      <top style="thin">
        <color indexed="64"/>
      </top>
      <bottom/>
      <diagonal/>
    </border>
    <border>
      <left style="hair">
        <color indexed="64"/>
      </left>
      <right style="double">
        <color indexed="64"/>
      </right>
      <top style="hair">
        <color indexed="64"/>
      </top>
      <bottom style="hair">
        <color indexed="64"/>
      </bottom>
      <diagonal/>
    </border>
    <border>
      <left style="hair">
        <color indexed="64"/>
      </left>
      <right style="double">
        <color indexed="64"/>
      </right>
      <top style="medium">
        <color indexed="64"/>
      </top>
      <bottom/>
      <diagonal/>
    </border>
    <border>
      <left/>
      <right/>
      <top style="hair">
        <color indexed="64"/>
      </top>
      <bottom style="double">
        <color indexed="64"/>
      </bottom>
      <diagonal/>
    </border>
    <border>
      <left/>
      <right/>
      <top style="double">
        <color indexed="64"/>
      </top>
      <bottom style="hair">
        <color indexed="64"/>
      </bottom>
      <diagonal/>
    </border>
    <border>
      <left style="hair">
        <color indexed="64"/>
      </left>
      <right style="double">
        <color indexed="64"/>
      </right>
      <top style="double">
        <color indexed="64"/>
      </top>
      <bottom style="hair">
        <color indexed="64"/>
      </bottom>
      <diagonal/>
    </border>
    <border>
      <left style="medium">
        <color indexed="64"/>
      </left>
      <right style="thin">
        <color indexed="64"/>
      </right>
      <top style="medium">
        <color indexed="64"/>
      </top>
      <bottom style="dotted">
        <color indexed="64"/>
      </bottom>
      <diagonal/>
    </border>
    <border>
      <left style="thin">
        <color indexed="64"/>
      </left>
      <right style="thin">
        <color indexed="64"/>
      </right>
      <top style="medium">
        <color indexed="64"/>
      </top>
      <bottom style="dotted">
        <color indexed="64"/>
      </bottom>
      <diagonal/>
    </border>
    <border>
      <left style="thin">
        <color indexed="64"/>
      </left>
      <right style="thin">
        <color indexed="64"/>
      </right>
      <top style="medium">
        <color indexed="64"/>
      </top>
      <bottom style="hair">
        <color indexed="64"/>
      </bottom>
      <diagonal/>
    </border>
    <border>
      <left style="thin">
        <color indexed="64"/>
      </left>
      <right style="medium">
        <color indexed="64"/>
      </right>
      <top style="medium">
        <color indexed="64"/>
      </top>
      <bottom style="hair">
        <color indexed="64"/>
      </bottom>
      <diagonal/>
    </border>
    <border>
      <left style="medium">
        <color indexed="64"/>
      </left>
      <right style="thin">
        <color indexed="64"/>
      </right>
      <top style="dotted">
        <color indexed="64"/>
      </top>
      <bottom style="medium">
        <color indexed="64"/>
      </bottom>
      <diagonal/>
    </border>
    <border>
      <left style="thin">
        <color indexed="64"/>
      </left>
      <right style="thin">
        <color indexed="64"/>
      </right>
      <top style="dotted">
        <color indexed="64"/>
      </top>
      <bottom style="medium">
        <color indexed="64"/>
      </bottom>
      <diagonal/>
    </border>
    <border>
      <left style="thin">
        <color indexed="64"/>
      </left>
      <right style="double">
        <color indexed="64"/>
      </right>
      <top style="medium">
        <color indexed="64"/>
      </top>
      <bottom style="dotted">
        <color indexed="64"/>
      </bottom>
      <diagonal/>
    </border>
    <border>
      <left style="thin">
        <color indexed="64"/>
      </left>
      <right style="double">
        <color indexed="64"/>
      </right>
      <top style="dotted">
        <color indexed="64"/>
      </top>
      <bottom style="medium">
        <color indexed="64"/>
      </bottom>
      <diagonal/>
    </border>
    <border>
      <left/>
      <right style="thin">
        <color indexed="64"/>
      </right>
      <top style="thin">
        <color indexed="64"/>
      </top>
      <bottom/>
      <diagonal/>
    </border>
    <border>
      <left style="medium">
        <color indexed="64"/>
      </left>
      <right style="medium">
        <color indexed="64"/>
      </right>
      <top/>
      <bottom/>
      <diagonal/>
    </border>
    <border>
      <left/>
      <right style="double">
        <color indexed="64"/>
      </right>
      <top/>
      <bottom style="thin">
        <color indexed="64"/>
      </bottom>
      <diagonal/>
    </border>
    <border>
      <left/>
      <right style="double">
        <color indexed="64"/>
      </right>
      <top style="medium">
        <color indexed="64"/>
      </top>
      <bottom/>
      <diagonal/>
    </border>
    <border>
      <left style="hair">
        <color indexed="64"/>
      </left>
      <right/>
      <top style="double">
        <color indexed="64"/>
      </top>
      <bottom style="medium">
        <color indexed="64"/>
      </bottom>
      <diagonal/>
    </border>
    <border>
      <left style="hair">
        <color indexed="64"/>
      </left>
      <right style="double">
        <color indexed="64"/>
      </right>
      <top/>
      <bottom style="hair">
        <color indexed="64"/>
      </bottom>
      <diagonal/>
    </border>
    <border>
      <left style="double">
        <color indexed="64"/>
      </left>
      <right style="medium">
        <color indexed="64"/>
      </right>
      <top style="hair">
        <color indexed="64"/>
      </top>
      <bottom/>
      <diagonal/>
    </border>
    <border>
      <left style="hair">
        <color indexed="64"/>
      </left>
      <right style="double">
        <color indexed="64"/>
      </right>
      <top style="hair">
        <color indexed="64"/>
      </top>
      <bottom/>
      <diagonal/>
    </border>
    <border>
      <left style="hair">
        <color indexed="64"/>
      </left>
      <right style="hair">
        <color indexed="64"/>
      </right>
      <top style="double">
        <color indexed="64"/>
      </top>
      <bottom style="double">
        <color indexed="64"/>
      </bottom>
      <diagonal/>
    </border>
    <border>
      <left style="double">
        <color indexed="64"/>
      </left>
      <right style="hair">
        <color indexed="64"/>
      </right>
      <top style="double">
        <color indexed="64"/>
      </top>
      <bottom style="double">
        <color indexed="64"/>
      </bottom>
      <diagonal/>
    </border>
    <border>
      <left/>
      <right style="hair">
        <color indexed="64"/>
      </right>
      <top style="double">
        <color indexed="64"/>
      </top>
      <bottom style="double">
        <color indexed="64"/>
      </bottom>
      <diagonal/>
    </border>
    <border>
      <left style="double">
        <color indexed="64"/>
      </left>
      <right style="medium">
        <color indexed="64"/>
      </right>
      <top style="double">
        <color indexed="64"/>
      </top>
      <bottom style="double">
        <color indexed="64"/>
      </bottom>
      <diagonal/>
    </border>
    <border>
      <left style="double">
        <color indexed="64"/>
      </left>
      <right style="hair">
        <color indexed="64"/>
      </right>
      <top style="double">
        <color indexed="64"/>
      </top>
      <bottom style="medium">
        <color indexed="64"/>
      </bottom>
      <diagonal/>
    </border>
    <border>
      <left/>
      <right style="medium">
        <color rgb="FF000000"/>
      </right>
      <top style="medium">
        <color indexed="64"/>
      </top>
      <bottom style="medium">
        <color indexed="64"/>
      </bottom>
      <diagonal/>
    </border>
    <border>
      <left style="double">
        <color indexed="64"/>
      </left>
      <right style="double">
        <color indexed="64"/>
      </right>
      <top style="medium">
        <color indexed="64"/>
      </top>
      <bottom/>
      <diagonal/>
    </border>
    <border>
      <left/>
      <right style="thin">
        <color indexed="64"/>
      </right>
      <top style="thin">
        <color indexed="64"/>
      </top>
      <bottom style="thin">
        <color indexed="64"/>
      </bottom>
      <diagonal/>
    </border>
    <border>
      <left/>
      <right style="thin">
        <color indexed="64"/>
      </right>
      <top style="thin">
        <color indexed="64"/>
      </top>
      <bottom style="medium">
        <color indexed="64"/>
      </bottom>
      <diagonal/>
    </border>
    <border>
      <left style="double">
        <color indexed="64"/>
      </left>
      <right style="hair">
        <color indexed="64"/>
      </right>
      <top style="medium">
        <color indexed="64"/>
      </top>
      <bottom/>
      <diagonal/>
    </border>
    <border>
      <left style="hair">
        <color indexed="64"/>
      </left>
      <right style="double">
        <color indexed="64"/>
      </right>
      <top/>
      <bottom/>
      <diagonal/>
    </border>
    <border>
      <left style="double">
        <color indexed="64"/>
      </left>
      <right style="hair">
        <color indexed="64"/>
      </right>
      <top/>
      <bottom/>
      <diagonal/>
    </border>
    <border>
      <left style="hair">
        <color indexed="64"/>
      </left>
      <right style="double">
        <color indexed="64"/>
      </right>
      <top style="hair">
        <color indexed="64"/>
      </top>
      <bottom style="medium">
        <color indexed="64"/>
      </bottom>
      <diagonal/>
    </border>
    <border>
      <left/>
      <right style="double">
        <color indexed="64"/>
      </right>
      <top style="double">
        <color indexed="64"/>
      </top>
      <bottom style="hair">
        <color indexed="64"/>
      </bottom>
      <diagonal/>
    </border>
    <border>
      <left/>
      <right style="double">
        <color indexed="64"/>
      </right>
      <top style="hair">
        <color indexed="64"/>
      </top>
      <bottom style="hair">
        <color indexed="64"/>
      </bottom>
      <diagonal/>
    </border>
    <border>
      <left/>
      <right style="double">
        <color indexed="64"/>
      </right>
      <top style="hair">
        <color indexed="64"/>
      </top>
      <bottom style="medium">
        <color indexed="64"/>
      </bottom>
      <diagonal/>
    </border>
    <border>
      <left style="double">
        <color indexed="64"/>
      </left>
      <right/>
      <top style="medium">
        <color indexed="64"/>
      </top>
      <bottom style="medium">
        <color indexed="64"/>
      </bottom>
      <diagonal/>
    </border>
    <border>
      <left style="double">
        <color indexed="64"/>
      </left>
      <right/>
      <top style="double">
        <color indexed="64"/>
      </top>
      <bottom style="medium">
        <color indexed="64"/>
      </bottom>
      <diagonal/>
    </border>
    <border>
      <left style="double">
        <color indexed="64"/>
      </left>
      <right/>
      <top style="thin">
        <color indexed="64"/>
      </top>
      <bottom style="medium">
        <color indexed="64"/>
      </bottom>
      <diagonal/>
    </border>
    <border>
      <left/>
      <right style="medium">
        <color indexed="64"/>
      </right>
      <top style="thin">
        <color indexed="64"/>
      </top>
      <bottom/>
      <diagonal/>
    </border>
    <border>
      <left/>
      <right style="double">
        <color indexed="64"/>
      </right>
      <top style="double">
        <color indexed="64"/>
      </top>
      <bottom/>
      <diagonal/>
    </border>
    <border>
      <left/>
      <right style="double">
        <color indexed="64"/>
      </right>
      <top style="hair">
        <color indexed="64"/>
      </top>
      <bottom style="double">
        <color indexed="64"/>
      </bottom>
      <diagonal/>
    </border>
    <border>
      <left style="double">
        <color indexed="64"/>
      </left>
      <right/>
      <top style="medium">
        <color indexed="64"/>
      </top>
      <bottom/>
      <diagonal/>
    </border>
    <border>
      <left/>
      <right style="medium">
        <color indexed="64"/>
      </right>
      <top/>
      <bottom style="hair">
        <color indexed="64"/>
      </bottom>
      <diagonal/>
    </border>
    <border>
      <left/>
      <right style="medium">
        <color indexed="64"/>
      </right>
      <top style="double">
        <color indexed="64"/>
      </top>
      <bottom style="medium">
        <color indexed="64"/>
      </bottom>
      <diagonal/>
    </border>
    <border>
      <left style="double">
        <color indexed="64"/>
      </left>
      <right style="medium">
        <color indexed="64"/>
      </right>
      <top style="hair">
        <color indexed="64"/>
      </top>
      <bottom style="medium">
        <color indexed="64"/>
      </bottom>
      <diagonal/>
    </border>
    <border>
      <left style="double">
        <color indexed="64"/>
      </left>
      <right style="medium">
        <color indexed="64"/>
      </right>
      <top/>
      <bottom/>
      <diagonal/>
    </border>
    <border>
      <left/>
      <right style="medium">
        <color indexed="64"/>
      </right>
      <top style="hair">
        <color indexed="64"/>
      </top>
      <bottom style="hair">
        <color indexed="64"/>
      </bottom>
      <diagonal/>
    </border>
    <border>
      <left/>
      <right style="medium">
        <color indexed="64"/>
      </right>
      <top style="hair">
        <color indexed="64"/>
      </top>
      <bottom style="medium">
        <color indexed="64"/>
      </bottom>
      <diagonal/>
    </border>
    <border>
      <left/>
      <right style="medium">
        <color indexed="64"/>
      </right>
      <top style="double">
        <color indexed="64"/>
      </top>
      <bottom style="hair">
        <color indexed="64"/>
      </bottom>
      <diagonal/>
    </border>
    <border>
      <left style="double">
        <color indexed="64"/>
      </left>
      <right style="medium">
        <color indexed="64"/>
      </right>
      <top style="medium">
        <color indexed="64"/>
      </top>
      <bottom style="hair">
        <color indexed="64"/>
      </bottom>
      <diagonal/>
    </border>
    <border>
      <left style="thin">
        <color indexed="64"/>
      </left>
      <right style="thin">
        <color indexed="64"/>
      </right>
      <top style="thin">
        <color indexed="64"/>
      </top>
      <bottom style="double">
        <color indexed="64"/>
      </bottom>
      <diagonal/>
    </border>
    <border>
      <left/>
      <right style="medium">
        <color indexed="64"/>
      </right>
      <top style="thin">
        <color indexed="64"/>
      </top>
      <bottom style="double">
        <color indexed="64"/>
      </bottom>
      <diagonal/>
    </border>
    <border>
      <left style="thin">
        <color indexed="64"/>
      </left>
      <right style="thin">
        <color indexed="64"/>
      </right>
      <top/>
      <bottom style="double">
        <color indexed="64"/>
      </bottom>
      <diagonal/>
    </border>
    <border>
      <left style="thin">
        <color indexed="64"/>
      </left>
      <right style="thin">
        <color indexed="64"/>
      </right>
      <top/>
      <bottom style="thin">
        <color indexed="64"/>
      </bottom>
      <diagonal/>
    </border>
    <border>
      <left/>
      <right/>
      <top style="thin">
        <color indexed="64"/>
      </top>
      <bottom/>
      <diagonal/>
    </border>
    <border>
      <left/>
      <right style="double">
        <color indexed="64"/>
      </right>
      <top style="medium">
        <color indexed="64"/>
      </top>
      <bottom style="hair">
        <color indexed="64"/>
      </bottom>
      <diagonal/>
    </border>
    <border>
      <left/>
      <right style="medium">
        <color indexed="64"/>
      </right>
      <top style="hair">
        <color indexed="64"/>
      </top>
      <bottom/>
      <diagonal/>
    </border>
    <border>
      <left style="double">
        <color indexed="64"/>
      </left>
      <right style="thin">
        <color indexed="64"/>
      </right>
      <top style="medium">
        <color indexed="64"/>
      </top>
      <bottom style="medium">
        <color indexed="64"/>
      </bottom>
      <diagonal/>
    </border>
    <border>
      <left/>
      <right style="double">
        <color indexed="64"/>
      </right>
      <top/>
      <bottom style="hair">
        <color indexed="64"/>
      </bottom>
      <diagonal/>
    </border>
    <border>
      <left style="medium">
        <color indexed="64"/>
      </left>
      <right/>
      <top style="hair">
        <color indexed="64"/>
      </top>
      <bottom/>
      <diagonal/>
    </border>
    <border>
      <left style="double">
        <color indexed="64"/>
      </left>
      <right style="double">
        <color indexed="64"/>
      </right>
      <top style="hair">
        <color indexed="64"/>
      </top>
      <bottom/>
      <diagonal/>
    </border>
    <border>
      <left style="double">
        <color indexed="64"/>
      </left>
      <right style="double">
        <color indexed="64"/>
      </right>
      <top style="hair">
        <color indexed="64"/>
      </top>
      <bottom style="medium">
        <color indexed="64"/>
      </bottom>
      <diagonal/>
    </border>
    <border>
      <left/>
      <right/>
      <top style="double">
        <color indexed="64"/>
      </top>
      <bottom style="double">
        <color indexed="64"/>
      </bottom>
      <diagonal/>
    </border>
    <border>
      <left style="hair">
        <color indexed="64"/>
      </left>
      <right style="double">
        <color indexed="64"/>
      </right>
      <top style="double">
        <color indexed="64"/>
      </top>
      <bottom style="medium">
        <color indexed="64"/>
      </bottom>
      <diagonal/>
    </border>
    <border>
      <left style="double">
        <color indexed="64"/>
      </left>
      <right style="hair">
        <color indexed="64"/>
      </right>
      <top/>
      <bottom style="medium">
        <color indexed="64"/>
      </bottom>
      <diagonal/>
    </border>
    <border>
      <left style="hair">
        <color indexed="64"/>
      </left>
      <right style="double">
        <color indexed="64"/>
      </right>
      <top/>
      <bottom style="medium">
        <color indexed="64"/>
      </bottom>
      <diagonal/>
    </border>
    <border>
      <left style="medium">
        <color indexed="64"/>
      </left>
      <right style="hair">
        <color indexed="64"/>
      </right>
      <top style="double">
        <color indexed="64"/>
      </top>
      <bottom style="medium">
        <color indexed="64"/>
      </bottom>
      <diagonal/>
    </border>
  </borders>
  <cellStyleXfs count="51">
    <xf numFmtId="0" fontId="0" fillId="0" borderId="0"/>
    <xf numFmtId="43" fontId="16" fillId="0" borderId="0" applyFont="0" applyFill="0" applyBorder="0" applyAlignment="0" applyProtection="0"/>
    <xf numFmtId="43" fontId="17" fillId="0" borderId="0" applyFont="0" applyFill="0" applyBorder="0" applyAlignment="0" applyProtection="0"/>
    <xf numFmtId="43" fontId="37" fillId="0" borderId="0" applyFont="0" applyFill="0" applyBorder="0" applyAlignment="0" applyProtection="0"/>
    <xf numFmtId="43" fontId="37" fillId="0" borderId="0" applyFont="0" applyFill="0" applyBorder="0" applyAlignment="0" applyProtection="0"/>
    <xf numFmtId="0" fontId="16" fillId="0" borderId="0"/>
    <xf numFmtId="0" fontId="17" fillId="0" borderId="0"/>
    <xf numFmtId="0" fontId="17" fillId="0" borderId="0"/>
    <xf numFmtId="0" fontId="37" fillId="0" borderId="0"/>
    <xf numFmtId="0" fontId="37" fillId="0" borderId="0"/>
    <xf numFmtId="0" fontId="37" fillId="0" borderId="0"/>
    <xf numFmtId="0" fontId="37" fillId="0" borderId="0"/>
    <xf numFmtId="0" fontId="37" fillId="0" borderId="0"/>
    <xf numFmtId="0" fontId="10" fillId="0" borderId="0"/>
    <xf numFmtId="0" fontId="37" fillId="0" borderId="0"/>
    <xf numFmtId="0" fontId="37" fillId="0" borderId="0"/>
    <xf numFmtId="0" fontId="37" fillId="0" borderId="0"/>
    <xf numFmtId="0" fontId="10" fillId="0" borderId="0"/>
    <xf numFmtId="0" fontId="10" fillId="0" borderId="0"/>
    <xf numFmtId="0" fontId="12" fillId="0" borderId="0"/>
    <xf numFmtId="0" fontId="10" fillId="0" borderId="0"/>
    <xf numFmtId="0" fontId="12" fillId="0" borderId="0"/>
    <xf numFmtId="0" fontId="12" fillId="0" borderId="0"/>
    <xf numFmtId="0" fontId="33" fillId="0" borderId="0"/>
    <xf numFmtId="0" fontId="33" fillId="0" borderId="0"/>
    <xf numFmtId="0" fontId="33" fillId="0" borderId="0"/>
    <xf numFmtId="0" fontId="33" fillId="0" borderId="0"/>
    <xf numFmtId="0" fontId="33" fillId="0" borderId="0"/>
    <xf numFmtId="0" fontId="10" fillId="0" borderId="0"/>
    <xf numFmtId="0" fontId="10" fillId="0" borderId="0"/>
    <xf numFmtId="0" fontId="16" fillId="0" borderId="0"/>
    <xf numFmtId="0" fontId="12" fillId="0" borderId="0"/>
    <xf numFmtId="0" fontId="12" fillId="0" borderId="0"/>
    <xf numFmtId="0" fontId="12" fillId="0" borderId="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0" fontId="9" fillId="0" borderId="0"/>
    <xf numFmtId="0" fontId="8" fillId="0" borderId="0"/>
    <xf numFmtId="43" fontId="7" fillId="0" borderId="0" applyFont="0" applyFill="0" applyBorder="0" applyAlignment="0" applyProtection="0"/>
    <xf numFmtId="0" fontId="6" fillId="0" borderId="0"/>
    <xf numFmtId="0" fontId="6" fillId="0" borderId="0"/>
    <xf numFmtId="0" fontId="6" fillId="0" borderId="0"/>
    <xf numFmtId="43" fontId="12" fillId="0" borderId="0" applyFont="0" applyFill="0" applyBorder="0" applyAlignment="0" applyProtection="0"/>
    <xf numFmtId="9" fontId="10" fillId="0" borderId="0" applyFont="0" applyFill="0" applyBorder="0" applyAlignment="0" applyProtection="0"/>
    <xf numFmtId="0" fontId="5" fillId="0" borderId="0"/>
    <xf numFmtId="0" fontId="5" fillId="0" borderId="0"/>
    <xf numFmtId="0" fontId="4" fillId="0" borderId="0"/>
    <xf numFmtId="0" fontId="3" fillId="0" borderId="0"/>
    <xf numFmtId="0" fontId="2" fillId="0" borderId="0"/>
    <xf numFmtId="43" fontId="1" fillId="0" borderId="0" applyFont="0" applyFill="0" applyBorder="0" applyAlignment="0" applyProtection="0"/>
  </cellStyleXfs>
  <cellXfs count="2526">
    <xf numFmtId="0" fontId="0" fillId="0" borderId="0" xfId="0"/>
    <xf numFmtId="0" fontId="11" fillId="0" borderId="0" xfId="0" applyFont="1" applyFill="1" applyBorder="1" applyAlignment="1">
      <alignment vertical="center"/>
    </xf>
    <xf numFmtId="3" fontId="11" fillId="0" borderId="0" xfId="0" applyNumberFormat="1" applyFont="1" applyFill="1" applyBorder="1"/>
    <xf numFmtId="3" fontId="11" fillId="0" borderId="0" xfId="18" applyNumberFormat="1" applyFont="1" applyFill="1" applyAlignment="1">
      <alignment horizontal="center"/>
    </xf>
    <xf numFmtId="3" fontId="11" fillId="0" borderId="0" xfId="18" applyNumberFormat="1" applyFont="1" applyFill="1"/>
    <xf numFmtId="3" fontId="13" fillId="0" borderId="0" xfId="18" applyNumberFormat="1" applyFont="1" applyFill="1"/>
    <xf numFmtId="3" fontId="11" fillId="0" borderId="0" xfId="18" applyNumberFormat="1" applyFont="1" applyFill="1" applyAlignment="1">
      <alignment vertical="center"/>
    </xf>
    <xf numFmtId="3" fontId="11" fillId="0" borderId="0" xfId="18" applyNumberFormat="1" applyFont="1" applyFill="1" applyAlignment="1">
      <alignment horizontal="center" vertical="top"/>
    </xf>
    <xf numFmtId="3" fontId="11" fillId="0" borderId="0" xfId="18" applyNumberFormat="1" applyFont="1" applyFill="1" applyAlignment="1">
      <alignment horizontal="center" vertical="center"/>
    </xf>
    <xf numFmtId="3" fontId="14" fillId="0" borderId="0" xfId="18" applyNumberFormat="1" applyFont="1" applyFill="1" applyAlignment="1">
      <alignment horizontal="center" vertical="center"/>
    </xf>
    <xf numFmtId="3" fontId="13" fillId="0" borderId="0" xfId="0" applyNumberFormat="1" applyFont="1" applyFill="1" applyBorder="1"/>
    <xf numFmtId="3" fontId="11" fillId="0" borderId="0" xfId="18" applyNumberFormat="1" applyFont="1" applyFill="1" applyBorder="1" applyAlignment="1">
      <alignment vertical="top" wrapText="1"/>
    </xf>
    <xf numFmtId="3" fontId="11" fillId="0" borderId="0" xfId="18" applyNumberFormat="1" applyFont="1" applyFill="1" applyBorder="1" applyAlignment="1">
      <alignment horizontal="center"/>
    </xf>
    <xf numFmtId="3" fontId="13" fillId="0" borderId="0" xfId="18" applyNumberFormat="1" applyFont="1" applyFill="1" applyBorder="1"/>
    <xf numFmtId="3" fontId="13" fillId="0" borderId="0" xfId="18" applyNumberFormat="1" applyFont="1" applyFill="1" applyBorder="1" applyAlignment="1">
      <alignment vertical="top" wrapText="1"/>
    </xf>
    <xf numFmtId="3" fontId="13" fillId="0" borderId="0" xfId="18" applyNumberFormat="1" applyFont="1" applyFill="1" applyBorder="1" applyAlignment="1">
      <alignment horizontal="center"/>
    </xf>
    <xf numFmtId="3" fontId="11" fillId="0" borderId="0" xfId="18" applyNumberFormat="1" applyFont="1" applyFill="1" applyAlignment="1">
      <alignment vertical="top" wrapText="1"/>
    </xf>
    <xf numFmtId="3" fontId="11" fillId="0" borderId="0" xfId="18" applyNumberFormat="1" applyFont="1" applyFill="1" applyBorder="1" applyAlignment="1">
      <alignment horizontal="center" vertical="top" wrapText="1"/>
    </xf>
    <xf numFmtId="3" fontId="13" fillId="0" borderId="0" xfId="18" applyNumberFormat="1" applyFont="1" applyFill="1" applyAlignment="1">
      <alignment vertical="top" wrapText="1"/>
    </xf>
    <xf numFmtId="0" fontId="11" fillId="0" borderId="0" xfId="0" applyFont="1" applyFill="1" applyAlignment="1">
      <alignment horizontal="center" vertical="center"/>
    </xf>
    <xf numFmtId="4" fontId="11" fillId="0" borderId="0" xfId="0" applyNumberFormat="1" applyFont="1" applyFill="1" applyBorder="1" applyAlignment="1">
      <alignment horizontal="left" vertical="center"/>
    </xf>
    <xf numFmtId="4" fontId="11" fillId="0" borderId="0" xfId="0" applyNumberFormat="1" applyFont="1" applyFill="1" applyAlignment="1">
      <alignment vertical="center"/>
    </xf>
    <xf numFmtId="4" fontId="15" fillId="0" borderId="0" xfId="0" applyNumberFormat="1" applyFont="1" applyFill="1" applyAlignment="1">
      <alignment horizontal="center" vertical="center"/>
    </xf>
    <xf numFmtId="0" fontId="11" fillId="0" borderId="0" xfId="0" applyFont="1" applyFill="1" applyAlignment="1">
      <alignment vertical="center"/>
    </xf>
    <xf numFmtId="0" fontId="19" fillId="0" borderId="1" xfId="0" applyFont="1" applyFill="1" applyBorder="1" applyAlignment="1">
      <alignment horizontal="center" vertical="center" textRotation="90"/>
    </xf>
    <xf numFmtId="0" fontId="11" fillId="0" borderId="2" xfId="0" applyFont="1" applyFill="1" applyBorder="1" applyAlignment="1">
      <alignment horizontal="center" vertical="center" wrapText="1"/>
    </xf>
    <xf numFmtId="4" fontId="11" fillId="0" borderId="3" xfId="0" applyNumberFormat="1" applyFont="1" applyFill="1" applyBorder="1" applyAlignment="1">
      <alignment horizontal="center" vertical="center"/>
    </xf>
    <xf numFmtId="0" fontId="11" fillId="0" borderId="4" xfId="0" applyFont="1" applyFill="1" applyBorder="1" applyAlignment="1">
      <alignment horizontal="center" vertical="center"/>
    </xf>
    <xf numFmtId="4" fontId="11" fillId="0" borderId="0" xfId="0" applyNumberFormat="1" applyFont="1" applyFill="1" applyBorder="1" applyAlignment="1">
      <alignment vertical="center"/>
    </xf>
    <xf numFmtId="164" fontId="14" fillId="0" borderId="0" xfId="0" applyNumberFormat="1" applyFont="1" applyFill="1" applyBorder="1" applyAlignment="1">
      <alignment horizontal="left" vertical="center" wrapText="1" indent="3"/>
    </xf>
    <xf numFmtId="0" fontId="13" fillId="0" borderId="0" xfId="0" applyFont="1" applyFill="1" applyAlignment="1">
      <alignment vertical="center"/>
    </xf>
    <xf numFmtId="0" fontId="11" fillId="0" borderId="5" xfId="0" applyFont="1" applyFill="1" applyBorder="1" applyAlignment="1">
      <alignment horizontal="center" vertical="center"/>
    </xf>
    <xf numFmtId="164" fontId="13" fillId="0" borderId="6" xfId="0" applyNumberFormat="1" applyFont="1" applyFill="1" applyBorder="1" applyAlignment="1">
      <alignment vertical="center" wrapText="1"/>
    </xf>
    <xf numFmtId="0" fontId="11" fillId="0" borderId="0" xfId="0" applyFont="1" applyFill="1" applyBorder="1" applyAlignment="1">
      <alignment vertical="center" wrapText="1"/>
    </xf>
    <xf numFmtId="0" fontId="11" fillId="0" borderId="0" xfId="0" applyFont="1" applyFill="1" applyBorder="1" applyAlignment="1">
      <alignment horizontal="center" vertical="center" wrapText="1"/>
    </xf>
    <xf numFmtId="4" fontId="11" fillId="0" borderId="0" xfId="0" applyNumberFormat="1" applyFont="1" applyFill="1" applyBorder="1" applyAlignment="1">
      <alignment horizontal="center" vertical="center"/>
    </xf>
    <xf numFmtId="0" fontId="13" fillId="0" borderId="0" xfId="0" applyFont="1" applyFill="1" applyAlignment="1">
      <alignment vertical="center" wrapText="1"/>
    </xf>
    <xf numFmtId="4" fontId="13" fillId="0" borderId="0" xfId="0" applyNumberFormat="1" applyFont="1" applyFill="1" applyAlignment="1">
      <alignment vertical="center"/>
    </xf>
    <xf numFmtId="4" fontId="11" fillId="0" borderId="0" xfId="0" applyNumberFormat="1" applyFont="1" applyFill="1" applyAlignment="1">
      <alignment horizontal="right" vertical="center"/>
    </xf>
    <xf numFmtId="0" fontId="11" fillId="0" borderId="0" xfId="0" applyFont="1" applyFill="1" applyAlignment="1">
      <alignment vertical="center" wrapText="1"/>
    </xf>
    <xf numFmtId="3" fontId="11" fillId="0" borderId="0" xfId="0" applyNumberFormat="1" applyFont="1"/>
    <xf numFmtId="0" fontId="11" fillId="0" borderId="0" xfId="0" applyFont="1"/>
    <xf numFmtId="0" fontId="11" fillId="0" borderId="0" xfId="0" applyFont="1" applyAlignment="1">
      <alignment vertical="center"/>
    </xf>
    <xf numFmtId="0" fontId="11" fillId="0" borderId="4" xfId="0" applyFont="1" applyBorder="1" applyAlignment="1">
      <alignment horizontal="center"/>
    </xf>
    <xf numFmtId="0" fontId="11" fillId="0" borderId="0" xfId="0" applyFont="1" applyAlignment="1"/>
    <xf numFmtId="0" fontId="11" fillId="0" borderId="4" xfId="0" applyFont="1" applyBorder="1" applyAlignment="1">
      <alignment horizontal="center" vertical="top"/>
    </xf>
    <xf numFmtId="0" fontId="11" fillId="0" borderId="4" xfId="0" applyFont="1" applyBorder="1" applyAlignment="1">
      <alignment horizontal="center" vertical="center"/>
    </xf>
    <xf numFmtId="3" fontId="11" fillId="0" borderId="0" xfId="0" applyNumberFormat="1" applyFont="1" applyBorder="1"/>
    <xf numFmtId="3" fontId="19" fillId="0" borderId="0" xfId="0" applyNumberFormat="1" applyFont="1" applyFill="1" applyAlignment="1">
      <alignment vertical="center"/>
    </xf>
    <xf numFmtId="3" fontId="21" fillId="0" borderId="0" xfId="0" applyNumberFormat="1" applyFont="1" applyFill="1" applyAlignment="1">
      <alignment vertical="center"/>
    </xf>
    <xf numFmtId="3" fontId="19" fillId="0" borderId="0" xfId="0" applyNumberFormat="1" applyFont="1" applyFill="1" applyAlignment="1">
      <alignment horizontal="center" vertical="center"/>
    </xf>
    <xf numFmtId="3" fontId="19" fillId="0" borderId="0" xfId="0" applyNumberFormat="1" applyFont="1" applyFill="1" applyBorder="1" applyAlignment="1">
      <alignment vertical="center"/>
    </xf>
    <xf numFmtId="3" fontId="24" fillId="0" borderId="7" xfId="0" applyNumberFormat="1" applyFont="1" applyFill="1" applyBorder="1" applyAlignment="1">
      <alignment horizontal="center" vertical="center" wrapText="1"/>
    </xf>
    <xf numFmtId="3" fontId="19" fillId="0" borderId="0" xfId="0" applyNumberFormat="1" applyFont="1" applyFill="1" applyAlignment="1"/>
    <xf numFmtId="3" fontId="19" fillId="0" borderId="0" xfId="0" applyNumberFormat="1" applyFont="1" applyFill="1" applyBorder="1" applyAlignment="1"/>
    <xf numFmtId="3" fontId="21" fillId="0" borderId="0" xfId="0" applyNumberFormat="1" applyFont="1" applyFill="1" applyBorder="1" applyAlignment="1">
      <alignment vertical="center"/>
    </xf>
    <xf numFmtId="3" fontId="19" fillId="0" borderId="0" xfId="0" applyNumberFormat="1" applyFont="1" applyFill="1" applyAlignment="1">
      <alignment vertical="top"/>
    </xf>
    <xf numFmtId="3" fontId="22" fillId="0" borderId="0" xfId="0" applyNumberFormat="1" applyFont="1" applyFill="1" applyAlignment="1">
      <alignment vertical="center"/>
    </xf>
    <xf numFmtId="3" fontId="22" fillId="0" borderId="0" xfId="0" applyNumberFormat="1" applyFont="1" applyFill="1" applyBorder="1" applyAlignment="1">
      <alignment vertical="center"/>
    </xf>
    <xf numFmtId="3" fontId="25" fillId="0" borderId="0" xfId="0" applyNumberFormat="1" applyFont="1" applyFill="1" applyBorder="1" applyAlignment="1">
      <alignment vertical="center"/>
    </xf>
    <xf numFmtId="3" fontId="19" fillId="0" borderId="0" xfId="0" applyNumberFormat="1" applyFont="1" applyFill="1" applyBorder="1" applyAlignment="1">
      <alignment horizontal="right" vertical="center"/>
    </xf>
    <xf numFmtId="3" fontId="15" fillId="0" borderId="0" xfId="0" applyNumberFormat="1" applyFont="1" applyFill="1" applyAlignment="1">
      <alignment horizontal="center" vertical="center"/>
    </xf>
    <xf numFmtId="3" fontId="19" fillId="0" borderId="0" xfId="0" applyNumberFormat="1" applyFont="1" applyFill="1" applyAlignment="1">
      <alignment horizontal="center" vertical="top"/>
    </xf>
    <xf numFmtId="3" fontId="15" fillId="0" borderId="0" xfId="0" applyNumberFormat="1" applyFont="1" applyAlignment="1">
      <alignment horizontal="center"/>
    </xf>
    <xf numFmtId="3" fontId="19" fillId="0" borderId="7" xfId="17" applyNumberFormat="1" applyFont="1" applyFill="1" applyBorder="1" applyAlignment="1">
      <alignment horizontal="center" vertical="center" wrapText="1"/>
    </xf>
    <xf numFmtId="3" fontId="13" fillId="0" borderId="0" xfId="17" applyNumberFormat="1" applyFont="1" applyFill="1" applyBorder="1" applyAlignment="1">
      <alignment horizontal="right" wrapText="1"/>
    </xf>
    <xf numFmtId="0" fontId="13" fillId="0" borderId="0" xfId="0" applyFont="1"/>
    <xf numFmtId="0" fontId="11" fillId="0" borderId="0" xfId="0" applyFont="1" applyFill="1" applyBorder="1" applyAlignment="1">
      <alignment horizontal="left" wrapText="1" indent="1"/>
    </xf>
    <xf numFmtId="3" fontId="13" fillId="0" borderId="0" xfId="0" applyNumberFormat="1" applyFont="1" applyFill="1" applyBorder="1" applyAlignment="1"/>
    <xf numFmtId="3" fontId="13" fillId="0" borderId="8" xfId="0" applyNumberFormat="1" applyFont="1" applyFill="1" applyBorder="1" applyAlignment="1">
      <alignment vertical="center"/>
    </xf>
    <xf numFmtId="3" fontId="11" fillId="0" borderId="10" xfId="0" applyNumberFormat="1" applyFont="1" applyFill="1" applyBorder="1"/>
    <xf numFmtId="3" fontId="11" fillId="0" borderId="0" xfId="0" applyNumberFormat="1" applyFont="1" applyFill="1"/>
    <xf numFmtId="3" fontId="11" fillId="0" borderId="0" xfId="17" applyNumberFormat="1" applyFont="1" applyFill="1"/>
    <xf numFmtId="3" fontId="11" fillId="0" borderId="0" xfId="17" applyNumberFormat="1" applyFont="1" applyFill="1" applyAlignment="1">
      <alignment horizontal="right"/>
    </xf>
    <xf numFmtId="3" fontId="11" fillId="0" borderId="0" xfId="17" applyNumberFormat="1" applyFont="1" applyFill="1" applyAlignment="1"/>
    <xf numFmtId="3" fontId="11" fillId="0" borderId="0" xfId="17" applyNumberFormat="1" applyFont="1" applyFill="1" applyAlignment="1">
      <alignment vertical="center"/>
    </xf>
    <xf numFmtId="3" fontId="11" fillId="0" borderId="0" xfId="17" applyNumberFormat="1" applyFont="1" applyFill="1" applyAlignment="1">
      <alignment horizontal="center" vertical="center"/>
    </xf>
    <xf numFmtId="3" fontId="13" fillId="0" borderId="11" xfId="17" applyNumberFormat="1" applyFont="1" applyFill="1" applyBorder="1" applyAlignment="1">
      <alignment horizontal="center"/>
    </xf>
    <xf numFmtId="3" fontId="11" fillId="0" borderId="11" xfId="17" applyNumberFormat="1" applyFont="1" applyFill="1" applyBorder="1" applyAlignment="1">
      <alignment horizontal="center"/>
    </xf>
    <xf numFmtId="3" fontId="13" fillId="0" borderId="11" xfId="17" applyNumberFormat="1" applyFont="1" applyFill="1" applyBorder="1" applyAlignment="1">
      <alignment wrapText="1"/>
    </xf>
    <xf numFmtId="3" fontId="13" fillId="0" borderId="11" xfId="17" applyNumberFormat="1" applyFont="1" applyFill="1" applyBorder="1"/>
    <xf numFmtId="3" fontId="13" fillId="0" borderId="0" xfId="17" applyNumberFormat="1" applyFont="1" applyFill="1"/>
    <xf numFmtId="49" fontId="11" fillId="0" borderId="4" xfId="17" applyNumberFormat="1" applyFont="1" applyFill="1" applyBorder="1" applyAlignment="1">
      <alignment horizontal="center"/>
    </xf>
    <xf numFmtId="3" fontId="11" fillId="0" borderId="0" xfId="17" applyNumberFormat="1" applyFont="1" applyFill="1" applyBorder="1" applyAlignment="1">
      <alignment horizontal="center"/>
    </xf>
    <xf numFmtId="3" fontId="11" fillId="0" borderId="0" xfId="17" applyNumberFormat="1" applyFont="1" applyFill="1" applyBorder="1"/>
    <xf numFmtId="3" fontId="11" fillId="0" borderId="0" xfId="17" applyNumberFormat="1" applyFont="1" applyFill="1" applyBorder="1" applyAlignment="1">
      <alignment horizontal="left" indent="2"/>
    </xf>
    <xf numFmtId="3" fontId="13" fillId="0" borderId="8" xfId="17" applyNumberFormat="1" applyFont="1" applyFill="1" applyBorder="1" applyAlignment="1">
      <alignment horizontal="center"/>
    </xf>
    <xf numFmtId="3" fontId="11" fillId="0" borderId="8" xfId="17" applyNumberFormat="1" applyFont="1" applyFill="1" applyBorder="1" applyAlignment="1">
      <alignment horizontal="center"/>
    </xf>
    <xf numFmtId="3" fontId="13" fillId="0" borderId="8" xfId="17" applyNumberFormat="1" applyFont="1" applyFill="1" applyBorder="1"/>
    <xf numFmtId="3" fontId="13" fillId="0" borderId="0" xfId="17" applyNumberFormat="1" applyFont="1" applyFill="1" applyBorder="1" applyAlignment="1">
      <alignment horizontal="center"/>
    </xf>
    <xf numFmtId="3" fontId="13" fillId="0" borderId="0" xfId="17" applyNumberFormat="1" applyFont="1" applyFill="1" applyBorder="1"/>
    <xf numFmtId="3" fontId="14" fillId="0" borderId="0" xfId="17" applyNumberFormat="1" applyFont="1" applyFill="1" applyBorder="1" applyAlignment="1">
      <alignment horizontal="center"/>
    </xf>
    <xf numFmtId="3" fontId="14" fillId="0" borderId="0" xfId="17" applyNumberFormat="1" applyFont="1" applyFill="1" applyBorder="1" applyAlignment="1">
      <alignment horizontal="left" indent="2"/>
    </xf>
    <xf numFmtId="3" fontId="14" fillId="0" borderId="0" xfId="17" applyNumberFormat="1" applyFont="1" applyFill="1" applyBorder="1"/>
    <xf numFmtId="3" fontId="14" fillId="0" borderId="0" xfId="17" applyNumberFormat="1" applyFont="1" applyFill="1"/>
    <xf numFmtId="3" fontId="11" fillId="0" borderId="0" xfId="17" applyNumberFormat="1" applyFont="1" applyFill="1" applyBorder="1" applyAlignment="1">
      <alignment horizontal="left" indent="3"/>
    </xf>
    <xf numFmtId="3" fontId="13" fillId="0" borderId="0" xfId="17" applyNumberFormat="1" applyFont="1" applyFill="1" applyBorder="1" applyAlignment="1">
      <alignment horizontal="center" vertical="center"/>
    </xf>
    <xf numFmtId="3" fontId="13" fillId="0" borderId="0" xfId="17" applyNumberFormat="1" applyFont="1" applyFill="1" applyBorder="1" applyAlignment="1">
      <alignment vertical="center"/>
    </xf>
    <xf numFmtId="3" fontId="11" fillId="0" borderId="0" xfId="17" applyNumberFormat="1" applyFont="1" applyFill="1" applyBorder="1" applyAlignment="1">
      <alignment horizontal="left"/>
    </xf>
    <xf numFmtId="49" fontId="11" fillId="0" borderId="4" xfId="17" applyNumberFormat="1" applyFont="1" applyFill="1" applyBorder="1" applyAlignment="1">
      <alignment horizontal="center" vertical="top"/>
    </xf>
    <xf numFmtId="3" fontId="11" fillId="0" borderId="0" xfId="17" applyNumberFormat="1" applyFont="1" applyFill="1" applyBorder="1" applyAlignment="1">
      <alignment horizontal="center" vertical="top"/>
    </xf>
    <xf numFmtId="3" fontId="11" fillId="0" borderId="0" xfId="17" applyNumberFormat="1" applyFont="1" applyFill="1" applyBorder="1" applyAlignment="1">
      <alignment vertical="top"/>
    </xf>
    <xf numFmtId="3" fontId="11" fillId="0" borderId="0" xfId="17" applyNumberFormat="1" applyFont="1" applyFill="1" applyAlignment="1">
      <alignment vertical="top"/>
    </xf>
    <xf numFmtId="49" fontId="11" fillId="0" borderId="12" xfId="17" applyNumberFormat="1" applyFont="1" applyFill="1" applyBorder="1" applyAlignment="1">
      <alignment horizontal="center" vertical="center"/>
    </xf>
    <xf numFmtId="3" fontId="13" fillId="0" borderId="13" xfId="17" applyNumberFormat="1" applyFont="1" applyFill="1" applyBorder="1" applyAlignment="1">
      <alignment horizontal="center" vertical="center"/>
    </xf>
    <xf numFmtId="3" fontId="11" fillId="0" borderId="13" xfId="17" applyNumberFormat="1" applyFont="1" applyFill="1" applyBorder="1" applyAlignment="1">
      <alignment horizontal="center" vertical="center"/>
    </xf>
    <xf numFmtId="3" fontId="13" fillId="0" borderId="13" xfId="17" applyNumberFormat="1" applyFont="1" applyFill="1" applyBorder="1" applyAlignment="1">
      <alignment vertical="center"/>
    </xf>
    <xf numFmtId="3" fontId="11" fillId="0" borderId="0" xfId="17" applyNumberFormat="1" applyFont="1" applyFill="1" applyBorder="1" applyAlignment="1"/>
    <xf numFmtId="3" fontId="11" fillId="0" borderId="0" xfId="17" applyNumberFormat="1" applyFont="1" applyFill="1" applyBorder="1" applyAlignment="1">
      <alignment horizontal="left" indent="1"/>
    </xf>
    <xf numFmtId="3" fontId="11" fillId="0" borderId="0" xfId="17" applyNumberFormat="1" applyFont="1" applyFill="1" applyBorder="1" applyAlignment="1">
      <alignment horizontal="left" vertical="top" indent="1"/>
    </xf>
    <xf numFmtId="49" fontId="11" fillId="0" borderId="0" xfId="17" applyNumberFormat="1" applyFont="1" applyFill="1" applyBorder="1" applyAlignment="1">
      <alignment horizontal="center"/>
    </xf>
    <xf numFmtId="49" fontId="11" fillId="0" borderId="0" xfId="17" applyNumberFormat="1" applyFont="1" applyFill="1" applyAlignment="1">
      <alignment horizontal="center"/>
    </xf>
    <xf numFmtId="3" fontId="13" fillId="0" borderId="0" xfId="17" applyNumberFormat="1" applyFont="1" applyFill="1" applyAlignment="1">
      <alignment horizontal="center"/>
    </xf>
    <xf numFmtId="3" fontId="11" fillId="0" borderId="0" xfId="17" applyNumberFormat="1" applyFont="1" applyFill="1" applyAlignment="1">
      <alignment horizontal="center"/>
    </xf>
    <xf numFmtId="3" fontId="19" fillId="0" borderId="0" xfId="0" applyNumberFormat="1" applyFont="1" applyFill="1" applyBorder="1" applyAlignment="1">
      <alignment horizontal="right"/>
    </xf>
    <xf numFmtId="3" fontId="15" fillId="0" borderId="0" xfId="18" applyNumberFormat="1" applyFont="1" applyFill="1" applyAlignment="1">
      <alignment horizontal="center" vertical="center"/>
    </xf>
    <xf numFmtId="3" fontId="19" fillId="0" borderId="14" xfId="0" applyNumberFormat="1" applyFont="1" applyFill="1" applyBorder="1" applyAlignment="1">
      <alignment horizontal="center" wrapText="1"/>
    </xf>
    <xf numFmtId="3" fontId="19" fillId="0" borderId="15" xfId="0" applyNumberFormat="1" applyFont="1" applyFill="1" applyBorder="1" applyAlignment="1">
      <alignment horizontal="center" wrapText="1"/>
    </xf>
    <xf numFmtId="3" fontId="19" fillId="0" borderId="16" xfId="0" applyNumberFormat="1" applyFont="1" applyFill="1" applyBorder="1" applyAlignment="1">
      <alignment horizontal="center" wrapText="1"/>
    </xf>
    <xf numFmtId="3" fontId="19" fillId="0" borderId="17" xfId="0" applyNumberFormat="1" applyFont="1" applyFill="1" applyBorder="1" applyAlignment="1">
      <alignment horizontal="center" wrapText="1"/>
    </xf>
    <xf numFmtId="3" fontId="19" fillId="0" borderId="17" xfId="0" applyNumberFormat="1" applyFont="1" applyFill="1" applyBorder="1" applyAlignment="1"/>
    <xf numFmtId="0" fontId="11" fillId="0" borderId="4" xfId="0" applyFont="1" applyFill="1" applyBorder="1" applyAlignment="1">
      <alignment horizontal="center"/>
    </xf>
    <xf numFmtId="164" fontId="11" fillId="0" borderId="0" xfId="0" applyNumberFormat="1" applyFont="1" applyFill="1" applyBorder="1" applyAlignment="1">
      <alignment horizontal="left" wrapText="1"/>
    </xf>
    <xf numFmtId="0" fontId="11" fillId="0" borderId="0" xfId="0" applyFont="1" applyFill="1" applyAlignment="1"/>
    <xf numFmtId="0" fontId="11" fillId="0" borderId="4" xfId="0" applyFont="1" applyFill="1" applyBorder="1" applyAlignment="1">
      <alignment horizontal="center" vertical="top"/>
    </xf>
    <xf numFmtId="0" fontId="11" fillId="0" borderId="0" xfId="0" applyFont="1" applyFill="1" applyAlignment="1">
      <alignment vertical="top"/>
    </xf>
    <xf numFmtId="164" fontId="14" fillId="0" borderId="0" xfId="0" applyNumberFormat="1" applyFont="1" applyFill="1" applyBorder="1" applyAlignment="1">
      <alignment horizontal="left" vertical="top" wrapText="1" indent="2"/>
    </xf>
    <xf numFmtId="164" fontId="14" fillId="0" borderId="6" xfId="0" applyNumberFormat="1" applyFont="1" applyFill="1" applyBorder="1" applyAlignment="1">
      <alignment horizontal="left" vertical="center" wrapText="1" indent="3"/>
    </xf>
    <xf numFmtId="0" fontId="15" fillId="0" borderId="0" xfId="0" applyFont="1" applyAlignment="1">
      <alignment horizontal="center"/>
    </xf>
    <xf numFmtId="3" fontId="15" fillId="0" borderId="0" xfId="0" applyNumberFormat="1" applyFont="1" applyFill="1" applyBorder="1" applyAlignment="1">
      <alignment horizontal="center" vertical="center"/>
    </xf>
    <xf numFmtId="0" fontId="15" fillId="0" borderId="0" xfId="0" applyFont="1" applyFill="1" applyAlignment="1">
      <alignment horizontal="center" vertical="center"/>
    </xf>
    <xf numFmtId="0" fontId="15" fillId="0" borderId="0" xfId="0" applyFont="1" applyFill="1" applyAlignment="1">
      <alignment horizontal="center"/>
    </xf>
    <xf numFmtId="0" fontId="15" fillId="0" borderId="0" xfId="0" applyFont="1" applyFill="1" applyAlignment="1">
      <alignment horizontal="center" vertical="center" wrapText="1"/>
    </xf>
    <xf numFmtId="0" fontId="15" fillId="0" borderId="0" xfId="0" applyFont="1" applyFill="1" applyAlignment="1">
      <alignment vertical="center"/>
    </xf>
    <xf numFmtId="3" fontId="19" fillId="0" borderId="18" xfId="0" applyNumberFormat="1" applyFont="1" applyFill="1" applyBorder="1" applyAlignment="1"/>
    <xf numFmtId="4" fontId="15" fillId="0" borderId="19" xfId="0" applyNumberFormat="1" applyFont="1" applyFill="1" applyBorder="1" applyAlignment="1">
      <alignment horizontal="center"/>
    </xf>
    <xf numFmtId="4" fontId="15" fillId="0" borderId="19" xfId="0" applyNumberFormat="1" applyFont="1" applyFill="1" applyBorder="1" applyAlignment="1">
      <alignment horizontal="center" vertical="top"/>
    </xf>
    <xf numFmtId="4" fontId="15" fillId="0" borderId="19" xfId="0" applyNumberFormat="1" applyFont="1" applyFill="1" applyBorder="1" applyAlignment="1">
      <alignment horizontal="center" vertical="center"/>
    </xf>
    <xf numFmtId="4" fontId="20" fillId="0" borderId="20" xfId="0" applyNumberFormat="1" applyFont="1" applyFill="1" applyBorder="1" applyAlignment="1">
      <alignment horizontal="center" vertical="center"/>
    </xf>
    <xf numFmtId="4" fontId="15" fillId="0" borderId="19" xfId="0" applyNumberFormat="1" applyFont="1" applyFill="1" applyBorder="1" applyAlignment="1">
      <alignment horizontal="center" vertical="center" wrapText="1"/>
    </xf>
    <xf numFmtId="4" fontId="15" fillId="0" borderId="19" xfId="0" applyNumberFormat="1" applyFont="1" applyFill="1" applyBorder="1" applyAlignment="1">
      <alignment horizontal="center" vertical="top" wrapText="1"/>
    </xf>
    <xf numFmtId="4" fontId="15" fillId="0" borderId="20" xfId="0" applyNumberFormat="1" applyFont="1" applyFill="1" applyBorder="1" applyAlignment="1">
      <alignment horizontal="center" vertical="center"/>
    </xf>
    <xf numFmtId="4" fontId="15" fillId="0" borderId="0" xfId="0" applyNumberFormat="1" applyFont="1" applyFill="1" applyBorder="1" applyAlignment="1">
      <alignment horizontal="center" vertical="center"/>
    </xf>
    <xf numFmtId="4" fontId="20" fillId="0" borderId="0" xfId="0" applyNumberFormat="1" applyFont="1" applyFill="1" applyAlignment="1">
      <alignment horizontal="center" vertical="center"/>
    </xf>
    <xf numFmtId="0" fontId="23" fillId="0" borderId="0" xfId="0" applyFont="1" applyFill="1"/>
    <xf numFmtId="0" fontId="11" fillId="0" borderId="0" xfId="0" applyFont="1" applyFill="1" applyBorder="1" applyAlignment="1">
      <alignment horizontal="center"/>
    </xf>
    <xf numFmtId="0" fontId="11" fillId="0" borderId="0" xfId="0" applyFont="1" applyFill="1"/>
    <xf numFmtId="0" fontId="11" fillId="0" borderId="0" xfId="0" applyFont="1" applyFill="1" applyBorder="1"/>
    <xf numFmtId="0" fontId="13" fillId="0" borderId="0" xfId="0" applyFont="1" applyFill="1" applyAlignment="1"/>
    <xf numFmtId="0" fontId="11" fillId="0" borderId="0" xfId="0" applyFont="1" applyFill="1" applyBorder="1" applyAlignment="1">
      <alignment vertical="top"/>
    </xf>
    <xf numFmtId="3" fontId="22" fillId="0" borderId="0" xfId="0" applyNumberFormat="1" applyFont="1" applyFill="1" applyBorder="1" applyAlignment="1">
      <alignment vertical="top"/>
    </xf>
    <xf numFmtId="3" fontId="22" fillId="0" borderId="0" xfId="0" applyNumberFormat="1" applyFont="1" applyFill="1" applyAlignment="1">
      <alignment vertical="top"/>
    </xf>
    <xf numFmtId="3" fontId="21" fillId="0" borderId="0" xfId="0" applyNumberFormat="1" applyFont="1" applyFill="1" applyAlignment="1">
      <alignment vertical="top"/>
    </xf>
    <xf numFmtId="3" fontId="22" fillId="0" borderId="0" xfId="0" applyNumberFormat="1" applyFont="1" applyFill="1" applyAlignment="1"/>
    <xf numFmtId="3" fontId="21" fillId="0" borderId="0" xfId="0" applyNumberFormat="1" applyFont="1" applyFill="1" applyBorder="1" applyAlignment="1">
      <alignment horizontal="right" vertical="center"/>
    </xf>
    <xf numFmtId="3" fontId="22" fillId="0" borderId="0" xfId="0" applyNumberFormat="1" applyFont="1" applyFill="1" applyAlignment="1">
      <alignment horizontal="right"/>
    </xf>
    <xf numFmtId="3" fontId="26" fillId="0" borderId="0" xfId="18" applyNumberFormat="1" applyFont="1" applyFill="1" applyAlignment="1">
      <alignment horizontal="center" vertical="center"/>
    </xf>
    <xf numFmtId="3" fontId="21" fillId="0" borderId="17" xfId="0" applyNumberFormat="1" applyFont="1" applyFill="1" applyBorder="1" applyAlignment="1"/>
    <xf numFmtId="3" fontId="15" fillId="0" borderId="0" xfId="0" applyNumberFormat="1" applyFont="1" applyFill="1" applyBorder="1"/>
    <xf numFmtId="3" fontId="20" fillId="0" borderId="0" xfId="0" applyNumberFormat="1" applyFont="1" applyFill="1" applyBorder="1"/>
    <xf numFmtId="3" fontId="19" fillId="0" borderId="16" xfId="18" applyNumberFormat="1" applyFont="1" applyFill="1" applyBorder="1" applyAlignment="1">
      <alignment horizontal="center"/>
    </xf>
    <xf numFmtId="3" fontId="19" fillId="0" borderId="17" xfId="18" applyNumberFormat="1" applyFont="1" applyFill="1" applyBorder="1" applyAlignment="1">
      <alignment horizontal="center"/>
    </xf>
    <xf numFmtId="3" fontId="19" fillId="0" borderId="17" xfId="18" applyNumberFormat="1" applyFont="1" applyFill="1" applyBorder="1" applyAlignment="1">
      <alignment wrapText="1"/>
    </xf>
    <xf numFmtId="3" fontId="19" fillId="0" borderId="17" xfId="18" applyNumberFormat="1" applyFont="1" applyFill="1" applyBorder="1" applyAlignment="1">
      <alignment horizontal="right"/>
    </xf>
    <xf numFmtId="3" fontId="19" fillId="0" borderId="16" xfId="18" applyNumberFormat="1" applyFont="1" applyFill="1" applyBorder="1" applyAlignment="1">
      <alignment horizontal="center" vertical="center"/>
    </xf>
    <xf numFmtId="3" fontId="19" fillId="0" borderId="17" xfId="18" applyNumberFormat="1" applyFont="1" applyFill="1" applyBorder="1" applyAlignment="1">
      <alignment horizontal="center" vertical="center"/>
    </xf>
    <xf numFmtId="3" fontId="19" fillId="0" borderId="24" xfId="18" applyNumberFormat="1" applyFont="1" applyFill="1" applyBorder="1" applyAlignment="1">
      <alignment wrapText="1"/>
    </xf>
    <xf numFmtId="3" fontId="19" fillId="0" borderId="17" xfId="0" applyNumberFormat="1" applyFont="1" applyFill="1" applyBorder="1" applyAlignment="1">
      <alignment horizontal="right" wrapText="1"/>
    </xf>
    <xf numFmtId="3" fontId="19" fillId="0" borderId="18" xfId="0" applyNumberFormat="1" applyFont="1" applyFill="1" applyBorder="1" applyAlignment="1">
      <alignment horizontal="right" wrapText="1"/>
    </xf>
    <xf numFmtId="3" fontId="21" fillId="0" borderId="24" xfId="18" applyNumberFormat="1" applyFont="1" applyFill="1" applyBorder="1" applyAlignment="1">
      <alignment horizontal="right"/>
    </xf>
    <xf numFmtId="3" fontId="19" fillId="0" borderId="17" xfId="0" applyNumberFormat="1" applyFont="1" applyFill="1" applyBorder="1" applyAlignment="1">
      <alignment horizontal="right" vertical="center" wrapText="1"/>
    </xf>
    <xf numFmtId="3" fontId="19" fillId="0" borderId="18" xfId="0" applyNumberFormat="1" applyFont="1" applyFill="1" applyBorder="1" applyAlignment="1">
      <alignment horizontal="right" vertical="center" wrapText="1"/>
    </xf>
    <xf numFmtId="3" fontId="21" fillId="0" borderId="16" xfId="18" applyNumberFormat="1" applyFont="1" applyFill="1" applyBorder="1" applyAlignment="1">
      <alignment horizontal="center" vertical="center"/>
    </xf>
    <xf numFmtId="3" fontId="21" fillId="0" borderId="17" xfId="18" applyNumberFormat="1" applyFont="1" applyFill="1" applyBorder="1" applyAlignment="1">
      <alignment horizontal="right"/>
    </xf>
    <xf numFmtId="3" fontId="21" fillId="0" borderId="17" xfId="0" applyNumberFormat="1" applyFont="1" applyFill="1" applyBorder="1" applyAlignment="1">
      <alignment horizontal="right" vertical="center" wrapText="1"/>
    </xf>
    <xf numFmtId="3" fontId="21" fillId="0" borderId="18" xfId="0" applyNumberFormat="1" applyFont="1" applyFill="1" applyBorder="1" applyAlignment="1">
      <alignment horizontal="right" vertical="center" wrapText="1"/>
    </xf>
    <xf numFmtId="3" fontId="21" fillId="0" borderId="17" xfId="18" applyNumberFormat="1" applyFont="1" applyFill="1" applyBorder="1" applyAlignment="1">
      <alignment vertical="center" wrapText="1"/>
    </xf>
    <xf numFmtId="3" fontId="19" fillId="0" borderId="17" xfId="18" applyNumberFormat="1" applyFont="1" applyFill="1" applyBorder="1" applyAlignment="1"/>
    <xf numFmtId="3" fontId="19" fillId="0" borderId="16" xfId="18" applyNumberFormat="1" applyFont="1" applyFill="1" applyBorder="1" applyAlignment="1">
      <alignment horizontal="center" vertical="top"/>
    </xf>
    <xf numFmtId="49" fontId="21" fillId="0" borderId="17" xfId="18" applyNumberFormat="1" applyFont="1" applyFill="1" applyBorder="1" applyAlignment="1">
      <alignment horizontal="left" vertical="center" wrapText="1" indent="4"/>
    </xf>
    <xf numFmtId="3" fontId="31" fillId="0" borderId="17" xfId="18" applyNumberFormat="1" applyFont="1" applyFill="1" applyBorder="1" applyAlignment="1">
      <alignment wrapText="1"/>
    </xf>
    <xf numFmtId="3" fontId="19" fillId="0" borderId="27" xfId="18" applyNumberFormat="1" applyFont="1" applyFill="1" applyBorder="1" applyAlignment="1">
      <alignment horizontal="center" vertical="center"/>
    </xf>
    <xf numFmtId="3" fontId="25" fillId="0" borderId="27" xfId="18" applyNumberFormat="1" applyFont="1" applyFill="1" applyBorder="1" applyAlignment="1">
      <alignment horizontal="center"/>
    </xf>
    <xf numFmtId="3" fontId="26" fillId="0" borderId="0" xfId="18" applyNumberFormat="1" applyFont="1" applyFill="1" applyAlignment="1">
      <alignment horizontal="center"/>
    </xf>
    <xf numFmtId="3" fontId="21" fillId="0" borderId="17" xfId="0" applyNumberFormat="1" applyFont="1" applyFill="1" applyBorder="1" applyAlignment="1">
      <alignment horizontal="right" wrapText="1"/>
    </xf>
    <xf numFmtId="3" fontId="21" fillId="0" borderId="18" xfId="0" applyNumberFormat="1" applyFont="1" applyFill="1" applyBorder="1" applyAlignment="1">
      <alignment horizontal="right" wrapText="1"/>
    </xf>
    <xf numFmtId="3" fontId="21" fillId="0" borderId="17" xfId="18" applyNumberFormat="1" applyFont="1" applyFill="1" applyBorder="1" applyAlignment="1">
      <alignment horizontal="left" wrapText="1" indent="2"/>
    </xf>
    <xf numFmtId="0" fontId="13" fillId="0" borderId="0" xfId="0" applyFont="1" applyFill="1" applyBorder="1" applyAlignment="1">
      <alignment horizontal="center"/>
    </xf>
    <xf numFmtId="0" fontId="13" fillId="0" borderId="0" xfId="0" applyFont="1" applyFill="1" applyBorder="1" applyAlignment="1"/>
    <xf numFmtId="3" fontId="19" fillId="0" borderId="27" xfId="18" applyNumberFormat="1" applyFont="1" applyFill="1" applyBorder="1" applyAlignment="1">
      <alignment horizontal="center"/>
    </xf>
    <xf numFmtId="3" fontId="11" fillId="0" borderId="16" xfId="18" applyNumberFormat="1" applyFont="1" applyFill="1" applyBorder="1" applyAlignment="1">
      <alignment vertical="center" wrapText="1"/>
    </xf>
    <xf numFmtId="3" fontId="11" fillId="0" borderId="18" xfId="0" applyNumberFormat="1" applyFont="1" applyFill="1" applyBorder="1" applyAlignment="1">
      <alignment horizontal="right" vertical="center" wrapText="1"/>
    </xf>
    <xf numFmtId="3" fontId="13" fillId="0" borderId="28" xfId="18" applyNumberFormat="1" applyFont="1" applyFill="1" applyBorder="1" applyAlignment="1">
      <alignment horizontal="center" vertical="center" wrapText="1"/>
    </xf>
    <xf numFmtId="3" fontId="13" fillId="0" borderId="29" xfId="18" applyNumberFormat="1" applyFont="1" applyFill="1" applyBorder="1" applyAlignment="1">
      <alignment vertical="center"/>
    </xf>
    <xf numFmtId="3" fontId="19" fillId="0" borderId="24" xfId="0" applyNumberFormat="1" applyFont="1" applyFill="1" applyBorder="1" applyAlignment="1">
      <alignment horizontal="right" wrapText="1"/>
    </xf>
    <xf numFmtId="3" fontId="19" fillId="0" borderId="24" xfId="18" applyNumberFormat="1" applyFont="1" applyFill="1" applyBorder="1" applyAlignment="1">
      <alignment horizontal="right"/>
    </xf>
    <xf numFmtId="0" fontId="18" fillId="0" borderId="0" xfId="18" applyNumberFormat="1" applyFont="1" applyFill="1" applyBorder="1" applyAlignment="1">
      <alignment horizontal="center" vertical="center"/>
    </xf>
    <xf numFmtId="0" fontId="28" fillId="0" borderId="0" xfId="18" applyNumberFormat="1" applyFont="1" applyFill="1" applyBorder="1" applyAlignment="1">
      <alignment horizontal="center" vertical="center"/>
    </xf>
    <xf numFmtId="0" fontId="13" fillId="0" borderId="0" xfId="0" applyFont="1" applyFill="1" applyBorder="1" applyAlignment="1">
      <alignment vertical="center"/>
    </xf>
    <xf numFmtId="3" fontId="25" fillId="0" borderId="0" xfId="0" applyNumberFormat="1" applyFont="1" applyFill="1" applyBorder="1" applyAlignment="1">
      <alignment vertical="top"/>
    </xf>
    <xf numFmtId="3" fontId="19" fillId="0" borderId="25" xfId="0" applyNumberFormat="1" applyFont="1" applyFill="1" applyBorder="1" applyAlignment="1">
      <alignment horizontal="right" wrapText="1"/>
    </xf>
    <xf numFmtId="164" fontId="14" fillId="0" borderId="0" xfId="0" applyNumberFormat="1" applyFont="1" applyFill="1" applyBorder="1" applyAlignment="1">
      <alignment horizontal="left" vertical="center" wrapText="1" indent="2"/>
    </xf>
    <xf numFmtId="0" fontId="15" fillId="0" borderId="0" xfId="20" applyFont="1" applyAlignment="1">
      <alignment horizontal="center" vertical="center"/>
    </xf>
    <xf numFmtId="0" fontId="11" fillId="0" borderId="0" xfId="20" applyFont="1" applyAlignment="1">
      <alignment vertical="center"/>
    </xf>
    <xf numFmtId="0" fontId="15" fillId="0" borderId="0" xfId="20" applyFont="1" applyAlignment="1">
      <alignment horizontal="center"/>
    </xf>
    <xf numFmtId="3" fontId="13" fillId="0" borderId="0" xfId="20" applyNumberFormat="1" applyFont="1" applyAlignment="1">
      <alignment horizontal="center"/>
    </xf>
    <xf numFmtId="0" fontId="11" fillId="0" borderId="0" xfId="20" applyFont="1" applyAlignment="1"/>
    <xf numFmtId="3" fontId="13" fillId="0" borderId="0" xfId="20" applyNumberFormat="1" applyFont="1" applyAlignment="1">
      <alignment horizontal="center" vertical="center"/>
    </xf>
    <xf numFmtId="0" fontId="15" fillId="0" borderId="0" xfId="0" applyFont="1" applyAlignment="1">
      <alignment horizontal="center" vertical="center"/>
    </xf>
    <xf numFmtId="0" fontId="15" fillId="0" borderId="0" xfId="0" applyFont="1" applyAlignment="1">
      <alignment horizontal="center" wrapText="1"/>
    </xf>
    <xf numFmtId="3" fontId="15" fillId="0" borderId="0" xfId="0" applyNumberFormat="1" applyFont="1" applyBorder="1" applyAlignment="1">
      <alignment horizontal="center"/>
    </xf>
    <xf numFmtId="3" fontId="13" fillId="0" borderId="30" xfId="0" applyNumberFormat="1" applyFont="1" applyBorder="1" applyAlignment="1">
      <alignment horizontal="center"/>
    </xf>
    <xf numFmtId="3" fontId="13" fillId="0" borderId="0" xfId="0" applyNumberFormat="1" applyFont="1" applyBorder="1" applyAlignment="1">
      <alignment horizontal="center"/>
    </xf>
    <xf numFmtId="3" fontId="13" fillId="0" borderId="31" xfId="0" applyNumberFormat="1" applyFont="1" applyBorder="1" applyAlignment="1">
      <alignment horizontal="center"/>
    </xf>
    <xf numFmtId="0" fontId="13" fillId="0" borderId="4" xfId="0" applyFont="1" applyBorder="1" applyAlignment="1">
      <alignment horizontal="left" vertical="center" wrapText="1"/>
    </xf>
    <xf numFmtId="3" fontId="13" fillId="0" borderId="0" xfId="0" applyNumberFormat="1" applyFont="1" applyBorder="1" applyAlignment="1">
      <alignment horizontal="right" vertical="center"/>
    </xf>
    <xf numFmtId="10" fontId="13" fillId="0" borderId="19" xfId="36" applyNumberFormat="1" applyFont="1" applyBorder="1" applyAlignment="1">
      <alignment vertical="center"/>
    </xf>
    <xf numFmtId="3" fontId="13" fillId="0" borderId="0" xfId="36" applyNumberFormat="1" applyFont="1" applyBorder="1" applyAlignment="1">
      <alignment vertical="center"/>
    </xf>
    <xf numFmtId="3" fontId="13" fillId="0" borderId="0" xfId="0" applyNumberFormat="1" applyFont="1"/>
    <xf numFmtId="0" fontId="13" fillId="0" borderId="4" xfId="20" applyFont="1" applyBorder="1" applyAlignment="1">
      <alignment vertical="center" wrapText="1"/>
    </xf>
    <xf numFmtId="3" fontId="13" fillId="0" borderId="0" xfId="20" applyNumberFormat="1" applyFont="1" applyBorder="1" applyAlignment="1">
      <alignment vertical="center"/>
    </xf>
    <xf numFmtId="0" fontId="11" fillId="0" borderId="4" xfId="20" applyFont="1" applyBorder="1" applyAlignment="1">
      <alignment horizontal="left" vertical="center" wrapText="1" indent="2"/>
    </xf>
    <xf numFmtId="3" fontId="11" fillId="0" borderId="0" xfId="20" applyNumberFormat="1" applyFont="1" applyBorder="1" applyAlignment="1">
      <alignment vertical="center"/>
    </xf>
    <xf numFmtId="10" fontId="11" fillId="0" borderId="19" xfId="36" applyNumberFormat="1" applyFont="1" applyBorder="1" applyAlignment="1">
      <alignment vertical="center"/>
    </xf>
    <xf numFmtId="3" fontId="11" fillId="0" borderId="0" xfId="36" applyNumberFormat="1" applyFont="1" applyBorder="1" applyAlignment="1">
      <alignment vertical="center"/>
    </xf>
    <xf numFmtId="0" fontId="13" fillId="0" borderId="4" xfId="20" applyFont="1" applyFill="1" applyBorder="1" applyAlignment="1">
      <alignment vertical="center" wrapText="1"/>
    </xf>
    <xf numFmtId="3" fontId="13" fillId="0" borderId="0" xfId="20" applyNumberFormat="1" applyFont="1" applyFill="1" applyBorder="1" applyAlignment="1">
      <alignment vertical="center"/>
    </xf>
    <xf numFmtId="0" fontId="11" fillId="0" borderId="4" xfId="20" applyFont="1" applyFill="1" applyBorder="1" applyAlignment="1">
      <alignment horizontal="left" vertical="center" wrapText="1" indent="2"/>
    </xf>
    <xf numFmtId="3" fontId="11" fillId="0" borderId="0" xfId="20" applyNumberFormat="1" applyFont="1" applyFill="1" applyBorder="1" applyAlignment="1">
      <alignment vertical="center"/>
    </xf>
    <xf numFmtId="0" fontId="13" fillId="0" borderId="12" xfId="20" applyFont="1" applyBorder="1" applyAlignment="1">
      <alignment horizontal="center" vertical="center" wrapText="1"/>
    </xf>
    <xf numFmtId="3" fontId="13" fillId="0" borderId="13" xfId="20" applyNumberFormat="1" applyFont="1" applyBorder="1" applyAlignment="1">
      <alignment vertical="center"/>
    </xf>
    <xf numFmtId="10" fontId="13" fillId="0" borderId="32" xfId="36" applyNumberFormat="1" applyFont="1" applyBorder="1" applyAlignment="1">
      <alignment vertical="center"/>
    </xf>
    <xf numFmtId="0" fontId="13" fillId="0" borderId="0" xfId="20" applyFont="1" applyAlignment="1">
      <alignment vertical="center"/>
    </xf>
    <xf numFmtId="0" fontId="11" fillId="0" borderId="0" xfId="20" applyFont="1" applyAlignment="1">
      <alignment wrapText="1"/>
    </xf>
    <xf numFmtId="3" fontId="11" fillId="0" borderId="0" xfId="20" applyNumberFormat="1" applyFont="1"/>
    <xf numFmtId="0" fontId="11" fillId="0" borderId="0" xfId="20" applyFont="1"/>
    <xf numFmtId="3" fontId="19" fillId="0" borderId="0" xfId="0" applyNumberFormat="1" applyFont="1" applyFill="1" applyAlignment="1">
      <alignment horizontal="right" vertical="center"/>
    </xf>
    <xf numFmtId="0" fontId="11" fillId="0" borderId="0" xfId="0" applyFont="1" applyAlignment="1">
      <alignment vertical="top"/>
    </xf>
    <xf numFmtId="3" fontId="13" fillId="0" borderId="33" xfId="0" applyNumberFormat="1" applyFont="1" applyBorder="1" applyAlignment="1">
      <alignment horizontal="center" vertical="center" wrapText="1"/>
    </xf>
    <xf numFmtId="0" fontId="11" fillId="0" borderId="0" xfId="0" applyFont="1" applyBorder="1" applyAlignment="1"/>
    <xf numFmtId="3" fontId="11" fillId="0" borderId="19" xfId="0" applyNumberFormat="1" applyFont="1" applyBorder="1" applyAlignment="1"/>
    <xf numFmtId="0" fontId="11" fillId="0" borderId="0" xfId="0" applyFont="1" applyBorder="1" applyAlignment="1">
      <alignment horizontal="left" indent="2"/>
    </xf>
    <xf numFmtId="0" fontId="11" fillId="0" borderId="0" xfId="0" applyFont="1" applyBorder="1" applyAlignment="1">
      <alignment vertical="top"/>
    </xf>
    <xf numFmtId="3" fontId="14" fillId="0" borderId="19" xfId="0" applyNumberFormat="1" applyFont="1" applyBorder="1" applyAlignment="1">
      <alignment vertical="top"/>
    </xf>
    <xf numFmtId="0" fontId="11" fillId="0" borderId="0" xfId="0" applyFont="1" applyBorder="1" applyAlignment="1">
      <alignment vertical="center" wrapText="1"/>
    </xf>
    <xf numFmtId="3" fontId="14" fillId="0" borderId="19" xfId="0" applyNumberFormat="1" applyFont="1" applyBorder="1" applyAlignment="1">
      <alignment vertical="center"/>
    </xf>
    <xf numFmtId="3" fontId="13" fillId="0" borderId="32" xfId="0" applyNumberFormat="1" applyFont="1" applyBorder="1" applyAlignment="1">
      <alignment vertical="center"/>
    </xf>
    <xf numFmtId="0" fontId="11" fillId="0" borderId="0" xfId="0" applyFont="1" applyAlignment="1">
      <alignment horizontal="center" vertical="top"/>
    </xf>
    <xf numFmtId="0" fontId="11" fillId="0" borderId="0" xfId="0" applyFont="1" applyBorder="1"/>
    <xf numFmtId="0" fontId="11" fillId="0" borderId="0" xfId="0" applyFont="1" applyFill="1" applyBorder="1" applyAlignment="1">
      <alignment horizontal="center" vertical="center"/>
    </xf>
    <xf numFmtId="3" fontId="13" fillId="0" borderId="11" xfId="17" applyNumberFormat="1" applyFont="1" applyFill="1" applyBorder="1" applyAlignment="1">
      <alignment horizontal="left" textRotation="90" wrapText="1"/>
    </xf>
    <xf numFmtId="3" fontId="11" fillId="0" borderId="11" xfId="17" applyNumberFormat="1" applyFont="1" applyFill="1" applyBorder="1" applyAlignment="1">
      <alignment horizontal="center" wrapText="1"/>
    </xf>
    <xf numFmtId="3" fontId="13" fillId="0" borderId="11" xfId="17" applyNumberFormat="1" applyFont="1" applyFill="1" applyBorder="1" applyAlignment="1">
      <alignment horizontal="left" wrapText="1"/>
    </xf>
    <xf numFmtId="3" fontId="13" fillId="0" borderId="0" xfId="17" applyNumberFormat="1" applyFont="1" applyFill="1" applyBorder="1" applyAlignment="1">
      <alignment horizontal="left"/>
    </xf>
    <xf numFmtId="3" fontId="13" fillId="0" borderId="0" xfId="17" applyNumberFormat="1" applyFont="1" applyFill="1" applyAlignment="1">
      <alignment horizontal="left"/>
    </xf>
    <xf numFmtId="3" fontId="13" fillId="0" borderId="0" xfId="17" applyNumberFormat="1" applyFont="1" applyFill="1" applyBorder="1" applyAlignment="1">
      <alignment horizontal="left" wrapText="1"/>
    </xf>
    <xf numFmtId="3" fontId="11" fillId="0" borderId="0" xfId="17" applyNumberFormat="1" applyFont="1" applyFill="1" applyBorder="1" applyAlignment="1">
      <alignment horizontal="center" wrapText="1"/>
    </xf>
    <xf numFmtId="0" fontId="13" fillId="0" borderId="0" xfId="0" applyFont="1" applyFill="1"/>
    <xf numFmtId="0" fontId="11" fillId="0" borderId="0" xfId="0" applyFont="1" applyFill="1" applyBorder="1" applyAlignment="1">
      <alignment horizontal="center" vertical="top"/>
    </xf>
    <xf numFmtId="0" fontId="13" fillId="0" borderId="0" xfId="0" applyFont="1" applyFill="1" applyBorder="1" applyAlignment="1">
      <alignment horizontal="center" vertical="top"/>
    </xf>
    <xf numFmtId="0" fontId="13" fillId="0" borderId="10" xfId="0" applyFont="1" applyFill="1" applyBorder="1" applyAlignment="1">
      <alignment horizontal="center"/>
    </xf>
    <xf numFmtId="0" fontId="11" fillId="0" borderId="10" xfId="0" applyFont="1" applyFill="1" applyBorder="1" applyAlignment="1">
      <alignment horizontal="center" vertical="top"/>
    </xf>
    <xf numFmtId="0" fontId="13" fillId="0" borderId="10" xfId="0" applyFont="1" applyFill="1" applyBorder="1" applyAlignment="1">
      <alignment wrapText="1"/>
    </xf>
    <xf numFmtId="3" fontId="13" fillId="0" borderId="10" xfId="17" applyNumberFormat="1" applyFont="1" applyFill="1" applyBorder="1" applyAlignment="1">
      <alignment horizontal="left" textRotation="90" wrapText="1"/>
    </xf>
    <xf numFmtId="3" fontId="11" fillId="0" borderId="10" xfId="17" applyNumberFormat="1" applyFont="1" applyFill="1" applyBorder="1" applyAlignment="1">
      <alignment horizontal="center" wrapText="1"/>
    </xf>
    <xf numFmtId="3" fontId="13" fillId="0" borderId="10" xfId="17" applyNumberFormat="1" applyFont="1" applyFill="1" applyBorder="1" applyAlignment="1">
      <alignment horizontal="left" wrapText="1"/>
    </xf>
    <xf numFmtId="0" fontId="13" fillId="0" borderId="0" xfId="0" applyFont="1" applyFill="1" applyBorder="1" applyAlignment="1">
      <alignment vertical="top" wrapText="1"/>
    </xf>
    <xf numFmtId="0" fontId="13" fillId="0" borderId="8" xfId="0" applyFont="1" applyFill="1" applyBorder="1" applyAlignment="1">
      <alignment horizontal="center" vertical="center"/>
    </xf>
    <xf numFmtId="0" fontId="11" fillId="0" borderId="8" xfId="0" applyFont="1" applyFill="1" applyBorder="1" applyAlignment="1">
      <alignment horizontal="center" vertical="center"/>
    </xf>
    <xf numFmtId="0" fontId="11" fillId="0" borderId="10" xfId="0" applyFont="1" applyFill="1" applyBorder="1" applyAlignment="1">
      <alignment horizontal="center"/>
    </xf>
    <xf numFmtId="0" fontId="13" fillId="0" borderId="34" xfId="0" applyFont="1" applyFill="1" applyBorder="1" applyAlignment="1">
      <alignment horizontal="center" vertical="center"/>
    </xf>
    <xf numFmtId="0" fontId="11" fillId="0" borderId="34" xfId="0" applyFont="1" applyFill="1" applyBorder="1" applyAlignment="1">
      <alignment horizontal="center" vertical="center"/>
    </xf>
    <xf numFmtId="0" fontId="13" fillId="0" borderId="34" xfId="0" applyFont="1" applyFill="1" applyBorder="1" applyAlignment="1">
      <alignment vertical="center"/>
    </xf>
    <xf numFmtId="0" fontId="13" fillId="0" borderId="9" xfId="0" applyFont="1" applyFill="1" applyBorder="1" applyAlignment="1">
      <alignment horizontal="center" vertical="center"/>
    </xf>
    <xf numFmtId="0" fontId="11" fillId="0" borderId="9" xfId="0" applyFont="1" applyFill="1" applyBorder="1" applyAlignment="1">
      <alignment horizontal="center" vertical="center"/>
    </xf>
    <xf numFmtId="0" fontId="13" fillId="0" borderId="9" xfId="0" applyFont="1" applyFill="1" applyBorder="1" applyAlignment="1">
      <alignment vertical="center"/>
    </xf>
    <xf numFmtId="0" fontId="13" fillId="0" borderId="8" xfId="0" applyFont="1" applyFill="1" applyBorder="1" applyAlignment="1">
      <alignment vertical="center" shrinkToFit="1"/>
    </xf>
    <xf numFmtId="0" fontId="11" fillId="0" borderId="0" xfId="0" applyFont="1" applyFill="1" applyBorder="1" applyAlignment="1">
      <alignment horizontal="left" indent="1"/>
    </xf>
    <xf numFmtId="0" fontId="11" fillId="0" borderId="10" xfId="0" applyFont="1" applyFill="1" applyBorder="1" applyAlignment="1">
      <alignment horizontal="left" indent="1"/>
    </xf>
    <xf numFmtId="0" fontId="13" fillId="0" borderId="35" xfId="0" applyFont="1" applyFill="1" applyBorder="1" applyAlignment="1">
      <alignment horizontal="center" vertical="center"/>
    </xf>
    <xf numFmtId="0" fontId="11" fillId="0" borderId="35" xfId="0" applyFont="1" applyFill="1" applyBorder="1" applyAlignment="1">
      <alignment horizontal="center" vertical="center"/>
    </xf>
    <xf numFmtId="0" fontId="13" fillId="0" borderId="35" xfId="0" applyFont="1" applyFill="1" applyBorder="1" applyAlignment="1">
      <alignment vertical="center"/>
    </xf>
    <xf numFmtId="0" fontId="11" fillId="0" borderId="0" xfId="0" applyFont="1" applyFill="1" applyAlignment="1">
      <alignment horizontal="center"/>
    </xf>
    <xf numFmtId="0" fontId="0" fillId="0" borderId="0" xfId="0" applyFont="1" applyFill="1"/>
    <xf numFmtId="0" fontId="30" fillId="0" borderId="0" xfId="0" applyFont="1" applyFill="1"/>
    <xf numFmtId="0" fontId="29" fillId="0" borderId="0" xfId="0" applyFont="1" applyFill="1"/>
    <xf numFmtId="0" fontId="0" fillId="0" borderId="0" xfId="0" applyFont="1" applyFill="1" applyAlignment="1"/>
    <xf numFmtId="3" fontId="22" fillId="0" borderId="0" xfId="0" applyNumberFormat="1" applyFont="1" applyFill="1" applyAlignment="1">
      <alignment horizontal="right" vertical="center"/>
    </xf>
    <xf numFmtId="3" fontId="19" fillId="0" borderId="0" xfId="0" applyNumberFormat="1" applyFont="1" applyFill="1" applyAlignment="1">
      <alignment horizontal="center"/>
    </xf>
    <xf numFmtId="3" fontId="19" fillId="0" borderId="0" xfId="0" applyNumberFormat="1" applyFont="1" applyFill="1" applyAlignment="1">
      <alignment horizontal="right"/>
    </xf>
    <xf numFmtId="3" fontId="19" fillId="0" borderId="0" xfId="0" applyNumberFormat="1" applyFont="1" applyFill="1"/>
    <xf numFmtId="3" fontId="22" fillId="0" borderId="0" xfId="0" applyNumberFormat="1" applyFont="1" applyFill="1" applyBorder="1" applyAlignment="1">
      <alignment horizontal="right" vertical="center"/>
    </xf>
    <xf numFmtId="3" fontId="19" fillId="0" borderId="0" xfId="0" applyNumberFormat="1" applyFont="1" applyFill="1" applyAlignment="1">
      <alignment horizontal="right" vertical="top"/>
    </xf>
    <xf numFmtId="3" fontId="21" fillId="0" borderId="0" xfId="0" applyNumberFormat="1" applyFont="1" applyFill="1" applyBorder="1" applyAlignment="1">
      <alignment horizontal="right"/>
    </xf>
    <xf numFmtId="3" fontId="22" fillId="0" borderId="0" xfId="0" applyNumberFormat="1" applyFont="1" applyFill="1" applyBorder="1" applyAlignment="1">
      <alignment horizontal="right" vertical="top"/>
    </xf>
    <xf numFmtId="0" fontId="32" fillId="0" borderId="0" xfId="0" applyFont="1" applyFill="1"/>
    <xf numFmtId="0" fontId="32" fillId="0" borderId="0" xfId="0" applyFont="1" applyFill="1" applyAlignment="1">
      <alignment vertical="center"/>
    </xf>
    <xf numFmtId="0" fontId="32" fillId="0" borderId="0" xfId="0" applyFont="1" applyFill="1" applyBorder="1" applyAlignment="1">
      <alignment vertical="center"/>
    </xf>
    <xf numFmtId="3" fontId="11" fillId="0" borderId="0" xfId="18" applyNumberFormat="1" applyFont="1" applyFill="1" applyBorder="1" applyAlignment="1">
      <alignment vertical="center" wrapText="1"/>
    </xf>
    <xf numFmtId="3" fontId="11" fillId="0" borderId="0" xfId="22" applyNumberFormat="1" applyFont="1"/>
    <xf numFmtId="3" fontId="11" fillId="0" borderId="0" xfId="22" applyNumberFormat="1" applyFont="1" applyAlignment="1">
      <alignment horizontal="center"/>
    </xf>
    <xf numFmtId="14" fontId="11" fillId="0" borderId="0" xfId="22" applyNumberFormat="1" applyFont="1" applyAlignment="1">
      <alignment horizontal="center"/>
    </xf>
    <xf numFmtId="3" fontId="11" fillId="0" borderId="0" xfId="22" applyNumberFormat="1" applyFont="1" applyAlignment="1">
      <alignment horizontal="center" vertical="center" wrapText="1"/>
    </xf>
    <xf numFmtId="3" fontId="13" fillId="0" borderId="37" xfId="22" applyNumberFormat="1" applyFont="1" applyBorder="1" applyAlignment="1">
      <alignment horizontal="right" vertical="center"/>
    </xf>
    <xf numFmtId="3" fontId="11" fillId="0" borderId="38" xfId="22" applyNumberFormat="1" applyFont="1" applyBorder="1" applyAlignment="1">
      <alignment horizontal="right" vertical="center" wrapText="1"/>
    </xf>
    <xf numFmtId="3" fontId="11" fillId="0" borderId="0" xfId="0" applyNumberFormat="1" applyFont="1" applyFill="1" applyAlignment="1">
      <alignment horizontal="right"/>
    </xf>
    <xf numFmtId="3" fontId="11" fillId="0" borderId="41" xfId="17" applyNumberFormat="1" applyFont="1" applyFill="1" applyBorder="1" applyAlignment="1">
      <alignment horizontal="center" vertical="center" wrapText="1"/>
    </xf>
    <xf numFmtId="3" fontId="11" fillId="0" borderId="0" xfId="17" applyNumberFormat="1" applyFont="1" applyFill="1" applyBorder="1" applyAlignment="1">
      <alignment horizontal="center" vertical="top" wrapText="1"/>
    </xf>
    <xf numFmtId="3" fontId="19" fillId="0" borderId="16" xfId="0" applyNumberFormat="1" applyFont="1" applyFill="1" applyBorder="1" applyAlignment="1">
      <alignment horizontal="center"/>
    </xf>
    <xf numFmtId="3" fontId="19" fillId="0" borderId="17" xfId="0" applyNumberFormat="1" applyFont="1" applyFill="1" applyBorder="1" applyAlignment="1">
      <alignment horizontal="center"/>
    </xf>
    <xf numFmtId="3" fontId="19" fillId="0" borderId="16" xfId="0" applyNumberFormat="1" applyFont="1" applyFill="1" applyBorder="1" applyAlignment="1">
      <alignment horizontal="center" vertical="center"/>
    </xf>
    <xf numFmtId="3" fontId="19" fillId="0" borderId="17" xfId="0" applyNumberFormat="1" applyFont="1" applyFill="1" applyBorder="1" applyAlignment="1">
      <alignment horizontal="center" vertical="center"/>
    </xf>
    <xf numFmtId="3" fontId="19" fillId="0" borderId="16" xfId="0" applyNumberFormat="1" applyFont="1" applyFill="1" applyBorder="1" applyAlignment="1">
      <alignment horizontal="center" vertical="top"/>
    </xf>
    <xf numFmtId="3" fontId="19" fillId="0" borderId="17" xfId="0" applyNumberFormat="1" applyFont="1" applyFill="1" applyBorder="1" applyAlignment="1">
      <alignment horizontal="center" vertical="top"/>
    </xf>
    <xf numFmtId="3" fontId="19" fillId="0" borderId="17" xfId="0" applyNumberFormat="1" applyFont="1" applyFill="1" applyBorder="1" applyAlignment="1">
      <alignment vertical="center"/>
    </xf>
    <xf numFmtId="3" fontId="21" fillId="0" borderId="17" xfId="0" applyNumberFormat="1" applyFont="1" applyFill="1" applyBorder="1" applyAlignment="1">
      <alignment vertical="center"/>
    </xf>
    <xf numFmtId="3" fontId="22" fillId="0" borderId="18" xfId="0" applyNumberFormat="1" applyFont="1" applyFill="1" applyBorder="1" applyAlignment="1">
      <alignment vertical="center"/>
    </xf>
    <xf numFmtId="3" fontId="19" fillId="0" borderId="17" xfId="0" applyNumberFormat="1" applyFont="1" applyFill="1" applyBorder="1" applyAlignment="1">
      <alignment vertical="top"/>
    </xf>
    <xf numFmtId="3" fontId="21" fillId="0" borderId="17" xfId="0" applyNumberFormat="1" applyFont="1" applyFill="1" applyBorder="1" applyAlignment="1">
      <alignment vertical="top"/>
    </xf>
    <xf numFmtId="3" fontId="22" fillId="0" borderId="18" xfId="0" applyNumberFormat="1" applyFont="1" applyFill="1" applyBorder="1" applyAlignment="1">
      <alignment vertical="top"/>
    </xf>
    <xf numFmtId="0" fontId="0" fillId="0" borderId="17" xfId="0" applyFont="1" applyFill="1" applyBorder="1"/>
    <xf numFmtId="0" fontId="30" fillId="0" borderId="17" xfId="0" applyFont="1" applyFill="1" applyBorder="1"/>
    <xf numFmtId="3" fontId="19" fillId="0" borderId="27" xfId="0" applyNumberFormat="1" applyFont="1" applyFill="1" applyBorder="1" applyAlignment="1">
      <alignment horizontal="center"/>
    </xf>
    <xf numFmtId="3" fontId="19" fillId="0" borderId="24" xfId="0" applyNumberFormat="1" applyFont="1" applyFill="1" applyBorder="1" applyAlignment="1">
      <alignment horizontal="center"/>
    </xf>
    <xf numFmtId="3" fontId="19" fillId="0" borderId="24" xfId="0" applyNumberFormat="1" applyFont="1" applyFill="1" applyBorder="1" applyAlignment="1">
      <alignment vertical="center"/>
    </xf>
    <xf numFmtId="3" fontId="21" fillId="0" borderId="24" xfId="0" applyNumberFormat="1" applyFont="1" applyFill="1" applyBorder="1" applyAlignment="1">
      <alignment vertical="center"/>
    </xf>
    <xf numFmtId="3" fontId="22" fillId="0" borderId="25" xfId="0" applyNumberFormat="1" applyFont="1" applyFill="1" applyBorder="1" applyAlignment="1">
      <alignment vertical="center"/>
    </xf>
    <xf numFmtId="3" fontId="19" fillId="0" borderId="18" xfId="0" applyNumberFormat="1" applyFont="1" applyFill="1" applyBorder="1" applyAlignment="1">
      <alignment vertical="center"/>
    </xf>
    <xf numFmtId="3" fontId="22" fillId="0" borderId="18" xfId="0" applyNumberFormat="1" applyFont="1" applyFill="1" applyBorder="1" applyAlignment="1"/>
    <xf numFmtId="3" fontId="19" fillId="0" borderId="17" xfId="28" applyNumberFormat="1" applyFont="1" applyFill="1" applyBorder="1" applyAlignment="1">
      <alignment wrapText="1"/>
    </xf>
    <xf numFmtId="3" fontId="25" fillId="0" borderId="0" xfId="0" applyNumberFormat="1" applyFont="1" applyFill="1" applyAlignment="1">
      <alignment vertical="center"/>
    </xf>
    <xf numFmtId="0" fontId="29" fillId="0" borderId="18" xfId="0" applyFont="1" applyFill="1" applyBorder="1"/>
    <xf numFmtId="3" fontId="19" fillId="0" borderId="25" xfId="0" applyNumberFormat="1" applyFont="1" applyFill="1" applyBorder="1" applyAlignment="1">
      <alignment vertical="center"/>
    </xf>
    <xf numFmtId="3" fontId="19" fillId="0" borderId="24" xfId="0" applyNumberFormat="1" applyFont="1" applyFill="1" applyBorder="1" applyAlignment="1"/>
    <xf numFmtId="3" fontId="21" fillId="0" borderId="24" xfId="0" applyNumberFormat="1" applyFont="1" applyFill="1" applyBorder="1" applyAlignment="1"/>
    <xf numFmtId="3" fontId="22" fillId="0" borderId="25" xfId="0" applyNumberFormat="1" applyFont="1" applyFill="1" applyBorder="1" applyAlignment="1"/>
    <xf numFmtId="3" fontId="19" fillId="0" borderId="45" xfId="0" applyNumberFormat="1" applyFont="1" applyFill="1" applyBorder="1" applyAlignment="1">
      <alignment horizontal="center" vertical="center"/>
    </xf>
    <xf numFmtId="3" fontId="19" fillId="0" borderId="45" xfId="0" applyNumberFormat="1" applyFont="1" applyFill="1" applyBorder="1" applyAlignment="1">
      <alignment vertical="center"/>
    </xf>
    <xf numFmtId="3" fontId="19" fillId="0" borderId="46" xfId="0" applyNumberFormat="1" applyFont="1" applyFill="1" applyBorder="1" applyAlignment="1">
      <alignment vertical="center"/>
    </xf>
    <xf numFmtId="3" fontId="19" fillId="0" borderId="24" xfId="0" applyNumberFormat="1" applyFont="1" applyFill="1" applyBorder="1" applyAlignment="1">
      <alignment horizontal="center" vertical="center"/>
    </xf>
    <xf numFmtId="3" fontId="19" fillId="0" borderId="52" xfId="0" applyNumberFormat="1" applyFont="1" applyFill="1" applyBorder="1" applyAlignment="1">
      <alignment vertical="center"/>
    </xf>
    <xf numFmtId="3" fontId="22" fillId="0" borderId="29" xfId="0" applyNumberFormat="1" applyFont="1" applyFill="1" applyBorder="1" applyAlignment="1">
      <alignment vertical="center"/>
    </xf>
    <xf numFmtId="3" fontId="19" fillId="0" borderId="54" xfId="0" applyNumberFormat="1" applyFont="1" applyFill="1" applyBorder="1" applyAlignment="1">
      <alignment horizontal="center" vertical="top"/>
    </xf>
    <xf numFmtId="3" fontId="22" fillId="0" borderId="56" xfId="0" applyNumberFormat="1" applyFont="1" applyFill="1" applyBorder="1" applyAlignment="1">
      <alignment vertical="center"/>
    </xf>
    <xf numFmtId="3" fontId="22" fillId="0" borderId="17" xfId="28" applyNumberFormat="1" applyFont="1" applyFill="1" applyBorder="1" applyAlignment="1"/>
    <xf numFmtId="3" fontId="22" fillId="0" borderId="24" xfId="28" applyNumberFormat="1" applyFont="1" applyFill="1" applyBorder="1" applyAlignment="1">
      <alignment wrapText="1"/>
    </xf>
    <xf numFmtId="3" fontId="22" fillId="0" borderId="24" xfId="28" applyNumberFormat="1" applyFont="1" applyFill="1" applyBorder="1" applyAlignment="1"/>
    <xf numFmtId="3" fontId="19" fillId="0" borderId="17" xfId="0" applyNumberFormat="1" applyFont="1" applyFill="1" applyBorder="1" applyAlignment="1">
      <alignment horizontal="right"/>
    </xf>
    <xf numFmtId="3" fontId="19" fillId="0" borderId="18" xfId="0" applyNumberFormat="1" applyFont="1" applyFill="1" applyBorder="1" applyAlignment="1">
      <alignment horizontal="right"/>
    </xf>
    <xf numFmtId="3" fontId="19" fillId="0" borderId="17" xfId="0" applyNumberFormat="1" applyFont="1" applyFill="1" applyBorder="1" applyAlignment="1">
      <alignment horizontal="right" vertical="top"/>
    </xf>
    <xf numFmtId="3" fontId="19" fillId="0" borderId="18" xfId="0" applyNumberFormat="1" applyFont="1" applyFill="1" applyBorder="1" applyAlignment="1">
      <alignment horizontal="right" vertical="top"/>
    </xf>
    <xf numFmtId="3" fontId="19" fillId="0" borderId="17" xfId="0" applyNumberFormat="1" applyFont="1" applyFill="1" applyBorder="1" applyAlignment="1">
      <alignment horizontal="right" vertical="center"/>
    </xf>
    <xf numFmtId="3" fontId="19" fillId="0" borderId="23" xfId="0" applyNumberFormat="1" applyFont="1" applyFill="1" applyBorder="1" applyAlignment="1"/>
    <xf numFmtId="3" fontId="22" fillId="0" borderId="57" xfId="0" applyNumberFormat="1" applyFont="1" applyFill="1" applyBorder="1" applyAlignment="1">
      <alignment vertical="center"/>
    </xf>
    <xf numFmtId="3" fontId="22" fillId="0" borderId="57" xfId="0" applyNumberFormat="1" applyFont="1" applyFill="1" applyBorder="1" applyAlignment="1"/>
    <xf numFmtId="3" fontId="25" fillId="0" borderId="16" xfId="0" applyNumberFormat="1" applyFont="1" applyFill="1" applyBorder="1" applyAlignment="1">
      <alignment horizontal="center" vertical="center"/>
    </xf>
    <xf numFmtId="3" fontId="25" fillId="0" borderId="0" xfId="0" applyNumberFormat="1" applyFont="1" applyFill="1" applyBorder="1" applyAlignment="1">
      <alignment horizontal="right" vertical="center"/>
    </xf>
    <xf numFmtId="3" fontId="19" fillId="0" borderId="25" xfId="0" applyNumberFormat="1" applyFont="1" applyFill="1" applyBorder="1" applyAlignment="1"/>
    <xf numFmtId="3" fontId="21" fillId="0" borderId="17" xfId="0" applyNumberFormat="1" applyFont="1" applyFill="1" applyBorder="1" applyAlignment="1">
      <alignment horizontal="right"/>
    </xf>
    <xf numFmtId="3" fontId="21" fillId="0" borderId="18" xfId="0" applyNumberFormat="1" applyFont="1" applyFill="1" applyBorder="1" applyAlignment="1">
      <alignment horizontal="right"/>
    </xf>
    <xf numFmtId="3" fontId="19" fillId="0" borderId="18" xfId="0" applyNumberFormat="1" applyFont="1" applyFill="1" applyBorder="1" applyAlignment="1">
      <alignment horizontal="right" vertical="center"/>
    </xf>
    <xf numFmtId="3" fontId="25" fillId="0" borderId="0" xfId="0" applyNumberFormat="1" applyFont="1" applyFill="1" applyBorder="1" applyAlignment="1">
      <alignment horizontal="right" vertical="top"/>
    </xf>
    <xf numFmtId="3" fontId="25" fillId="0" borderId="57" xfId="0" applyNumberFormat="1" applyFont="1" applyFill="1" applyBorder="1" applyAlignment="1"/>
    <xf numFmtId="3" fontId="22" fillId="0" borderId="17" xfId="0" applyNumberFormat="1" applyFont="1" applyFill="1" applyBorder="1" applyAlignment="1">
      <alignment horizontal="right" vertical="center"/>
    </xf>
    <xf numFmtId="3" fontId="22" fillId="0" borderId="18" xfId="0" applyNumberFormat="1" applyFont="1" applyFill="1" applyBorder="1" applyAlignment="1">
      <alignment horizontal="right" vertical="center"/>
    </xf>
    <xf numFmtId="3" fontId="22" fillId="0" borderId="43" xfId="0" applyNumberFormat="1" applyFont="1" applyFill="1" applyBorder="1" applyAlignment="1">
      <alignment horizontal="right" vertical="center"/>
    </xf>
    <xf numFmtId="3" fontId="22" fillId="0" borderId="44" xfId="0" applyNumberFormat="1" applyFont="1" applyFill="1" applyBorder="1" applyAlignment="1">
      <alignment horizontal="right" vertical="center"/>
    </xf>
    <xf numFmtId="3" fontId="22" fillId="0" borderId="57" xfId="0" applyNumberFormat="1" applyFont="1" applyFill="1" applyBorder="1" applyAlignment="1">
      <alignment horizontal="right" vertical="center"/>
    </xf>
    <xf numFmtId="3" fontId="22" fillId="0" borderId="60" xfId="0" applyNumberFormat="1" applyFont="1" applyFill="1" applyBorder="1" applyAlignment="1">
      <alignment horizontal="right" vertical="center"/>
    </xf>
    <xf numFmtId="3" fontId="25" fillId="0" borderId="57" xfId="0" applyNumberFormat="1" applyFont="1" applyFill="1" applyBorder="1" applyAlignment="1">
      <alignment horizontal="right" vertical="center"/>
    </xf>
    <xf numFmtId="0" fontId="20" fillId="0" borderId="0" xfId="0" applyFont="1" applyFill="1" applyAlignment="1">
      <alignment horizontal="center"/>
    </xf>
    <xf numFmtId="0" fontId="11" fillId="0" borderId="64" xfId="22" applyNumberFormat="1" applyFont="1" applyBorder="1" applyAlignment="1">
      <alignment horizontal="center" vertical="center" wrapText="1"/>
    </xf>
    <xf numFmtId="3" fontId="11" fillId="0" borderId="65" xfId="22" applyNumberFormat="1" applyFont="1" applyBorder="1" applyAlignment="1">
      <alignment horizontal="center" vertical="center" wrapText="1"/>
    </xf>
    <xf numFmtId="3" fontId="11" fillId="0" borderId="64" xfId="22" applyNumberFormat="1" applyFont="1" applyBorder="1" applyAlignment="1">
      <alignment horizontal="center" vertical="center" wrapText="1"/>
    </xf>
    <xf numFmtId="3" fontId="19" fillId="0" borderId="0" xfId="18" applyNumberFormat="1" applyFont="1" applyFill="1"/>
    <xf numFmtId="3" fontId="34" fillId="0" borderId="17" xfId="18" applyNumberFormat="1" applyFont="1" applyFill="1" applyBorder="1" applyAlignment="1">
      <alignment wrapText="1"/>
    </xf>
    <xf numFmtId="3" fontId="11" fillId="0" borderId="0" xfId="18" applyNumberFormat="1" applyFont="1" applyFill="1" applyBorder="1"/>
    <xf numFmtId="3" fontId="22" fillId="0" borderId="27" xfId="18" applyNumberFormat="1" applyFont="1" applyFill="1" applyBorder="1" applyAlignment="1">
      <alignment horizontal="center" vertical="center"/>
    </xf>
    <xf numFmtId="3" fontId="11" fillId="0" borderId="66" xfId="17" applyNumberFormat="1" applyFont="1" applyFill="1" applyBorder="1" applyAlignment="1">
      <alignment horizontal="center" textRotation="90" wrapText="1"/>
    </xf>
    <xf numFmtId="3" fontId="11" fillId="0" borderId="4" xfId="17" applyNumberFormat="1" applyFont="1" applyFill="1" applyBorder="1" applyAlignment="1">
      <alignment horizontal="center" wrapText="1"/>
    </xf>
    <xf numFmtId="49" fontId="11" fillId="0" borderId="4" xfId="0" applyNumberFormat="1" applyFont="1" applyFill="1" applyBorder="1" applyAlignment="1">
      <alignment horizontal="center" vertical="center"/>
    </xf>
    <xf numFmtId="49" fontId="11" fillId="0" borderId="4" xfId="0" applyNumberFormat="1" applyFont="1" applyFill="1" applyBorder="1" applyAlignment="1">
      <alignment horizontal="center"/>
    </xf>
    <xf numFmtId="49" fontId="11" fillId="0" borderId="4" xfId="0" applyNumberFormat="1" applyFont="1" applyFill="1" applyBorder="1" applyAlignment="1">
      <alignment horizontal="center" vertical="top"/>
    </xf>
    <xf numFmtId="3" fontId="11" fillId="0" borderId="67" xfId="17" applyNumberFormat="1" applyFont="1" applyFill="1" applyBorder="1" applyAlignment="1">
      <alignment horizontal="center" textRotation="90" wrapText="1"/>
    </xf>
    <xf numFmtId="0" fontId="11" fillId="0" borderId="68" xfId="0" applyFont="1" applyFill="1" applyBorder="1" applyAlignment="1">
      <alignment horizontal="center" vertical="center"/>
    </xf>
    <xf numFmtId="0" fontId="11" fillId="0" borderId="69" xfId="0" applyFont="1" applyFill="1" applyBorder="1" applyAlignment="1">
      <alignment horizontal="center" vertical="center"/>
    </xf>
    <xf numFmtId="0" fontId="11" fillId="0" borderId="67" xfId="0" applyFont="1" applyFill="1" applyBorder="1" applyAlignment="1">
      <alignment horizontal="center" vertical="center"/>
    </xf>
    <xf numFmtId="0" fontId="11" fillId="0" borderId="70" xfId="0" applyFont="1" applyFill="1" applyBorder="1" applyAlignment="1">
      <alignment horizontal="center" vertical="center"/>
    </xf>
    <xf numFmtId="49" fontId="11" fillId="0" borderId="66" xfId="17" applyNumberFormat="1" applyFont="1" applyFill="1" applyBorder="1" applyAlignment="1">
      <alignment horizontal="center"/>
    </xf>
    <xf numFmtId="49" fontId="11" fillId="0" borderId="67" xfId="17" applyNumberFormat="1" applyFont="1" applyFill="1" applyBorder="1" applyAlignment="1">
      <alignment horizontal="center"/>
    </xf>
    <xf numFmtId="49" fontId="14" fillId="0" borderId="4" xfId="17" applyNumberFormat="1" applyFont="1" applyFill="1" applyBorder="1" applyAlignment="1">
      <alignment horizontal="center"/>
    </xf>
    <xf numFmtId="49" fontId="11" fillId="0" borderId="4" xfId="17" applyNumberFormat="1" applyFont="1" applyFill="1" applyBorder="1" applyAlignment="1">
      <alignment horizontal="center" vertical="center"/>
    </xf>
    <xf numFmtId="3" fontId="19" fillId="0" borderId="41" xfId="17" applyNumberFormat="1" applyFont="1" applyFill="1" applyBorder="1" applyAlignment="1">
      <alignment horizontal="center" vertical="center" wrapText="1"/>
    </xf>
    <xf numFmtId="3" fontId="11" fillId="0" borderId="71" xfId="17" applyNumberFormat="1" applyFont="1" applyFill="1" applyBorder="1" applyAlignment="1">
      <alignment horizontal="center" vertical="center" textRotation="90" wrapText="1"/>
    </xf>
    <xf numFmtId="3" fontId="11" fillId="0" borderId="41" xfId="17" applyNumberFormat="1" applyFont="1" applyFill="1" applyBorder="1" applyAlignment="1">
      <alignment horizontal="center" vertical="center" textRotation="90" wrapText="1"/>
    </xf>
    <xf numFmtId="3" fontId="13" fillId="0" borderId="41" xfId="17" applyNumberFormat="1" applyFont="1" applyFill="1" applyBorder="1" applyAlignment="1">
      <alignment horizontal="center" vertical="center" wrapText="1"/>
    </xf>
    <xf numFmtId="3" fontId="11" fillId="0" borderId="72" xfId="17" applyNumberFormat="1" applyFont="1" applyFill="1" applyBorder="1" applyAlignment="1">
      <alignment horizontal="center" vertical="center" wrapText="1"/>
    </xf>
    <xf numFmtId="3" fontId="13" fillId="0" borderId="11" xfId="17" applyNumberFormat="1" applyFont="1" applyFill="1" applyBorder="1" applyAlignment="1">
      <alignment horizontal="right" wrapText="1"/>
    </xf>
    <xf numFmtId="3" fontId="13" fillId="0" borderId="10" xfId="0" applyNumberFormat="1" applyFont="1" applyFill="1" applyBorder="1"/>
    <xf numFmtId="3" fontId="13" fillId="0" borderId="10" xfId="17" applyNumberFormat="1" applyFont="1" applyFill="1" applyBorder="1" applyAlignment="1">
      <alignment horizontal="right" wrapText="1"/>
    </xf>
    <xf numFmtId="3" fontId="13" fillId="0" borderId="34" xfId="0" applyNumberFormat="1" applyFont="1" applyFill="1" applyBorder="1" applyAlignment="1">
      <alignment vertical="center"/>
    </xf>
    <xf numFmtId="3" fontId="13" fillId="0" borderId="0" xfId="0" applyNumberFormat="1" applyFont="1" applyFill="1" applyBorder="1" applyAlignment="1">
      <alignment vertical="center"/>
    </xf>
    <xf numFmtId="3" fontId="13" fillId="0" borderId="35" xfId="0" applyNumberFormat="1" applyFont="1" applyFill="1" applyBorder="1" applyAlignment="1">
      <alignment vertical="center"/>
    </xf>
    <xf numFmtId="3" fontId="14" fillId="0" borderId="0" xfId="17" applyNumberFormat="1" applyFont="1" applyFill="1" applyBorder="1" applyAlignment="1">
      <alignment horizontal="right"/>
    </xf>
    <xf numFmtId="3" fontId="11" fillId="0" borderId="6" xfId="17" applyNumberFormat="1" applyFont="1" applyFill="1" applyBorder="1" applyAlignment="1">
      <alignment horizontal="center"/>
    </xf>
    <xf numFmtId="49" fontId="11" fillId="0" borderId="71" xfId="17" applyNumberFormat="1" applyFont="1" applyFill="1" applyBorder="1" applyAlignment="1">
      <alignment horizontal="center" vertical="center" textRotation="90"/>
    </xf>
    <xf numFmtId="3" fontId="11" fillId="0" borderId="41" xfId="17" applyNumberFormat="1" applyFont="1" applyFill="1" applyBorder="1" applyAlignment="1">
      <alignment horizontal="center" vertical="center" textRotation="90"/>
    </xf>
    <xf numFmtId="3" fontId="13" fillId="0" borderId="41" xfId="17" applyNumberFormat="1" applyFont="1" applyFill="1" applyBorder="1" applyAlignment="1">
      <alignment horizontal="center" vertical="center"/>
    </xf>
    <xf numFmtId="0" fontId="11" fillId="0" borderId="0" xfId="0" applyFont="1" applyAlignment="1">
      <alignment horizontal="center"/>
    </xf>
    <xf numFmtId="0" fontId="11" fillId="0" borderId="0" xfId="0" applyFont="1" applyAlignment="1">
      <alignment horizontal="center" vertical="center"/>
    </xf>
    <xf numFmtId="0" fontId="11" fillId="0" borderId="73" xfId="24" applyFont="1" applyFill="1" applyBorder="1" applyAlignment="1">
      <alignment horizontal="center" vertical="center" wrapText="1"/>
    </xf>
    <xf numFmtId="0" fontId="11" fillId="0" borderId="24" xfId="27" applyFont="1" applyFill="1" applyBorder="1" applyAlignment="1">
      <alignment vertical="center" wrapText="1"/>
    </xf>
    <xf numFmtId="14" fontId="11" fillId="0" borderId="24" xfId="27" applyNumberFormat="1" applyFont="1" applyFill="1" applyBorder="1" applyAlignment="1">
      <alignment horizontal="center" vertical="center"/>
    </xf>
    <xf numFmtId="3" fontId="11" fillId="0" borderId="24" xfId="26" applyNumberFormat="1" applyFont="1" applyFill="1" applyBorder="1" applyAlignment="1">
      <alignment horizontal="right" vertical="center"/>
    </xf>
    <xf numFmtId="0" fontId="11" fillId="0" borderId="17" xfId="27" applyFont="1" applyFill="1" applyBorder="1" applyAlignment="1">
      <alignment horizontal="center" vertical="center" wrapText="1"/>
    </xf>
    <xf numFmtId="0" fontId="11" fillId="0" borderId="45" xfId="27" applyFont="1" applyFill="1" applyBorder="1" applyAlignment="1">
      <alignment horizontal="center" vertical="center" wrapText="1"/>
    </xf>
    <xf numFmtId="0" fontId="11" fillId="0" borderId="0" xfId="31" applyFont="1" applyFill="1" applyBorder="1"/>
    <xf numFmtId="0" fontId="11" fillId="0" borderId="0" xfId="31" applyFont="1" applyFill="1" applyBorder="1" applyAlignment="1">
      <alignment horizontal="center" vertical="center"/>
    </xf>
    <xf numFmtId="0" fontId="11" fillId="0" borderId="0" xfId="31" applyFont="1" applyFill="1" applyBorder="1" applyAlignment="1"/>
    <xf numFmtId="0" fontId="11" fillId="0" borderId="16" xfId="31" applyFont="1" applyFill="1" applyBorder="1" applyAlignment="1">
      <alignment horizontal="center" vertical="center"/>
    </xf>
    <xf numFmtId="0" fontId="11" fillId="0" borderId="17" xfId="31" applyFont="1" applyFill="1" applyBorder="1" applyAlignment="1">
      <alignment horizontal="center" vertical="top"/>
    </xf>
    <xf numFmtId="0" fontId="11" fillId="0" borderId="17" xfId="21" applyFont="1" applyFill="1" applyBorder="1" applyAlignment="1">
      <alignment wrapText="1"/>
    </xf>
    <xf numFmtId="0" fontId="11" fillId="0" borderId="17" xfId="21" applyFont="1" applyFill="1" applyBorder="1" applyAlignment="1">
      <alignment vertical="top" wrapText="1"/>
    </xf>
    <xf numFmtId="0" fontId="11" fillId="0" borderId="0" xfId="31" applyFont="1" applyFill="1" applyBorder="1" applyAlignment="1">
      <alignment vertical="center"/>
    </xf>
    <xf numFmtId="0" fontId="11" fillId="0" borderId="17" xfId="31" applyFont="1" applyFill="1" applyBorder="1" applyAlignment="1">
      <alignment vertical="center" wrapText="1"/>
    </xf>
    <xf numFmtId="3" fontId="11" fillId="0" borderId="24" xfId="21" applyNumberFormat="1" applyFont="1" applyFill="1" applyBorder="1" applyAlignment="1">
      <alignment horizontal="right"/>
    </xf>
    <xf numFmtId="3" fontId="11" fillId="0" borderId="26" xfId="31" applyNumberFormat="1" applyFont="1" applyFill="1" applyBorder="1" applyAlignment="1">
      <alignment horizontal="right"/>
    </xf>
    <xf numFmtId="3" fontId="11" fillId="0" borderId="24" xfId="31" applyNumberFormat="1" applyFont="1" applyFill="1" applyBorder="1" applyAlignment="1">
      <alignment horizontal="right"/>
    </xf>
    <xf numFmtId="0" fontId="13" fillId="0" borderId="0" xfId="31" applyFont="1" applyFill="1" applyBorder="1" applyAlignment="1">
      <alignment vertical="center"/>
    </xf>
    <xf numFmtId="0" fontId="11" fillId="0" borderId="0" xfId="31" applyFont="1" applyFill="1" applyBorder="1" applyAlignment="1">
      <alignment horizontal="left"/>
    </xf>
    <xf numFmtId="3" fontId="11" fillId="0" borderId="17" xfId="31" applyNumberFormat="1" applyFont="1" applyFill="1" applyBorder="1" applyAlignment="1">
      <alignment horizontal="right"/>
    </xf>
    <xf numFmtId="3" fontId="11" fillId="0" borderId="23" xfId="31" applyNumberFormat="1" applyFont="1" applyFill="1" applyBorder="1" applyAlignment="1">
      <alignment horizontal="right"/>
    </xf>
    <xf numFmtId="3" fontId="11" fillId="0" borderId="0" xfId="32" applyNumberFormat="1" applyFont="1" applyFill="1" applyBorder="1" applyAlignment="1">
      <alignment horizontal="right"/>
    </xf>
    <xf numFmtId="3" fontId="11" fillId="0" borderId="0" xfId="32" applyNumberFormat="1" applyFont="1" applyFill="1" applyBorder="1" applyAlignment="1">
      <alignment horizontal="right" wrapText="1"/>
    </xf>
    <xf numFmtId="0" fontId="11" fillId="0" borderId="0" xfId="0" applyFont="1" applyFill="1" applyBorder="1" applyAlignment="1">
      <alignment horizontal="right"/>
    </xf>
    <xf numFmtId="3" fontId="22" fillId="0" borderId="53" xfId="0" applyNumberFormat="1" applyFont="1" applyFill="1" applyBorder="1" applyAlignment="1">
      <alignment vertical="center"/>
    </xf>
    <xf numFmtId="3" fontId="25" fillId="0" borderId="53" xfId="0" applyNumberFormat="1" applyFont="1" applyFill="1" applyBorder="1" applyAlignment="1">
      <alignment vertical="center"/>
    </xf>
    <xf numFmtId="3" fontId="25" fillId="0" borderId="77" xfId="0" applyNumberFormat="1" applyFont="1" applyFill="1" applyBorder="1" applyAlignment="1"/>
    <xf numFmtId="3" fontId="19" fillId="0" borderId="50" xfId="0" applyNumberFormat="1" applyFont="1" applyFill="1" applyBorder="1" applyAlignment="1"/>
    <xf numFmtId="3" fontId="22" fillId="0" borderId="18" xfId="0" applyNumberFormat="1" applyFont="1" applyFill="1" applyBorder="1" applyAlignment="1">
      <alignment horizontal="right" wrapText="1"/>
    </xf>
    <xf numFmtId="3" fontId="21" fillId="0" borderId="17" xfId="18" applyNumberFormat="1" applyFont="1" applyFill="1" applyBorder="1" applyAlignment="1">
      <alignment wrapText="1"/>
    </xf>
    <xf numFmtId="3" fontId="21" fillId="0" borderId="17" xfId="18" applyNumberFormat="1" applyFont="1" applyFill="1" applyBorder="1" applyAlignment="1">
      <alignment horizontal="left" wrapText="1"/>
    </xf>
    <xf numFmtId="3" fontId="21" fillId="0" borderId="17" xfId="18" applyNumberFormat="1" applyFont="1" applyFill="1" applyBorder="1" applyAlignment="1">
      <alignment horizontal="left" wrapText="1" indent="3"/>
    </xf>
    <xf numFmtId="3" fontId="22" fillId="0" borderId="17" xfId="0" applyNumberFormat="1" applyFont="1" applyFill="1" applyBorder="1" applyAlignment="1">
      <alignment horizontal="right" wrapText="1"/>
    </xf>
    <xf numFmtId="3" fontId="19" fillId="0" borderId="54" xfId="18" applyNumberFormat="1" applyFont="1" applyFill="1" applyBorder="1" applyAlignment="1">
      <alignment horizontal="center" vertical="center"/>
    </xf>
    <xf numFmtId="0" fontId="19" fillId="0" borderId="51" xfId="33" applyFont="1" applyFill="1" applyBorder="1" applyAlignment="1">
      <alignment wrapText="1"/>
    </xf>
    <xf numFmtId="3" fontId="22" fillId="0" borderId="78" xfId="18" applyNumberFormat="1" applyFont="1" applyFill="1" applyBorder="1" applyAlignment="1">
      <alignment horizontal="right" vertical="center"/>
    </xf>
    <xf numFmtId="3" fontId="19" fillId="0" borderId="51" xfId="0" applyNumberFormat="1" applyFont="1" applyFill="1" applyBorder="1" applyAlignment="1">
      <alignment horizontal="right" vertical="center" wrapText="1"/>
    </xf>
    <xf numFmtId="3" fontId="22" fillId="0" borderId="79" xfId="0" applyNumberFormat="1" applyFont="1" applyFill="1" applyBorder="1" applyAlignment="1">
      <alignment vertical="center"/>
    </xf>
    <xf numFmtId="3" fontId="19" fillId="0" borderId="15" xfId="0" applyNumberFormat="1" applyFont="1" applyFill="1" applyBorder="1" applyAlignment="1">
      <alignment horizontal="right" wrapText="1"/>
    </xf>
    <xf numFmtId="3" fontId="11" fillId="0" borderId="0" xfId="0" applyNumberFormat="1" applyFont="1" applyFill="1" applyAlignment="1">
      <alignment horizontal="right" vertical="center"/>
    </xf>
    <xf numFmtId="3" fontId="19" fillId="0" borderId="0" xfId="0" applyNumberFormat="1" applyFont="1" applyFill="1" applyBorder="1" applyAlignment="1">
      <alignment horizontal="center"/>
    </xf>
    <xf numFmtId="3" fontId="19" fillId="0" borderId="17" xfId="28" applyNumberFormat="1" applyFont="1" applyFill="1" applyBorder="1" applyAlignment="1"/>
    <xf numFmtId="3" fontId="19" fillId="0" borderId="17" xfId="28" applyNumberFormat="1" applyFont="1" applyFill="1" applyBorder="1" applyAlignment="1">
      <alignment horizontal="center"/>
    </xf>
    <xf numFmtId="3" fontId="19" fillId="0" borderId="24" xfId="28" applyNumberFormat="1" applyFont="1" applyFill="1" applyBorder="1" applyAlignment="1">
      <alignment horizontal="center"/>
    </xf>
    <xf numFmtId="3" fontId="19" fillId="0" borderId="26" xfId="0" applyNumberFormat="1" applyFont="1" applyFill="1" applyBorder="1" applyAlignment="1"/>
    <xf numFmtId="3" fontId="19" fillId="0" borderId="17" xfId="28" applyNumberFormat="1" applyFont="1" applyFill="1" applyBorder="1" applyAlignment="1">
      <alignment horizontal="center" vertical="top" wrapText="1"/>
    </xf>
    <xf numFmtId="3" fontId="22" fillId="0" borderId="24" xfId="0" applyNumberFormat="1" applyFont="1" applyFill="1" applyBorder="1" applyAlignment="1">
      <alignment horizontal="left"/>
    </xf>
    <xf numFmtId="3" fontId="22" fillId="0" borderId="43" xfId="28" applyNumberFormat="1" applyFont="1" applyFill="1" applyBorder="1" applyAlignment="1">
      <alignment horizontal="center"/>
    </xf>
    <xf numFmtId="3" fontId="22" fillId="0" borderId="43" xfId="0" applyNumberFormat="1" applyFont="1" applyFill="1" applyBorder="1" applyAlignment="1">
      <alignment vertical="center"/>
    </xf>
    <xf numFmtId="3" fontId="22" fillId="0" borderId="16" xfId="0" applyNumberFormat="1" applyFont="1" applyFill="1" applyBorder="1" applyAlignment="1">
      <alignment horizontal="center" vertical="center"/>
    </xf>
    <xf numFmtId="3" fontId="22" fillId="0" borderId="43" xfId="0" applyNumberFormat="1" applyFont="1" applyFill="1" applyBorder="1" applyAlignment="1">
      <alignment horizontal="center" vertical="center"/>
    </xf>
    <xf numFmtId="3" fontId="19" fillId="0" borderId="17" xfId="0" applyNumberFormat="1" applyFont="1" applyFill="1" applyBorder="1" applyAlignment="1">
      <alignment horizontal="center" vertical="center" wrapText="1"/>
    </xf>
    <xf numFmtId="0" fontId="32" fillId="0" borderId="0" xfId="0" applyFont="1" applyFill="1" applyAlignment="1">
      <alignment vertical="top"/>
    </xf>
    <xf numFmtId="0" fontId="11" fillId="0" borderId="17" xfId="31" applyFont="1" applyFill="1" applyBorder="1" applyAlignment="1">
      <alignment horizontal="center"/>
    </xf>
    <xf numFmtId="4" fontId="11" fillId="0" borderId="2" xfId="0" applyNumberFormat="1" applyFont="1" applyFill="1" applyBorder="1" applyAlignment="1">
      <alignment horizontal="center" vertical="center" wrapText="1"/>
    </xf>
    <xf numFmtId="4" fontId="11" fillId="0" borderId="0" xfId="0" applyNumberFormat="1" applyFont="1" applyFill="1" applyBorder="1" applyAlignment="1"/>
    <xf numFmtId="4" fontId="11" fillId="0" borderId="0" xfId="0" applyNumberFormat="1" applyFont="1" applyFill="1" applyBorder="1" applyAlignment="1">
      <alignment vertical="top"/>
    </xf>
    <xf numFmtId="4" fontId="13" fillId="0" borderId="6" xfId="0" applyNumberFormat="1" applyFont="1" applyFill="1" applyBorder="1" applyAlignment="1">
      <alignment vertical="center"/>
    </xf>
    <xf numFmtId="4" fontId="11" fillId="0" borderId="6" xfId="0" applyNumberFormat="1" applyFont="1" applyFill="1" applyBorder="1" applyAlignment="1">
      <alignment vertical="center"/>
    </xf>
    <xf numFmtId="0" fontId="13" fillId="0" borderId="66" xfId="0" applyFont="1" applyFill="1" applyBorder="1" applyAlignment="1">
      <alignment horizontal="left"/>
    </xf>
    <xf numFmtId="0" fontId="13" fillId="0" borderId="83" xfId="0" applyFont="1" applyFill="1" applyBorder="1" applyAlignment="1">
      <alignment horizontal="center"/>
    </xf>
    <xf numFmtId="3" fontId="13" fillId="0" borderId="84" xfId="0" applyNumberFormat="1" applyFont="1" applyFill="1" applyBorder="1" applyAlignment="1">
      <alignment horizontal="center" wrapText="1"/>
    </xf>
    <xf numFmtId="0" fontId="13" fillId="0" borderId="85" xfId="0" applyFont="1" applyFill="1" applyBorder="1" applyAlignment="1">
      <alignment horizontal="center"/>
    </xf>
    <xf numFmtId="0" fontId="13" fillId="0" borderId="11" xfId="0" applyFont="1" applyFill="1" applyBorder="1" applyAlignment="1">
      <alignment horizontal="center"/>
    </xf>
    <xf numFmtId="3" fontId="13" fillId="0" borderId="86" xfId="0" applyNumberFormat="1" applyFont="1" applyFill="1" applyBorder="1" applyAlignment="1">
      <alignment horizontal="center" wrapText="1"/>
    </xf>
    <xf numFmtId="3" fontId="11" fillId="0" borderId="87" xfId="0" applyNumberFormat="1" applyFont="1" applyFill="1" applyBorder="1"/>
    <xf numFmtId="0" fontId="11" fillId="0" borderId="88" xfId="0" applyFont="1" applyFill="1" applyBorder="1" applyAlignment="1">
      <alignment horizontal="center"/>
    </xf>
    <xf numFmtId="0" fontId="11" fillId="0" borderId="0" xfId="0" applyFont="1" applyFill="1" applyBorder="1" applyAlignment="1">
      <alignment wrapText="1"/>
    </xf>
    <xf numFmtId="0" fontId="11" fillId="0" borderId="88" xfId="0" applyFont="1" applyFill="1" applyBorder="1" applyAlignment="1">
      <alignment horizontal="center" vertical="top"/>
    </xf>
    <xf numFmtId="0" fontId="13" fillId="0" borderId="67" xfId="0" applyFont="1" applyFill="1" applyBorder="1" applyAlignment="1">
      <alignment horizontal="right" vertical="center"/>
    </xf>
    <xf numFmtId="0" fontId="13" fillId="0" borderId="8" xfId="0" applyFont="1" applyFill="1" applyBorder="1" applyAlignment="1">
      <alignment horizontal="left" vertical="center"/>
    </xf>
    <xf numFmtId="3" fontId="13" fillId="0" borderId="89" xfId="0" applyNumberFormat="1" applyFont="1" applyFill="1" applyBorder="1" applyAlignment="1">
      <alignment vertical="center"/>
    </xf>
    <xf numFmtId="3" fontId="13" fillId="0" borderId="90" xfId="0" applyNumberFormat="1" applyFont="1" applyFill="1" applyBorder="1" applyAlignment="1">
      <alignment horizontal="center" vertical="center"/>
    </xf>
    <xf numFmtId="0" fontId="13" fillId="0" borderId="4" xfId="0" applyFont="1" applyFill="1" applyBorder="1" applyAlignment="1">
      <alignment horizontal="left"/>
    </xf>
    <xf numFmtId="0" fontId="13" fillId="0" borderId="88" xfId="0" applyFont="1" applyFill="1" applyBorder="1" applyAlignment="1">
      <alignment horizontal="center"/>
    </xf>
    <xf numFmtId="0" fontId="11" fillId="0" borderId="0" xfId="0" applyFont="1" applyFill="1" applyBorder="1" applyAlignment="1">
      <alignment horizontal="left"/>
    </xf>
    <xf numFmtId="3" fontId="11" fillId="0" borderId="87" xfId="0" applyNumberFormat="1" applyFont="1" applyFill="1" applyBorder="1" applyAlignment="1">
      <alignment horizontal="right"/>
    </xf>
    <xf numFmtId="1" fontId="11" fillId="0" borderId="88" xfId="0" applyNumberFormat="1" applyFont="1" applyFill="1" applyBorder="1" applyAlignment="1">
      <alignment horizontal="center"/>
    </xf>
    <xf numFmtId="0" fontId="13" fillId="0" borderId="68" xfId="0" applyFont="1" applyFill="1" applyBorder="1" applyAlignment="1">
      <alignment horizontal="right" vertical="center"/>
    </xf>
    <xf numFmtId="0" fontId="13" fillId="0" borderId="34" xfId="0" applyFont="1" applyFill="1" applyBorder="1" applyAlignment="1">
      <alignment horizontal="left" vertical="center"/>
    </xf>
    <xf numFmtId="3" fontId="13" fillId="0" borderId="92" xfId="0" applyNumberFormat="1" applyFont="1" applyFill="1" applyBorder="1" applyAlignment="1">
      <alignment horizontal="center" vertical="center"/>
    </xf>
    <xf numFmtId="0" fontId="13" fillId="0" borderId="93" xfId="0" applyFont="1" applyFill="1" applyBorder="1" applyAlignment="1">
      <alignment vertical="center"/>
    </xf>
    <xf numFmtId="0" fontId="13" fillId="0" borderId="94" xfId="0" applyFont="1" applyFill="1" applyBorder="1" applyAlignment="1">
      <alignment horizontal="center" vertical="center"/>
    </xf>
    <xf numFmtId="0" fontId="13" fillId="0" borderId="95" xfId="0" applyFont="1" applyFill="1" applyBorder="1" applyAlignment="1">
      <alignment vertical="center"/>
    </xf>
    <xf numFmtId="0" fontId="11" fillId="0" borderId="4" xfId="0" applyFont="1" applyFill="1" applyBorder="1" applyAlignment="1">
      <alignment horizontal="right" vertical="center"/>
    </xf>
    <xf numFmtId="0" fontId="11" fillId="0" borderId="88" xfId="0" applyFont="1" applyFill="1" applyBorder="1" applyAlignment="1">
      <alignment horizontal="center" vertical="center"/>
    </xf>
    <xf numFmtId="0" fontId="11" fillId="0" borderId="92" xfId="0" applyFont="1" applyFill="1" applyBorder="1" applyAlignment="1">
      <alignment horizontal="center" vertical="center"/>
    </xf>
    <xf numFmtId="0" fontId="11" fillId="0" borderId="34" xfId="0" applyFont="1" applyFill="1" applyBorder="1" applyAlignment="1">
      <alignment vertical="center"/>
    </xf>
    <xf numFmtId="0" fontId="11" fillId="0" borderId="68" xfId="0" applyFont="1" applyFill="1" applyBorder="1" applyAlignment="1">
      <alignment horizontal="right" vertical="center"/>
    </xf>
    <xf numFmtId="0" fontId="13" fillId="0" borderId="92" xfId="0" applyFont="1" applyFill="1" applyBorder="1" applyAlignment="1">
      <alignment horizontal="right" vertical="center"/>
    </xf>
    <xf numFmtId="0" fontId="13" fillId="0" borderId="96" xfId="0" applyFont="1" applyFill="1" applyBorder="1" applyAlignment="1">
      <alignment horizontal="right" vertical="center"/>
    </xf>
    <xf numFmtId="0" fontId="13" fillId="0" borderId="97" xfId="0" applyFont="1" applyFill="1" applyBorder="1" applyAlignment="1">
      <alignment horizontal="left" vertical="center"/>
    </xf>
    <xf numFmtId="3" fontId="13" fillId="0" borderId="88" xfId="0" applyNumberFormat="1" applyFont="1" applyFill="1" applyBorder="1" applyAlignment="1">
      <alignment horizontal="center" vertical="center"/>
    </xf>
    <xf numFmtId="0" fontId="13" fillId="0" borderId="0" xfId="0" applyFont="1" applyFill="1" applyBorder="1" applyAlignment="1">
      <alignment horizontal="left" vertical="center"/>
    </xf>
    <xf numFmtId="0" fontId="13" fillId="0" borderId="4" xfId="0" applyFont="1" applyFill="1" applyBorder="1" applyAlignment="1">
      <alignment horizontal="right" vertical="center"/>
    </xf>
    <xf numFmtId="0" fontId="11" fillId="0" borderId="0" xfId="0" applyFont="1" applyFill="1" applyBorder="1" applyAlignment="1">
      <alignment horizontal="left" indent="2"/>
    </xf>
    <xf numFmtId="0" fontId="13" fillId="0" borderId="98" xfId="0" applyFont="1" applyFill="1" applyBorder="1" applyAlignment="1">
      <alignment horizontal="left" vertical="center"/>
    </xf>
    <xf numFmtId="0" fontId="13" fillId="0" borderId="0" xfId="0" applyFont="1" applyFill="1" applyBorder="1" applyAlignment="1">
      <alignment horizontal="left" vertical="center" wrapText="1"/>
    </xf>
    <xf numFmtId="0" fontId="13" fillId="0" borderId="99" xfId="0" applyFont="1" applyFill="1" applyBorder="1" applyAlignment="1">
      <alignment horizontal="right" vertical="center"/>
    </xf>
    <xf numFmtId="0" fontId="13" fillId="0" borderId="10" xfId="0" applyFont="1" applyFill="1" applyBorder="1" applyAlignment="1">
      <alignment horizontal="left" vertical="center" wrapText="1"/>
    </xf>
    <xf numFmtId="3" fontId="13" fillId="0" borderId="100" xfId="0" applyNumberFormat="1" applyFont="1" applyFill="1" applyBorder="1" applyAlignment="1">
      <alignment horizontal="center" vertical="center"/>
    </xf>
    <xf numFmtId="0" fontId="13" fillId="0" borderId="10" xfId="0" applyFont="1" applyFill="1" applyBorder="1" applyAlignment="1">
      <alignment horizontal="left" vertical="center"/>
    </xf>
    <xf numFmtId="0" fontId="11" fillId="0" borderId="4" xfId="0" applyFont="1" applyFill="1" applyBorder="1" applyAlignment="1">
      <alignment horizontal="right"/>
    </xf>
    <xf numFmtId="0" fontId="11" fillId="0" borderId="88" xfId="0" applyFont="1" applyFill="1" applyBorder="1" applyAlignment="1">
      <alignment horizontal="right"/>
    </xf>
    <xf numFmtId="0" fontId="11" fillId="0" borderId="5" xfId="0" applyFont="1" applyFill="1" applyBorder="1" applyAlignment="1">
      <alignment horizontal="right"/>
    </xf>
    <xf numFmtId="0" fontId="11" fillId="0" borderId="6" xfId="0" applyFont="1" applyFill="1" applyBorder="1"/>
    <xf numFmtId="0" fontId="11" fillId="0" borderId="101" xfId="0" applyFont="1" applyFill="1" applyBorder="1" applyAlignment="1">
      <alignment horizontal="right"/>
    </xf>
    <xf numFmtId="3" fontId="13" fillId="0" borderId="87" xfId="0" applyNumberFormat="1" applyFont="1" applyFill="1" applyBorder="1" applyAlignment="1">
      <alignment horizontal="right"/>
    </xf>
    <xf numFmtId="3" fontId="13" fillId="0" borderId="102" xfId="0" applyNumberFormat="1" applyFont="1" applyFill="1" applyBorder="1" applyAlignment="1">
      <alignment horizontal="right" vertical="center"/>
    </xf>
    <xf numFmtId="3" fontId="13" fillId="0" borderId="103" xfId="0" applyNumberFormat="1" applyFont="1" applyFill="1" applyBorder="1" applyAlignment="1">
      <alignment horizontal="right" vertical="center"/>
    </xf>
    <xf numFmtId="3" fontId="11" fillId="0" borderId="87" xfId="0" applyNumberFormat="1" applyFont="1" applyFill="1" applyBorder="1" applyAlignment="1">
      <alignment horizontal="right" vertical="center"/>
    </xf>
    <xf numFmtId="3" fontId="11" fillId="0" borderId="102" xfId="0" applyNumberFormat="1" applyFont="1" applyFill="1" applyBorder="1" applyAlignment="1">
      <alignment horizontal="right" vertical="center"/>
    </xf>
    <xf numFmtId="3" fontId="13" fillId="0" borderId="104" xfId="0" applyNumberFormat="1" applyFont="1" applyFill="1" applyBorder="1" applyAlignment="1">
      <alignment horizontal="right" vertical="center"/>
    </xf>
    <xf numFmtId="3" fontId="13" fillId="0" borderId="87" xfId="0" applyNumberFormat="1" applyFont="1" applyFill="1" applyBorder="1" applyAlignment="1">
      <alignment horizontal="right" vertical="center"/>
    </xf>
    <xf numFmtId="3" fontId="13" fillId="0" borderId="105" xfId="0" applyNumberFormat="1" applyFont="1" applyFill="1" applyBorder="1" applyAlignment="1">
      <alignment horizontal="right" vertical="center"/>
    </xf>
    <xf numFmtId="165" fontId="11" fillId="0" borderId="87" xfId="34" applyNumberFormat="1" applyFont="1" applyFill="1" applyBorder="1" applyAlignment="1">
      <alignment horizontal="right"/>
    </xf>
    <xf numFmtId="165" fontId="11" fillId="0" borderId="106" xfId="34" applyNumberFormat="1" applyFont="1" applyFill="1" applyBorder="1" applyAlignment="1">
      <alignment horizontal="right"/>
    </xf>
    <xf numFmtId="3" fontId="19" fillId="0" borderId="52" xfId="0" applyNumberFormat="1" applyFont="1" applyFill="1" applyBorder="1" applyAlignment="1">
      <alignment horizontal="right" vertical="center" wrapText="1"/>
    </xf>
    <xf numFmtId="3" fontId="19" fillId="0" borderId="39" xfId="0" applyNumberFormat="1" applyFont="1" applyFill="1" applyBorder="1" applyAlignment="1">
      <alignment horizontal="center"/>
    </xf>
    <xf numFmtId="3" fontId="19" fillId="0" borderId="39" xfId="0" applyNumberFormat="1" applyFont="1" applyFill="1" applyBorder="1" applyAlignment="1">
      <alignment horizontal="right"/>
    </xf>
    <xf numFmtId="3" fontId="22" fillId="0" borderId="39" xfId="0" applyNumberFormat="1" applyFont="1" applyFill="1" applyBorder="1" applyAlignment="1">
      <alignment horizontal="right"/>
    </xf>
    <xf numFmtId="3" fontId="32" fillId="0" borderId="0" xfId="0" applyNumberFormat="1" applyFont="1" applyFill="1" applyBorder="1" applyAlignment="1">
      <alignment vertical="center"/>
    </xf>
    <xf numFmtId="14" fontId="11" fillId="0" borderId="24" xfId="27" applyNumberFormat="1" applyFont="1" applyFill="1" applyBorder="1" applyAlignment="1">
      <alignment horizontal="center" vertical="center" wrapText="1"/>
    </xf>
    <xf numFmtId="0" fontId="11" fillId="0" borderId="0" xfId="27" applyFont="1" applyFill="1" applyAlignment="1">
      <alignment horizontal="center" vertical="center"/>
    </xf>
    <xf numFmtId="0" fontId="11" fillId="0" borderId="0" xfId="24" applyFont="1" applyFill="1" applyAlignment="1">
      <alignment horizontal="center"/>
    </xf>
    <xf numFmtId="0" fontId="11" fillId="0" borderId="0" xfId="27" applyFont="1" applyFill="1"/>
    <xf numFmtId="0" fontId="11" fillId="0" borderId="0" xfId="27" applyFont="1" applyFill="1" applyAlignment="1">
      <alignment vertical="center"/>
    </xf>
    <xf numFmtId="0" fontId="11" fillId="0" borderId="0" xfId="24" applyFont="1" applyFill="1" applyAlignment="1">
      <alignment horizontal="center" vertical="center"/>
    </xf>
    <xf numFmtId="0" fontId="11" fillId="0" borderId="0" xfId="25" applyFont="1" applyFill="1" applyAlignment="1">
      <alignment horizontal="center"/>
    </xf>
    <xf numFmtId="0" fontId="11" fillId="0" borderId="0" xfId="27" applyFont="1" applyFill="1" applyAlignment="1">
      <alignment horizontal="center"/>
    </xf>
    <xf numFmtId="0" fontId="11" fillId="0" borderId="27" xfId="27" applyFont="1" applyFill="1" applyBorder="1" applyAlignment="1">
      <alignment horizontal="center" vertical="top"/>
    </xf>
    <xf numFmtId="0" fontId="11" fillId="0" borderId="24" xfId="27" applyFont="1" applyFill="1" applyBorder="1" applyAlignment="1">
      <alignment horizontal="center" vertical="center" wrapText="1"/>
    </xf>
    <xf numFmtId="0" fontId="11" fillId="0" borderId="16" xfId="27" applyFont="1" applyFill="1" applyBorder="1" applyAlignment="1">
      <alignment horizontal="center" vertical="top"/>
    </xf>
    <xf numFmtId="0" fontId="11" fillId="0" borderId="17" xfId="27" applyFont="1" applyFill="1" applyBorder="1" applyAlignment="1">
      <alignment vertical="center" wrapText="1"/>
    </xf>
    <xf numFmtId="14" fontId="11" fillId="0" borderId="17" xfId="27" applyNumberFormat="1" applyFont="1" applyFill="1" applyBorder="1" applyAlignment="1">
      <alignment horizontal="center" vertical="center"/>
    </xf>
    <xf numFmtId="0" fontId="11" fillId="0" borderId="50" xfId="27" applyFont="1" applyFill="1" applyBorder="1" applyAlignment="1">
      <alignment horizontal="center" vertical="top"/>
    </xf>
    <xf numFmtId="0" fontId="11" fillId="0" borderId="45" xfId="27" applyFont="1" applyFill="1" applyBorder="1" applyAlignment="1">
      <alignment vertical="center" wrapText="1"/>
    </xf>
    <xf numFmtId="14" fontId="11" fillId="0" borderId="45" xfId="27" applyNumberFormat="1" applyFont="1" applyFill="1" applyBorder="1" applyAlignment="1">
      <alignment horizontal="center" vertical="center"/>
    </xf>
    <xf numFmtId="0" fontId="11" fillId="0" borderId="0" xfId="24" applyFont="1" applyFill="1"/>
    <xf numFmtId="3" fontId="11" fillId="0" borderId="0" xfId="36" applyNumberFormat="1" applyFont="1" applyFill="1" applyBorder="1" applyAlignment="1">
      <alignment vertical="center"/>
    </xf>
    <xf numFmtId="3" fontId="13" fillId="0" borderId="0" xfId="36" applyNumberFormat="1" applyFont="1" applyFill="1" applyBorder="1" applyAlignment="1">
      <alignment vertical="center"/>
    </xf>
    <xf numFmtId="0" fontId="13" fillId="0" borderId="0" xfId="20" applyFont="1" applyFill="1" applyAlignment="1">
      <alignment vertical="center"/>
    </xf>
    <xf numFmtId="0" fontId="11" fillId="0" borderId="0" xfId="20" applyFont="1" applyFill="1" applyAlignment="1">
      <alignment vertical="center"/>
    </xf>
    <xf numFmtId="3" fontId="19" fillId="0" borderId="17" xfId="18" applyNumberFormat="1" applyFont="1" applyFill="1" applyBorder="1" applyAlignment="1">
      <alignment horizontal="center" vertical="top"/>
    </xf>
    <xf numFmtId="3" fontId="19" fillId="0" borderId="17" xfId="18" applyNumberFormat="1" applyFont="1" applyFill="1" applyBorder="1" applyAlignment="1">
      <alignment shrinkToFit="1"/>
    </xf>
    <xf numFmtId="0" fontId="11" fillId="0" borderId="110" xfId="0" applyFont="1" applyFill="1" applyBorder="1" applyAlignment="1">
      <alignment horizontal="center" vertical="center"/>
    </xf>
    <xf numFmtId="164" fontId="13" fillId="0" borderId="39" xfId="0" applyNumberFormat="1" applyFont="1" applyFill="1" applyBorder="1" applyAlignment="1">
      <alignment vertical="center" wrapText="1"/>
    </xf>
    <xf numFmtId="4" fontId="13" fillId="0" borderId="39" xfId="0" applyNumberFormat="1" applyFont="1" applyFill="1" applyBorder="1" applyAlignment="1">
      <alignment vertical="center"/>
    </xf>
    <xf numFmtId="4" fontId="20" fillId="0" borderId="111" xfId="0" applyNumberFormat="1" applyFont="1" applyFill="1" applyBorder="1" applyAlignment="1">
      <alignment horizontal="center" vertical="center"/>
    </xf>
    <xf numFmtId="164" fontId="11" fillId="0" borderId="0" xfId="28" applyNumberFormat="1" applyFont="1" applyFill="1" applyBorder="1" applyAlignment="1">
      <alignment wrapText="1"/>
    </xf>
    <xf numFmtId="0" fontId="11" fillId="0" borderId="112" xfId="0" applyFont="1" applyFill="1" applyBorder="1" applyAlignment="1">
      <alignment horizontal="center"/>
    </xf>
    <xf numFmtId="164" fontId="11" fillId="0" borderId="0" xfId="0" applyNumberFormat="1" applyFont="1" applyFill="1" applyBorder="1" applyAlignment="1">
      <alignment horizontal="left" vertical="top" wrapText="1"/>
    </xf>
    <xf numFmtId="164" fontId="11" fillId="0" borderId="0" xfId="28" applyNumberFormat="1" applyFont="1" applyFill="1" applyBorder="1" applyAlignment="1">
      <alignment vertical="top" wrapText="1"/>
    </xf>
    <xf numFmtId="0" fontId="11" fillId="0" borderId="0" xfId="0" applyFont="1" applyFill="1" applyBorder="1" applyAlignment="1">
      <alignment vertical="top" wrapText="1"/>
    </xf>
    <xf numFmtId="3" fontId="22" fillId="0" borderId="79" xfId="18" applyNumberFormat="1" applyFont="1" applyFill="1" applyBorder="1" applyAlignment="1">
      <alignment horizontal="right"/>
    </xf>
    <xf numFmtId="3" fontId="22" fillId="0" borderId="114" xfId="18" applyNumberFormat="1" applyFont="1" applyFill="1" applyBorder="1" applyAlignment="1">
      <alignment horizontal="right"/>
    </xf>
    <xf numFmtId="3" fontId="22" fillId="0" borderId="114" xfId="18" applyNumberFormat="1" applyFont="1" applyFill="1" applyBorder="1" applyAlignment="1">
      <alignment horizontal="right" vertical="center"/>
    </xf>
    <xf numFmtId="3" fontId="25" fillId="0" borderId="114" xfId="18" applyNumberFormat="1" applyFont="1" applyFill="1" applyBorder="1" applyAlignment="1">
      <alignment horizontal="right"/>
    </xf>
    <xf numFmtId="3" fontId="25" fillId="0" borderId="114" xfId="18" applyNumberFormat="1" applyFont="1" applyFill="1" applyBorder="1" applyAlignment="1">
      <alignment horizontal="right" vertical="center"/>
    </xf>
    <xf numFmtId="3" fontId="22" fillId="0" borderId="116" xfId="0" applyNumberFormat="1" applyFont="1" applyFill="1" applyBorder="1" applyAlignment="1">
      <alignment horizontal="right"/>
    </xf>
    <xf numFmtId="0" fontId="13" fillId="0" borderId="8" xfId="0" applyFont="1" applyFill="1" applyBorder="1" applyAlignment="1">
      <alignment vertical="center"/>
    </xf>
    <xf numFmtId="0" fontId="11" fillId="0" borderId="10" xfId="0" applyFont="1" applyFill="1" applyBorder="1" applyAlignment="1">
      <alignment horizontal="left" wrapText="1" indent="1"/>
    </xf>
    <xf numFmtId="3" fontId="15" fillId="0" borderId="0" xfId="0" applyNumberFormat="1" applyFont="1" applyFill="1" applyBorder="1" applyAlignment="1">
      <alignment horizontal="center"/>
    </xf>
    <xf numFmtId="3" fontId="22" fillId="0" borderId="79" xfId="0" applyNumberFormat="1" applyFont="1" applyFill="1" applyBorder="1" applyAlignment="1">
      <alignment horizontal="right"/>
    </xf>
    <xf numFmtId="3" fontId="22" fillId="0" borderId="16" xfId="18" applyNumberFormat="1" applyFont="1" applyFill="1" applyBorder="1" applyAlignment="1">
      <alignment horizontal="center" vertical="center"/>
    </xf>
    <xf numFmtId="3" fontId="22" fillId="0" borderId="24" xfId="18" applyNumberFormat="1" applyFont="1" applyFill="1" applyBorder="1" applyAlignment="1">
      <alignment wrapText="1"/>
    </xf>
    <xf numFmtId="3" fontId="22" fillId="0" borderId="17" xfId="18" applyNumberFormat="1" applyFont="1" applyFill="1" applyBorder="1" applyAlignment="1">
      <alignment wrapText="1"/>
    </xf>
    <xf numFmtId="3" fontId="22" fillId="0" borderId="16" xfId="18" applyNumberFormat="1" applyFont="1" applyFill="1" applyBorder="1" applyAlignment="1">
      <alignment horizontal="center"/>
    </xf>
    <xf numFmtId="3" fontId="25" fillId="0" borderId="16" xfId="18" applyNumberFormat="1" applyFont="1" applyFill="1" applyBorder="1" applyAlignment="1">
      <alignment horizontal="center" vertical="center"/>
    </xf>
    <xf numFmtId="3" fontId="13" fillId="0" borderId="17" xfId="18" applyNumberFormat="1" applyFont="1" applyFill="1" applyBorder="1" applyAlignment="1">
      <alignment shrinkToFit="1"/>
    </xf>
    <xf numFmtId="3" fontId="22" fillId="0" borderId="17" xfId="18" applyNumberFormat="1" applyFont="1" applyFill="1" applyBorder="1" applyAlignment="1">
      <alignment horizontal="left" wrapText="1"/>
    </xf>
    <xf numFmtId="3" fontId="22" fillId="0" borderId="24" xfId="18" applyNumberFormat="1" applyFont="1" applyFill="1" applyBorder="1" applyAlignment="1">
      <alignment horizontal="right" vertical="center"/>
    </xf>
    <xf numFmtId="1" fontId="27" fillId="0" borderId="0" xfId="18" applyNumberFormat="1" applyFont="1" applyFill="1" applyBorder="1" applyAlignment="1">
      <alignment horizontal="center" vertical="center"/>
    </xf>
    <xf numFmtId="1" fontId="27" fillId="0" borderId="0" xfId="18" applyNumberFormat="1" applyFont="1" applyFill="1" applyBorder="1" applyAlignment="1">
      <alignment horizontal="left" vertical="center"/>
    </xf>
    <xf numFmtId="3" fontId="11" fillId="0" borderId="0" xfId="31" applyNumberFormat="1" applyFont="1" applyFill="1" applyBorder="1" applyAlignment="1">
      <alignment vertical="center"/>
    </xf>
    <xf numFmtId="0" fontId="14" fillId="0" borderId="0" xfId="31" applyFont="1" applyFill="1" applyBorder="1" applyAlignment="1">
      <alignment horizontal="right" vertical="center"/>
    </xf>
    <xf numFmtId="0" fontId="11" fillId="0" borderId="6" xfId="31" applyFont="1" applyFill="1" applyBorder="1" applyAlignment="1">
      <alignment horizontal="center" vertical="center"/>
    </xf>
    <xf numFmtId="0" fontId="11" fillId="0" borderId="0" xfId="19" applyFont="1" applyFill="1" applyBorder="1" applyAlignment="1">
      <alignment vertical="center"/>
    </xf>
    <xf numFmtId="0" fontId="11" fillId="0" borderId="43" xfId="31" applyFont="1" applyFill="1" applyBorder="1" applyAlignment="1">
      <alignment horizontal="left" vertical="center" wrapText="1"/>
    </xf>
    <xf numFmtId="0" fontId="11" fillId="0" borderId="0" xfId="30" applyFont="1" applyFill="1" applyBorder="1" applyAlignment="1">
      <alignment vertical="center"/>
    </xf>
    <xf numFmtId="0" fontId="11" fillId="0" borderId="17" xfId="31" applyFont="1" applyFill="1" applyBorder="1" applyAlignment="1">
      <alignment horizontal="left" vertical="center" wrapText="1"/>
    </xf>
    <xf numFmtId="3" fontId="11" fillId="0" borderId="17" xfId="30" applyNumberFormat="1" applyFont="1" applyFill="1" applyBorder="1" applyAlignment="1">
      <alignment vertical="center"/>
    </xf>
    <xf numFmtId="3" fontId="11" fillId="0" borderId="17" xfId="31" applyNumberFormat="1" applyFont="1" applyFill="1" applyBorder="1" applyAlignment="1">
      <alignment vertical="center"/>
    </xf>
    <xf numFmtId="3" fontId="11" fillId="0" borderId="17" xfId="31" applyNumberFormat="1" applyFont="1" applyFill="1" applyBorder="1" applyAlignment="1">
      <alignment horizontal="right" vertical="center" wrapText="1"/>
    </xf>
    <xf numFmtId="3" fontId="13" fillId="0" borderId="118" xfId="31" applyNumberFormat="1" applyFont="1" applyFill="1" applyBorder="1" applyAlignment="1">
      <alignment horizontal="right" vertical="center" wrapText="1"/>
    </xf>
    <xf numFmtId="3" fontId="13" fillId="0" borderId="53" xfId="31" applyNumberFormat="1" applyFont="1" applyFill="1" applyBorder="1" applyAlignment="1">
      <alignment horizontal="right" vertical="center" wrapText="1"/>
    </xf>
    <xf numFmtId="0" fontId="11" fillId="0" borderId="0" xfId="31" applyFont="1" applyFill="1" applyBorder="1" applyAlignment="1">
      <alignment vertical="center" wrapText="1"/>
    </xf>
    <xf numFmtId="3" fontId="19" fillId="0" borderId="57" xfId="18" applyNumberFormat="1" applyFont="1" applyFill="1" applyBorder="1" applyAlignment="1">
      <alignment horizontal="center"/>
    </xf>
    <xf numFmtId="3" fontId="21" fillId="0" borderId="57" xfId="18" applyNumberFormat="1" applyFont="1" applyFill="1" applyBorder="1" applyAlignment="1">
      <alignment horizontal="center"/>
    </xf>
    <xf numFmtId="3" fontId="19" fillId="0" borderId="77" xfId="18" applyNumberFormat="1" applyFont="1" applyFill="1" applyBorder="1" applyAlignment="1">
      <alignment horizontal="center"/>
    </xf>
    <xf numFmtId="3" fontId="19" fillId="0" borderId="119" xfId="0" applyNumberFormat="1" applyFont="1" applyFill="1" applyBorder="1" applyAlignment="1">
      <alignment horizontal="center" wrapText="1"/>
    </xf>
    <xf numFmtId="3" fontId="19" fillId="0" borderId="57" xfId="0" applyNumberFormat="1" applyFont="1" applyFill="1" applyBorder="1" applyAlignment="1">
      <alignment horizontal="center" wrapText="1"/>
    </xf>
    <xf numFmtId="0" fontId="11" fillId="0" borderId="0" xfId="23" applyFont="1" applyFill="1" applyBorder="1" applyAlignment="1">
      <alignment horizontal="center" vertical="top"/>
    </xf>
    <xf numFmtId="0" fontId="13" fillId="0" borderId="0" xfId="23" applyFont="1" applyFill="1" applyBorder="1" applyAlignment="1">
      <alignment vertical="top"/>
    </xf>
    <xf numFmtId="0" fontId="11" fillId="0" borderId="0" xfId="23" applyFont="1" applyFill="1" applyBorder="1" applyAlignment="1">
      <alignment vertical="top"/>
    </xf>
    <xf numFmtId="0" fontId="11" fillId="0" borderId="0" xfId="23" applyFont="1" applyFill="1" applyBorder="1" applyAlignment="1"/>
    <xf numFmtId="0" fontId="11" fillId="0" borderId="0" xfId="23" applyFont="1" applyFill="1" applyBorder="1" applyAlignment="1">
      <alignment vertical="center"/>
    </xf>
    <xf numFmtId="0" fontId="11" fillId="0" borderId="0" xfId="23" applyFont="1" applyFill="1" applyBorder="1" applyAlignment="1">
      <alignment horizontal="center" vertical="center"/>
    </xf>
    <xf numFmtId="0" fontId="13" fillId="0" borderId="0" xfId="23" applyFont="1" applyFill="1" applyBorder="1" applyAlignment="1">
      <alignment horizontal="right" vertical="center"/>
    </xf>
    <xf numFmtId="0" fontId="13" fillId="0" borderId="0" xfId="23" applyFont="1" applyFill="1" applyBorder="1" applyAlignment="1">
      <alignment vertical="center"/>
    </xf>
    <xf numFmtId="3" fontId="19" fillId="0" borderId="120" xfId="0" applyNumberFormat="1" applyFont="1" applyFill="1" applyBorder="1" applyAlignment="1">
      <alignment horizontal="right" wrapText="1"/>
    </xf>
    <xf numFmtId="3" fontId="11" fillId="0" borderId="0" xfId="23" applyNumberFormat="1" applyFont="1" applyFill="1" applyBorder="1" applyAlignment="1">
      <alignment horizontal="center"/>
    </xf>
    <xf numFmtId="3" fontId="0" fillId="0" borderId="0" xfId="0" applyNumberFormat="1" applyFont="1" applyFill="1"/>
    <xf numFmtId="3" fontId="19" fillId="0" borderId="17" xfId="28" applyNumberFormat="1" applyFont="1" applyFill="1" applyBorder="1" applyAlignment="1">
      <alignment horizontal="center" vertical="center" wrapText="1"/>
    </xf>
    <xf numFmtId="3" fontId="21" fillId="0" borderId="0" xfId="18" applyNumberFormat="1" applyFont="1" applyFill="1" applyAlignment="1">
      <alignment horizontal="center" vertical="center"/>
    </xf>
    <xf numFmtId="3" fontId="19" fillId="0" borderId="0" xfId="18" applyNumberFormat="1" applyFont="1" applyFill="1" applyAlignment="1">
      <alignment horizontal="center" vertical="center"/>
    </xf>
    <xf numFmtId="49" fontId="15" fillId="0" borderId="19" xfId="0" applyNumberFormat="1" applyFont="1" applyFill="1" applyBorder="1" applyAlignment="1">
      <alignment horizontal="center" wrapText="1"/>
    </xf>
    <xf numFmtId="0" fontId="11" fillId="0" borderId="16" xfId="31" applyFont="1" applyFill="1" applyBorder="1" applyAlignment="1">
      <alignment horizontal="center"/>
    </xf>
    <xf numFmtId="3" fontId="21" fillId="0" borderId="27" xfId="18" applyNumberFormat="1" applyFont="1" applyFill="1" applyBorder="1" applyAlignment="1">
      <alignment horizontal="center" vertical="center"/>
    </xf>
    <xf numFmtId="3" fontId="21" fillId="0" borderId="77" xfId="18" applyNumberFormat="1" applyFont="1" applyFill="1" applyBorder="1" applyAlignment="1">
      <alignment horizontal="center"/>
    </xf>
    <xf numFmtId="3" fontId="21" fillId="0" borderId="24" xfId="0" applyNumberFormat="1" applyFont="1" applyFill="1" applyBorder="1" applyAlignment="1">
      <alignment horizontal="right" wrapText="1"/>
    </xf>
    <xf numFmtId="3" fontId="21" fillId="0" borderId="25" xfId="0" applyNumberFormat="1" applyFont="1" applyFill="1" applyBorder="1" applyAlignment="1">
      <alignment horizontal="right" wrapText="1"/>
    </xf>
    <xf numFmtId="3" fontId="19" fillId="0" borderId="77" xfId="18" applyNumberFormat="1" applyFont="1" applyFill="1" applyBorder="1" applyAlignment="1">
      <alignment horizontal="center" vertical="center"/>
    </xf>
    <xf numFmtId="3" fontId="19" fillId="0" borderId="24" xfId="0" applyNumberFormat="1" applyFont="1" applyFill="1" applyBorder="1" applyAlignment="1">
      <alignment horizontal="right" vertical="center" wrapText="1"/>
    </xf>
    <xf numFmtId="3" fontId="22" fillId="0" borderId="17" xfId="18" applyNumberFormat="1" applyFont="1" applyFill="1" applyBorder="1" applyAlignment="1">
      <alignment horizontal="right" vertical="center"/>
    </xf>
    <xf numFmtId="3" fontId="19" fillId="0" borderId="57" xfId="18" applyNumberFormat="1" applyFont="1" applyFill="1" applyBorder="1" applyAlignment="1">
      <alignment horizontal="center" vertical="center"/>
    </xf>
    <xf numFmtId="3" fontId="15" fillId="0" borderId="0" xfId="0" applyNumberFormat="1" applyFont="1" applyFill="1" applyBorder="1" applyAlignment="1">
      <alignment vertical="top"/>
    </xf>
    <xf numFmtId="3" fontId="19" fillId="0" borderId="25" xfId="0" applyNumberFormat="1" applyFont="1" applyFill="1" applyBorder="1" applyAlignment="1">
      <alignment horizontal="right" vertical="center" wrapText="1"/>
    </xf>
    <xf numFmtId="0" fontId="11" fillId="0" borderId="0" xfId="0" applyFont="1" applyFill="1" applyBorder="1" applyAlignment="1">
      <alignment horizontal="left" vertical="center"/>
    </xf>
    <xf numFmtId="0" fontId="13" fillId="0" borderId="0" xfId="23" applyFont="1" applyFill="1" applyBorder="1" applyAlignment="1">
      <alignment horizontal="center" vertical="center"/>
    </xf>
    <xf numFmtId="0" fontId="11" fillId="0" borderId="0" xfId="23" applyFont="1" applyFill="1" applyBorder="1" applyAlignment="1">
      <alignment horizontal="center"/>
    </xf>
    <xf numFmtId="0" fontId="11" fillId="0" borderId="0" xfId="23" applyFont="1" applyFill="1" applyBorder="1" applyAlignment="1">
      <alignment horizontal="center" vertical="center" wrapText="1"/>
    </xf>
    <xf numFmtId="0" fontId="13" fillId="0" borderId="29" xfId="0" applyFont="1" applyBorder="1" applyAlignment="1">
      <alignment horizontal="center" vertical="center" wrapText="1"/>
    </xf>
    <xf numFmtId="3" fontId="11" fillId="0" borderId="23" xfId="31" applyNumberFormat="1" applyFont="1" applyFill="1" applyBorder="1" applyAlignment="1">
      <alignment vertical="center"/>
    </xf>
    <xf numFmtId="3" fontId="11" fillId="0" borderId="0" xfId="12" applyNumberFormat="1" applyFont="1" applyFill="1" applyBorder="1" applyAlignment="1">
      <alignment horizontal="right"/>
    </xf>
    <xf numFmtId="3" fontId="11" fillId="0" borderId="123" xfId="22" applyNumberFormat="1" applyFont="1" applyBorder="1" applyAlignment="1">
      <alignment horizontal="center" vertical="center" wrapText="1"/>
    </xf>
    <xf numFmtId="3" fontId="11" fillId="0" borderId="124" xfId="22" applyNumberFormat="1" applyFont="1" applyBorder="1" applyAlignment="1">
      <alignment horizontal="right" vertical="center" wrapText="1"/>
    </xf>
    <xf numFmtId="0" fontId="11" fillId="0" borderId="36" xfId="21" applyFont="1" applyFill="1" applyBorder="1" applyAlignment="1">
      <alignment wrapText="1"/>
    </xf>
    <xf numFmtId="3" fontId="11" fillId="0" borderId="43" xfId="30" applyNumberFormat="1" applyFont="1" applyFill="1" applyBorder="1" applyAlignment="1">
      <alignment vertical="center" wrapText="1"/>
    </xf>
    <xf numFmtId="3" fontId="11" fillId="0" borderId="118" xfId="30" applyNumberFormat="1" applyFont="1" applyFill="1" applyBorder="1" applyAlignment="1">
      <alignment vertical="center"/>
    </xf>
    <xf numFmtId="3" fontId="11" fillId="0" borderId="80" xfId="30" applyNumberFormat="1" applyFont="1" applyFill="1" applyBorder="1" applyAlignment="1">
      <alignment vertical="center"/>
    </xf>
    <xf numFmtId="3" fontId="11" fillId="0" borderId="23" xfId="30" applyNumberFormat="1" applyFont="1" applyFill="1" applyBorder="1" applyAlignment="1">
      <alignment vertical="center"/>
    </xf>
    <xf numFmtId="3" fontId="11" fillId="0" borderId="17" xfId="30" applyNumberFormat="1" applyFont="1" applyFill="1" applyBorder="1" applyAlignment="1">
      <alignment vertical="center" wrapText="1"/>
    </xf>
    <xf numFmtId="3" fontId="11" fillId="0" borderId="23" xfId="31" applyNumberFormat="1" applyFont="1" applyFill="1" applyBorder="1" applyAlignment="1">
      <alignment horizontal="right" vertical="center" wrapText="1"/>
    </xf>
    <xf numFmtId="0" fontId="11" fillId="0" borderId="45" xfId="31" applyFont="1" applyFill="1" applyBorder="1" applyAlignment="1">
      <alignment vertical="center" wrapText="1"/>
    </xf>
    <xf numFmtId="3" fontId="11" fillId="0" borderId="45" xfId="31" applyNumberFormat="1" applyFont="1" applyFill="1" applyBorder="1" applyAlignment="1">
      <alignment horizontal="right" vertical="center" wrapText="1"/>
    </xf>
    <xf numFmtId="164" fontId="11" fillId="0" borderId="125" xfId="28" applyNumberFormat="1" applyFont="1" applyFill="1" applyBorder="1" applyAlignment="1">
      <alignment wrapText="1"/>
    </xf>
    <xf numFmtId="4" fontId="11" fillId="0" borderId="125" xfId="0" applyNumberFormat="1" applyFont="1" applyFill="1" applyBorder="1" applyAlignment="1">
      <alignment vertical="center"/>
    </xf>
    <xf numFmtId="4" fontId="15" fillId="0" borderId="126" xfId="0" applyNumberFormat="1" applyFont="1" applyFill="1" applyBorder="1" applyAlignment="1">
      <alignment horizontal="center" vertical="center"/>
    </xf>
    <xf numFmtId="3" fontId="11" fillId="0" borderId="0" xfId="17" applyNumberFormat="1" applyFont="1" applyFill="1" applyBorder="1" applyAlignment="1">
      <alignment horizontal="left" wrapText="1" indent="3"/>
    </xf>
    <xf numFmtId="3" fontId="11" fillId="0" borderId="0" xfId="17" applyNumberFormat="1" applyFont="1" applyFill="1" applyBorder="1" applyAlignment="1">
      <alignment vertical="center"/>
    </xf>
    <xf numFmtId="0" fontId="11" fillId="0" borderId="17" xfId="31" applyFont="1" applyFill="1" applyBorder="1" applyAlignment="1">
      <alignment horizontal="left" vertical="top" wrapText="1"/>
    </xf>
    <xf numFmtId="3" fontId="11" fillId="0" borderId="127" xfId="30" applyNumberFormat="1" applyFont="1" applyFill="1" applyBorder="1" applyAlignment="1">
      <alignment vertical="center"/>
    </xf>
    <xf numFmtId="3" fontId="11" fillId="0" borderId="114" xfId="30" applyNumberFormat="1" applyFont="1" applyFill="1" applyBorder="1" applyAlignment="1">
      <alignment vertical="center"/>
    </xf>
    <xf numFmtId="3" fontId="11" fillId="0" borderId="114" xfId="31" applyNumberFormat="1" applyFont="1" applyFill="1" applyBorder="1" applyAlignment="1">
      <alignment vertical="center"/>
    </xf>
    <xf numFmtId="3" fontId="11" fillId="0" borderId="114" xfId="31" applyNumberFormat="1" applyFont="1" applyFill="1" applyBorder="1" applyAlignment="1">
      <alignment horizontal="right" vertical="center" wrapText="1"/>
    </xf>
    <xf numFmtId="3" fontId="11" fillId="0" borderId="128" xfId="31" applyNumberFormat="1" applyFont="1" applyFill="1" applyBorder="1" applyAlignment="1">
      <alignment horizontal="right" vertical="center" wrapText="1"/>
    </xf>
    <xf numFmtId="3" fontId="13" fillId="0" borderId="129" xfId="31" applyNumberFormat="1" applyFont="1" applyFill="1" applyBorder="1" applyAlignment="1">
      <alignment horizontal="right" vertical="center" wrapText="1"/>
    </xf>
    <xf numFmtId="3" fontId="13" fillId="0" borderId="130" xfId="31" applyNumberFormat="1" applyFont="1" applyFill="1" applyBorder="1" applyAlignment="1">
      <alignment horizontal="right" vertical="center" wrapText="1"/>
    </xf>
    <xf numFmtId="3" fontId="11" fillId="0" borderId="44" xfId="30" applyNumberFormat="1" applyFont="1" applyFill="1" applyBorder="1" applyAlignment="1">
      <alignment vertical="center"/>
    </xf>
    <xf numFmtId="3" fontId="11" fillId="0" borderId="18" xfId="30" applyNumberFormat="1" applyFont="1" applyFill="1" applyBorder="1" applyAlignment="1">
      <alignment vertical="center"/>
    </xf>
    <xf numFmtId="3" fontId="11" fillId="0" borderId="18" xfId="31" applyNumberFormat="1" applyFont="1" applyFill="1" applyBorder="1" applyAlignment="1">
      <alignment vertical="center"/>
    </xf>
    <xf numFmtId="3" fontId="11" fillId="0" borderId="18" xfId="31" applyNumberFormat="1" applyFont="1" applyFill="1" applyBorder="1" applyAlignment="1">
      <alignment horizontal="right" vertical="center" wrapText="1"/>
    </xf>
    <xf numFmtId="3" fontId="21" fillId="0" borderId="27" xfId="18" applyNumberFormat="1" applyFont="1" applyFill="1" applyBorder="1" applyAlignment="1">
      <alignment horizontal="center"/>
    </xf>
    <xf numFmtId="3" fontId="14" fillId="0" borderId="0" xfId="18" applyNumberFormat="1" applyFont="1" applyFill="1" applyAlignment="1">
      <alignment horizontal="center"/>
    </xf>
    <xf numFmtId="3" fontId="19" fillId="0" borderId="107" xfId="18" applyNumberFormat="1" applyFont="1" applyFill="1" applyBorder="1" applyAlignment="1">
      <alignment horizontal="center" vertical="center"/>
    </xf>
    <xf numFmtId="3" fontId="19" fillId="0" borderId="131" xfId="18" applyNumberFormat="1" applyFont="1" applyFill="1" applyBorder="1" applyAlignment="1">
      <alignment horizontal="center"/>
    </xf>
    <xf numFmtId="0" fontId="15" fillId="0" borderId="0" xfId="18" applyNumberFormat="1" applyFont="1" applyFill="1" applyBorder="1" applyAlignment="1">
      <alignment horizontal="center" vertical="center"/>
    </xf>
    <xf numFmtId="0" fontId="16" fillId="0" borderId="0" xfId="0" applyFont="1" applyFill="1" applyAlignment="1">
      <alignment vertical="center"/>
    </xf>
    <xf numFmtId="0" fontId="14" fillId="0" borderId="0" xfId="23" applyFont="1" applyFill="1" applyBorder="1" applyAlignment="1">
      <alignment horizontal="right" vertical="center" wrapText="1"/>
    </xf>
    <xf numFmtId="0" fontId="11" fillId="0" borderId="6" xfId="23" applyFont="1" applyFill="1" applyBorder="1" applyAlignment="1">
      <alignment horizontal="center"/>
    </xf>
    <xf numFmtId="2" fontId="13" fillId="0" borderId="12" xfId="23" applyNumberFormat="1" applyFont="1" applyFill="1" applyBorder="1" applyAlignment="1">
      <alignment horizontal="center" vertical="center" wrapText="1"/>
    </xf>
    <xf numFmtId="0" fontId="11" fillId="0" borderId="133" xfId="24" applyFont="1" applyFill="1" applyBorder="1" applyAlignment="1">
      <alignment horizontal="center" vertical="center" wrapText="1"/>
    </xf>
    <xf numFmtId="3" fontId="11" fillId="0" borderId="25" xfId="26" applyNumberFormat="1" applyFont="1" applyFill="1" applyBorder="1" applyAlignment="1">
      <alignment horizontal="right" vertical="center"/>
    </xf>
    <xf numFmtId="3" fontId="19" fillId="0" borderId="51" xfId="18" applyNumberFormat="1" applyFont="1" applyFill="1" applyBorder="1" applyAlignment="1">
      <alignment horizontal="right"/>
    </xf>
    <xf numFmtId="3" fontId="19" fillId="0" borderId="108" xfId="18" applyNumberFormat="1" applyFont="1" applyFill="1" applyBorder="1" applyAlignment="1">
      <alignment horizontal="right"/>
    </xf>
    <xf numFmtId="3" fontId="19" fillId="0" borderId="137" xfId="18" applyNumberFormat="1" applyFont="1" applyFill="1" applyBorder="1" applyAlignment="1">
      <alignment horizontal="right"/>
    </xf>
    <xf numFmtId="0" fontId="13" fillId="0" borderId="0" xfId="31" applyFont="1" applyFill="1" applyBorder="1" applyAlignment="1">
      <alignment vertical="center" wrapText="1"/>
    </xf>
    <xf numFmtId="3" fontId="11" fillId="0" borderId="36" xfId="22" applyNumberFormat="1" applyFont="1" applyFill="1" applyBorder="1" applyAlignment="1">
      <alignment horizontal="left" vertical="center" wrapText="1"/>
    </xf>
    <xf numFmtId="3" fontId="22" fillId="0" borderId="79" xfId="28" applyNumberFormat="1" applyFont="1" applyFill="1" applyBorder="1" applyAlignment="1">
      <alignment horizontal="left"/>
    </xf>
    <xf numFmtId="3" fontId="19" fillId="0" borderId="114" xfId="28" applyNumberFormat="1" applyFont="1" applyFill="1" applyBorder="1" applyAlignment="1"/>
    <xf numFmtId="3" fontId="22" fillId="0" borderId="114" xfId="28" applyNumberFormat="1" applyFont="1" applyFill="1" applyBorder="1" applyAlignment="1">
      <alignment horizontal="left"/>
    </xf>
    <xf numFmtId="3" fontId="22" fillId="0" borderId="114" xfId="28" applyNumberFormat="1" applyFont="1" applyFill="1" applyBorder="1" applyAlignment="1"/>
    <xf numFmtId="3" fontId="22" fillId="0" borderId="79" xfId="28" applyNumberFormat="1" applyFont="1" applyFill="1" applyBorder="1" applyAlignment="1"/>
    <xf numFmtId="3" fontId="22" fillId="0" borderId="79" xfId="28" applyNumberFormat="1" applyFont="1" applyFill="1" applyBorder="1" applyAlignment="1">
      <alignment wrapText="1"/>
    </xf>
    <xf numFmtId="3" fontId="22" fillId="0" borderId="114" xfId="28" applyNumberFormat="1" applyFont="1" applyFill="1" applyBorder="1" applyAlignment="1">
      <alignment wrapText="1"/>
    </xf>
    <xf numFmtId="3" fontId="22" fillId="0" borderId="121" xfId="28" applyNumberFormat="1" applyFont="1" applyFill="1" applyBorder="1" applyAlignment="1">
      <alignment horizontal="left"/>
    </xf>
    <xf numFmtId="3" fontId="19" fillId="0" borderId="36" xfId="28" applyNumberFormat="1" applyFont="1" applyFill="1" applyBorder="1" applyAlignment="1">
      <alignment horizontal="left"/>
    </xf>
    <xf numFmtId="3" fontId="19" fillId="0" borderId="123" xfId="0" applyNumberFormat="1" applyFont="1" applyFill="1" applyBorder="1" applyAlignment="1">
      <alignment horizontal="center" vertical="center"/>
    </xf>
    <xf numFmtId="3" fontId="25" fillId="0" borderId="123" xfId="0" applyNumberFormat="1" applyFont="1" applyFill="1" applyBorder="1" applyAlignment="1">
      <alignment horizontal="center" vertical="center"/>
    </xf>
    <xf numFmtId="3" fontId="19" fillId="0" borderId="123" xfId="0" applyNumberFormat="1" applyFont="1" applyFill="1" applyBorder="1" applyAlignment="1">
      <alignment horizontal="center" vertical="top"/>
    </xf>
    <xf numFmtId="3" fontId="19" fillId="0" borderId="75" xfId="0" applyNumberFormat="1" applyFont="1" applyFill="1" applyBorder="1" applyAlignment="1">
      <alignment horizontal="center" vertical="center"/>
    </xf>
    <xf numFmtId="3" fontId="19" fillId="0" borderId="63" xfId="0" applyNumberFormat="1" applyFont="1" applyFill="1" applyBorder="1" applyAlignment="1">
      <alignment horizontal="center" vertical="center"/>
    </xf>
    <xf numFmtId="3" fontId="19" fillId="0" borderId="4" xfId="0" applyNumberFormat="1" applyFont="1" applyFill="1" applyBorder="1" applyAlignment="1">
      <alignment horizontal="center" vertical="center"/>
    </xf>
    <xf numFmtId="3" fontId="19" fillId="0" borderId="173" xfId="0" applyNumberFormat="1" applyFont="1" applyFill="1" applyBorder="1" applyAlignment="1">
      <alignment vertical="center" wrapText="1"/>
    </xf>
    <xf numFmtId="3" fontId="19" fillId="0" borderId="114" xfId="0" applyNumberFormat="1" applyFont="1" applyFill="1" applyBorder="1" applyAlignment="1">
      <alignment horizontal="center"/>
    </xf>
    <xf numFmtId="3" fontId="19" fillId="0" borderId="114" xfId="0" applyNumberFormat="1" applyFont="1" applyFill="1" applyBorder="1" applyAlignment="1">
      <alignment horizontal="center" vertical="top"/>
    </xf>
    <xf numFmtId="3" fontId="19" fillId="0" borderId="79" xfId="0" applyNumberFormat="1" applyFont="1" applyFill="1" applyBorder="1" applyAlignment="1">
      <alignment horizontal="center"/>
    </xf>
    <xf numFmtId="3" fontId="22" fillId="0" borderId="77" xfId="0" applyNumberFormat="1" applyFont="1" applyFill="1" applyBorder="1" applyAlignment="1"/>
    <xf numFmtId="3" fontId="19" fillId="0" borderId="114" xfId="28" applyNumberFormat="1" applyFont="1" applyFill="1" applyBorder="1" applyAlignment="1">
      <alignment wrapText="1"/>
    </xf>
    <xf numFmtId="3" fontId="19" fillId="0" borderId="23" xfId="28" applyNumberFormat="1" applyFont="1" applyFill="1" applyBorder="1" applyAlignment="1"/>
    <xf numFmtId="3" fontId="19" fillId="0" borderId="17" xfId="28" applyNumberFormat="1" applyFont="1" applyFill="1" applyBorder="1" applyAlignment="1">
      <alignment vertical="top" wrapText="1"/>
    </xf>
    <xf numFmtId="3" fontId="25" fillId="0" borderId="29" xfId="0" applyNumberFormat="1" applyFont="1" applyFill="1" applyBorder="1" applyAlignment="1">
      <alignment vertical="center"/>
    </xf>
    <xf numFmtId="3" fontId="11" fillId="0" borderId="0" xfId="0" applyNumberFormat="1" applyFont="1" applyFill="1" applyAlignment="1">
      <alignment vertical="center"/>
    </xf>
    <xf numFmtId="3" fontId="14" fillId="0" borderId="0" xfId="0" applyNumberFormat="1" applyFont="1" applyFill="1" applyAlignment="1">
      <alignment vertical="center"/>
    </xf>
    <xf numFmtId="0" fontId="23" fillId="0" borderId="0" xfId="0" applyFont="1" applyFill="1" applyAlignment="1">
      <alignment horizontal="center" vertical="center"/>
    </xf>
    <xf numFmtId="3" fontId="19" fillId="0" borderId="51" xfId="0" applyNumberFormat="1" applyFont="1" applyFill="1" applyBorder="1" applyAlignment="1">
      <alignment vertical="center"/>
    </xf>
    <xf numFmtId="3" fontId="22" fillId="0" borderId="55" xfId="0" applyNumberFormat="1" applyFont="1" applyFill="1" applyBorder="1" applyAlignment="1">
      <alignment vertical="center"/>
    </xf>
    <xf numFmtId="3" fontId="19" fillId="0" borderId="0" xfId="31" applyNumberFormat="1" applyFont="1" applyFill="1" applyBorder="1" applyAlignment="1">
      <alignment horizontal="right"/>
    </xf>
    <xf numFmtId="0" fontId="19" fillId="0" borderId="0" xfId="31" applyFont="1" applyFill="1" applyBorder="1"/>
    <xf numFmtId="0" fontId="19" fillId="0" borderId="0" xfId="31" applyFont="1" applyFill="1" applyBorder="1" applyAlignment="1">
      <alignment horizontal="center" vertical="center"/>
    </xf>
    <xf numFmtId="0" fontId="19" fillId="0" borderId="0" xfId="31" applyFont="1" applyFill="1" applyBorder="1" applyAlignment="1">
      <alignment horizontal="center" vertical="top"/>
    </xf>
    <xf numFmtId="0" fontId="19" fillId="0" borderId="0" xfId="31" applyFont="1" applyFill="1" applyBorder="1" applyAlignment="1">
      <alignment wrapText="1"/>
    </xf>
    <xf numFmtId="3" fontId="19" fillId="0" borderId="0" xfId="31" applyNumberFormat="1" applyFont="1" applyFill="1" applyBorder="1" applyAlignment="1">
      <alignment horizontal="center" vertical="center" wrapText="1"/>
    </xf>
    <xf numFmtId="3" fontId="21" fillId="0" borderId="0" xfId="31" applyNumberFormat="1" applyFont="1" applyFill="1" applyBorder="1" applyAlignment="1">
      <alignment horizontal="right"/>
    </xf>
    <xf numFmtId="3" fontId="19" fillId="0" borderId="24" xfId="31" applyNumberFormat="1" applyFont="1" applyFill="1" applyBorder="1" applyAlignment="1">
      <alignment horizontal="right" vertical="center"/>
    </xf>
    <xf numFmtId="3" fontId="19" fillId="0" borderId="0" xfId="32" applyNumberFormat="1" applyFont="1" applyFill="1" applyBorder="1" applyAlignment="1">
      <alignment horizontal="right"/>
    </xf>
    <xf numFmtId="3" fontId="19" fillId="0" borderId="0" xfId="32" applyNumberFormat="1" applyFont="1" applyFill="1" applyBorder="1" applyAlignment="1">
      <alignment horizontal="right" wrapText="1"/>
    </xf>
    <xf numFmtId="3" fontId="19" fillId="0" borderId="0" xfId="31" applyNumberFormat="1" applyFont="1" applyFill="1" applyBorder="1" applyAlignment="1">
      <alignment horizontal="right" vertical="center"/>
    </xf>
    <xf numFmtId="0" fontId="15" fillId="0" borderId="0" xfId="31" applyFont="1" applyFill="1" applyBorder="1" applyAlignment="1">
      <alignment horizontal="center" vertical="center"/>
    </xf>
    <xf numFmtId="3" fontId="15" fillId="0" borderId="0" xfId="31" applyNumberFormat="1" applyFont="1" applyFill="1" applyBorder="1" applyAlignment="1">
      <alignment horizontal="center" vertical="center"/>
    </xf>
    <xf numFmtId="0" fontId="19" fillId="0" borderId="0" xfId="31" applyFont="1" applyFill="1" applyBorder="1" applyAlignment="1">
      <alignment vertical="center"/>
    </xf>
    <xf numFmtId="3" fontId="25" fillId="0" borderId="15" xfId="0" applyNumberFormat="1" applyFont="1" applyFill="1" applyBorder="1" applyAlignment="1">
      <alignment vertical="center"/>
    </xf>
    <xf numFmtId="3" fontId="25" fillId="0" borderId="120" xfId="0" applyNumberFormat="1" applyFont="1" applyFill="1" applyBorder="1" applyAlignment="1">
      <alignment vertical="center"/>
    </xf>
    <xf numFmtId="3" fontId="25" fillId="0" borderId="113" xfId="0" applyNumberFormat="1" applyFont="1" applyFill="1" applyBorder="1" applyAlignment="1">
      <alignment vertical="center"/>
    </xf>
    <xf numFmtId="3" fontId="25" fillId="0" borderId="119" xfId="0" applyNumberFormat="1" applyFont="1" applyFill="1" applyBorder="1" applyAlignment="1">
      <alignment vertical="center"/>
    </xf>
    <xf numFmtId="3" fontId="25" fillId="0" borderId="15" xfId="0" applyNumberFormat="1" applyFont="1" applyFill="1" applyBorder="1" applyAlignment="1">
      <alignment horizontal="center" vertical="center"/>
    </xf>
    <xf numFmtId="3" fontId="25" fillId="0" borderId="15" xfId="0" applyNumberFormat="1" applyFont="1" applyFill="1" applyBorder="1" applyAlignment="1">
      <alignment horizontal="right" vertical="center"/>
    </xf>
    <xf numFmtId="3" fontId="25" fillId="0" borderId="120" xfId="0" applyNumberFormat="1" applyFont="1" applyFill="1" applyBorder="1" applyAlignment="1">
      <alignment horizontal="right" vertical="center"/>
    </xf>
    <xf numFmtId="3" fontId="25" fillId="0" borderId="15" xfId="28" applyNumberFormat="1" applyFont="1" applyFill="1" applyBorder="1" applyAlignment="1">
      <alignment horizontal="center" vertical="center"/>
    </xf>
    <xf numFmtId="3" fontId="25" fillId="0" borderId="116" xfId="0" applyNumberFormat="1" applyFont="1" applyFill="1" applyBorder="1" applyAlignment="1">
      <alignment horizontal="right" vertical="center"/>
    </xf>
    <xf numFmtId="3" fontId="19" fillId="0" borderId="24" xfId="21" applyNumberFormat="1" applyFont="1" applyFill="1" applyBorder="1" applyAlignment="1">
      <alignment horizontal="right" vertical="center"/>
    </xf>
    <xf numFmtId="3" fontId="19" fillId="0" borderId="81" xfId="31" applyNumberFormat="1" applyFont="1" applyFill="1" applyBorder="1" applyAlignment="1">
      <alignment horizontal="right" vertical="center"/>
    </xf>
    <xf numFmtId="0" fontId="19" fillId="0" borderId="16" xfId="31" applyFont="1" applyFill="1" applyBorder="1" applyAlignment="1">
      <alignment horizontal="center" vertical="center"/>
    </xf>
    <xf numFmtId="0" fontId="19" fillId="0" borderId="17" xfId="31" applyFont="1" applyFill="1" applyBorder="1" applyAlignment="1">
      <alignment horizontal="center"/>
    </xf>
    <xf numFmtId="3" fontId="19" fillId="0" borderId="17" xfId="31" applyNumberFormat="1" applyFont="1" applyFill="1" applyBorder="1" applyAlignment="1">
      <alignment horizontal="right" vertical="center"/>
    </xf>
    <xf numFmtId="3" fontId="19" fillId="0" borderId="17" xfId="21" applyNumberFormat="1" applyFont="1" applyFill="1" applyBorder="1" applyAlignment="1">
      <alignment horizontal="right" vertical="center"/>
    </xf>
    <xf numFmtId="3" fontId="19" fillId="0" borderId="82" xfId="31" applyNumberFormat="1" applyFont="1" applyFill="1" applyBorder="1" applyAlignment="1">
      <alignment horizontal="right" vertical="center"/>
    </xf>
    <xf numFmtId="0" fontId="19" fillId="0" borderId="17" xfId="31" applyFont="1" applyFill="1" applyBorder="1" applyAlignment="1">
      <alignment horizontal="center" vertical="top"/>
    </xf>
    <xf numFmtId="0" fontId="19" fillId="2" borderId="0" xfId="31" applyFont="1" applyFill="1" applyBorder="1" applyAlignment="1">
      <alignment vertical="center"/>
    </xf>
    <xf numFmtId="3" fontId="19" fillId="0" borderId="0" xfId="31" applyNumberFormat="1" applyFont="1" applyFill="1" applyBorder="1" applyAlignment="1">
      <alignment vertical="center"/>
    </xf>
    <xf numFmtId="0" fontId="15" fillId="0" borderId="0" xfId="32" applyFont="1" applyFill="1" applyBorder="1" applyAlignment="1">
      <alignment horizontal="center" vertical="center" wrapText="1"/>
    </xf>
    <xf numFmtId="3" fontId="15" fillId="0" borderId="0" xfId="32" applyNumberFormat="1" applyFont="1" applyFill="1" applyBorder="1" applyAlignment="1">
      <alignment horizontal="center" vertical="center"/>
    </xf>
    <xf numFmtId="3" fontId="19" fillId="0" borderId="7" xfId="31" applyNumberFormat="1" applyFont="1" applyFill="1" applyBorder="1" applyAlignment="1">
      <alignment horizontal="center" vertical="center" wrapText="1"/>
    </xf>
    <xf numFmtId="3" fontId="19" fillId="0" borderId="43" xfId="21" applyNumberFormat="1" applyFont="1" applyFill="1" applyBorder="1" applyAlignment="1">
      <alignment horizontal="right" vertical="center" wrapText="1"/>
    </xf>
    <xf numFmtId="3" fontId="19" fillId="0" borderId="178" xfId="21" applyNumberFormat="1" applyFont="1" applyFill="1" applyBorder="1" applyAlignment="1">
      <alignment horizontal="right" vertical="center" wrapText="1"/>
    </xf>
    <xf numFmtId="3" fontId="19" fillId="0" borderId="17" xfId="21" applyNumberFormat="1" applyFont="1" applyFill="1" applyBorder="1" applyAlignment="1">
      <alignment horizontal="right" vertical="center" wrapText="1"/>
    </xf>
    <xf numFmtId="3" fontId="19" fillId="0" borderId="186" xfId="21" applyNumberFormat="1" applyFont="1" applyFill="1" applyBorder="1" applyAlignment="1">
      <alignment horizontal="right" vertical="center" wrapText="1"/>
    </xf>
    <xf numFmtId="3" fontId="19" fillId="0" borderId="186" xfId="31" applyNumberFormat="1" applyFont="1" applyFill="1" applyBorder="1" applyAlignment="1">
      <alignment horizontal="right" vertical="center"/>
    </xf>
    <xf numFmtId="0" fontId="19" fillId="0" borderId="0" xfId="31" applyFont="1" applyFill="1" applyBorder="1" applyAlignment="1">
      <alignment horizontal="center"/>
    </xf>
    <xf numFmtId="3" fontId="11" fillId="0" borderId="0" xfId="12" applyNumberFormat="1" applyFont="1" applyFill="1" applyBorder="1" applyAlignment="1">
      <alignment horizontal="center"/>
    </xf>
    <xf numFmtId="0" fontId="11" fillId="0" borderId="0" xfId="12" applyFont="1" applyFill="1" applyBorder="1" applyAlignment="1"/>
    <xf numFmtId="3" fontId="11" fillId="0" borderId="0" xfId="31" applyNumberFormat="1" applyFont="1" applyFill="1" applyBorder="1" applyAlignment="1">
      <alignment horizontal="center" wrapText="1"/>
    </xf>
    <xf numFmtId="3" fontId="11" fillId="0" borderId="7" xfId="31" applyNumberFormat="1" applyFont="1" applyFill="1" applyBorder="1" applyAlignment="1">
      <alignment horizontal="center" vertical="center" wrapText="1"/>
    </xf>
    <xf numFmtId="3" fontId="11" fillId="0" borderId="5" xfId="31" applyNumberFormat="1" applyFont="1" applyFill="1" applyBorder="1" applyAlignment="1">
      <alignment horizontal="center" vertical="center" wrapText="1"/>
    </xf>
    <xf numFmtId="0" fontId="13" fillId="0" borderId="27" xfId="31" applyFont="1" applyFill="1" applyBorder="1" applyAlignment="1">
      <alignment horizontal="center"/>
    </xf>
    <xf numFmtId="3" fontId="13" fillId="0" borderId="187" xfId="21" applyNumberFormat="1" applyFont="1" applyFill="1" applyBorder="1" applyAlignment="1">
      <alignment horizontal="right" wrapText="1"/>
    </xf>
    <xf numFmtId="0" fontId="13" fillId="0" borderId="0" xfId="31" applyFont="1" applyFill="1" applyBorder="1" applyAlignment="1"/>
    <xf numFmtId="3" fontId="11" fillId="0" borderId="17" xfId="21" applyNumberFormat="1" applyFont="1" applyFill="1" applyBorder="1" applyAlignment="1">
      <alignment horizontal="right" wrapText="1"/>
    </xf>
    <xf numFmtId="3" fontId="11" fillId="0" borderId="81" xfId="31" applyNumberFormat="1" applyFont="1" applyFill="1" applyBorder="1" applyAlignment="1">
      <alignment horizontal="right"/>
    </xf>
    <xf numFmtId="0" fontId="11" fillId="0" borderId="17" xfId="21" applyFont="1" applyFill="1" applyBorder="1" applyAlignment="1">
      <alignment horizontal="left"/>
    </xf>
    <xf numFmtId="3" fontId="11" fillId="0" borderId="17" xfId="21" applyNumberFormat="1" applyFont="1" applyFill="1" applyBorder="1" applyAlignment="1">
      <alignment horizontal="right"/>
    </xf>
    <xf numFmtId="3" fontId="11" fillId="0" borderId="82" xfId="31" applyNumberFormat="1" applyFont="1" applyFill="1" applyBorder="1" applyAlignment="1">
      <alignment horizontal="right"/>
    </xf>
    <xf numFmtId="3" fontId="11" fillId="0" borderId="0" xfId="12" applyNumberFormat="1" applyFont="1" applyFill="1" applyBorder="1" applyAlignment="1">
      <alignment horizontal="left"/>
    </xf>
    <xf numFmtId="3" fontId="38" fillId="0" borderId="0" xfId="12" applyNumberFormat="1" applyFont="1" applyFill="1" applyBorder="1" applyAlignment="1">
      <alignment horizontal="left"/>
    </xf>
    <xf numFmtId="0" fontId="13" fillId="0" borderId="16" xfId="31" applyFont="1" applyFill="1" applyBorder="1" applyAlignment="1">
      <alignment horizontal="center"/>
    </xf>
    <xf numFmtId="3" fontId="13" fillId="0" borderId="186" xfId="21" applyNumberFormat="1" applyFont="1" applyFill="1" applyBorder="1" applyAlignment="1">
      <alignment horizontal="right" wrapText="1"/>
    </xf>
    <xf numFmtId="0" fontId="35" fillId="0" borderId="24" xfId="31" applyFont="1" applyFill="1" applyBorder="1" applyAlignment="1">
      <alignment horizontal="left"/>
    </xf>
    <xf numFmtId="0" fontId="11" fillId="0" borderId="17" xfId="21" applyFont="1" applyFill="1" applyBorder="1" applyAlignment="1"/>
    <xf numFmtId="0" fontId="11" fillId="0" borderId="36" xfId="21" applyFont="1" applyFill="1" applyBorder="1" applyAlignment="1"/>
    <xf numFmtId="0" fontId="11" fillId="0" borderId="36" xfId="21" applyFont="1" applyFill="1" applyBorder="1" applyAlignment="1">
      <alignment horizontal="left"/>
    </xf>
    <xf numFmtId="3" fontId="13" fillId="0" borderId="186" xfId="31" applyNumberFormat="1" applyFont="1" applyFill="1" applyBorder="1" applyAlignment="1">
      <alignment horizontal="right"/>
    </xf>
    <xf numFmtId="3" fontId="19" fillId="0" borderId="0" xfId="31" applyNumberFormat="1" applyFont="1" applyFill="1" applyBorder="1" applyAlignment="1">
      <alignment horizontal="center" vertical="center"/>
    </xf>
    <xf numFmtId="3" fontId="13" fillId="0" borderId="0" xfId="31" applyNumberFormat="1" applyFont="1" applyFill="1" applyBorder="1" applyAlignment="1">
      <alignment horizontal="right"/>
    </xf>
    <xf numFmtId="3" fontId="13" fillId="0" borderId="0" xfId="32" applyNumberFormat="1" applyFont="1" applyFill="1" applyBorder="1" applyAlignment="1">
      <alignment horizontal="right"/>
    </xf>
    <xf numFmtId="3" fontId="11" fillId="0" borderId="118" xfId="21" applyNumberFormat="1" applyFont="1" applyFill="1" applyBorder="1" applyAlignment="1">
      <alignment horizontal="right" wrapText="1"/>
    </xf>
    <xf numFmtId="3" fontId="11" fillId="0" borderId="36" xfId="22" applyNumberFormat="1" applyFont="1" applyFill="1" applyBorder="1" applyAlignment="1">
      <alignment horizontal="left"/>
    </xf>
    <xf numFmtId="3" fontId="11" fillId="0" borderId="0" xfId="20" applyNumberFormat="1" applyFont="1" applyAlignment="1">
      <alignment horizontal="right" vertical="center"/>
    </xf>
    <xf numFmtId="3" fontId="19" fillId="0" borderId="114" xfId="29" applyNumberFormat="1" applyFont="1" applyFill="1" applyBorder="1" applyAlignment="1">
      <alignment horizontal="left" vertical="center" wrapText="1"/>
    </xf>
    <xf numFmtId="3" fontId="19" fillId="0" borderId="128" xfId="29" applyNumberFormat="1" applyFont="1" applyFill="1" applyBorder="1" applyAlignment="1">
      <alignment horizontal="left" vertical="center"/>
    </xf>
    <xf numFmtId="3" fontId="19" fillId="0" borderId="114" xfId="29" applyNumberFormat="1" applyFont="1" applyFill="1" applyBorder="1" applyAlignment="1">
      <alignment horizontal="left" vertical="center"/>
    </xf>
    <xf numFmtId="3" fontId="19" fillId="0" borderId="79" xfId="29" applyNumberFormat="1" applyFont="1" applyFill="1" applyBorder="1" applyAlignment="1">
      <alignment horizontal="left" vertical="center" wrapText="1"/>
    </xf>
    <xf numFmtId="3" fontId="11" fillId="0" borderId="0" xfId="20" applyNumberFormat="1" applyFont="1" applyFill="1" applyBorder="1" applyAlignment="1">
      <alignment horizontal="center" vertical="center"/>
    </xf>
    <xf numFmtId="3" fontId="11" fillId="0" borderId="0" xfId="17" applyNumberFormat="1" applyFont="1" applyFill="1" applyBorder="1" applyAlignment="1">
      <alignment wrapText="1"/>
    </xf>
    <xf numFmtId="0" fontId="19" fillId="0" borderId="0" xfId="0" applyFont="1" applyFill="1" applyBorder="1" applyAlignment="1">
      <alignment horizontal="center"/>
    </xf>
    <xf numFmtId="0" fontId="19" fillId="0" borderId="0" xfId="0" applyFont="1" applyFill="1"/>
    <xf numFmtId="0" fontId="15" fillId="0" borderId="6" xfId="0" applyFont="1" applyFill="1" applyBorder="1" applyAlignment="1">
      <alignment horizontal="center"/>
    </xf>
    <xf numFmtId="3" fontId="15" fillId="0" borderId="6" xfId="0" applyNumberFormat="1" applyFont="1" applyFill="1" applyBorder="1" applyAlignment="1">
      <alignment horizontal="center"/>
    </xf>
    <xf numFmtId="0" fontId="15" fillId="0" borderId="0" xfId="0" applyFont="1" applyFill="1"/>
    <xf numFmtId="0" fontId="19" fillId="0" borderId="0" xfId="0" applyFont="1" applyAlignment="1">
      <alignment wrapText="1"/>
    </xf>
    <xf numFmtId="3" fontId="19" fillId="0" borderId="0" xfId="0" applyNumberFormat="1" applyFont="1"/>
    <xf numFmtId="3" fontId="21" fillId="0" borderId="0" xfId="0" applyNumberFormat="1" applyFont="1" applyAlignment="1">
      <alignment horizontal="right"/>
    </xf>
    <xf numFmtId="3" fontId="19" fillId="0" borderId="0" xfId="0" applyNumberFormat="1" applyFont="1" applyAlignment="1">
      <alignment horizontal="right"/>
    </xf>
    <xf numFmtId="0" fontId="19" fillId="0" borderId="0" xfId="0" applyFont="1"/>
    <xf numFmtId="3" fontId="22" fillId="0" borderId="15" xfId="0" applyNumberFormat="1" applyFont="1" applyFill="1" applyBorder="1" applyAlignment="1">
      <alignment vertical="center"/>
    </xf>
    <xf numFmtId="3" fontId="22" fillId="0" borderId="120" xfId="0" applyNumberFormat="1" applyFont="1" applyFill="1" applyBorder="1" applyAlignment="1">
      <alignment vertical="center"/>
    </xf>
    <xf numFmtId="3" fontId="40" fillId="0" borderId="16" xfId="0" applyNumberFormat="1" applyFont="1" applyFill="1" applyBorder="1" applyAlignment="1">
      <alignment horizontal="center" vertical="center"/>
    </xf>
    <xf numFmtId="3" fontId="40" fillId="0" borderId="17" xfId="0" applyNumberFormat="1" applyFont="1" applyFill="1" applyBorder="1" applyAlignment="1">
      <alignment horizontal="center"/>
    </xf>
    <xf numFmtId="3" fontId="40" fillId="0" borderId="36" xfId="0" applyNumberFormat="1" applyFont="1" applyFill="1" applyBorder="1" applyAlignment="1">
      <alignment horizontal="center"/>
    </xf>
    <xf numFmtId="3" fontId="40" fillId="0" borderId="114" xfId="28" applyNumberFormat="1" applyFont="1" applyFill="1" applyBorder="1" applyAlignment="1"/>
    <xf numFmtId="3" fontId="40" fillId="0" borderId="17" xfId="0" applyNumberFormat="1" applyFont="1" applyFill="1" applyBorder="1" applyAlignment="1"/>
    <xf numFmtId="3" fontId="41" fillId="0" borderId="17" xfId="0" applyNumberFormat="1" applyFont="1" applyFill="1" applyBorder="1" applyAlignment="1"/>
    <xf numFmtId="3" fontId="40" fillId="0" borderId="18" xfId="0" applyNumberFormat="1" applyFont="1" applyFill="1" applyBorder="1" applyAlignment="1"/>
    <xf numFmtId="3" fontId="40" fillId="0" borderId="0" xfId="0" applyNumberFormat="1" applyFont="1" applyFill="1" applyAlignment="1">
      <alignment vertical="center"/>
    </xf>
    <xf numFmtId="0" fontId="42" fillId="0" borderId="0" xfId="0" applyFont="1" applyFill="1"/>
    <xf numFmtId="3" fontId="40" fillId="0" borderId="0" xfId="0" applyNumberFormat="1" applyFont="1" applyFill="1" applyAlignment="1">
      <alignment vertical="top"/>
    </xf>
    <xf numFmtId="3" fontId="40" fillId="0" borderId="0" xfId="0" applyNumberFormat="1" applyFont="1" applyFill="1" applyAlignment="1"/>
    <xf numFmtId="3" fontId="41" fillId="0" borderId="0" xfId="0" applyNumberFormat="1" applyFont="1" applyFill="1" applyAlignment="1">
      <alignment vertical="top"/>
    </xf>
    <xf numFmtId="3" fontId="40" fillId="0" borderId="16" xfId="0" applyNumberFormat="1" applyFont="1" applyFill="1" applyBorder="1" applyAlignment="1">
      <alignment horizontal="center" vertical="top"/>
    </xf>
    <xf numFmtId="3" fontId="40" fillId="0" borderId="45" xfId="0" applyNumberFormat="1" applyFont="1" applyFill="1" applyBorder="1" applyAlignment="1">
      <alignment horizontal="center"/>
    </xf>
    <xf numFmtId="3" fontId="40" fillId="0" borderId="170" xfId="0" applyNumberFormat="1" applyFont="1" applyFill="1" applyBorder="1" applyAlignment="1">
      <alignment horizontal="center"/>
    </xf>
    <xf numFmtId="3" fontId="40" fillId="0" borderId="128" xfId="28" applyNumberFormat="1" applyFont="1" applyFill="1" applyBorder="1" applyAlignment="1">
      <alignment horizontal="left"/>
    </xf>
    <xf numFmtId="3" fontId="40" fillId="0" borderId="45" xfId="0" applyNumberFormat="1" applyFont="1" applyFill="1" applyBorder="1" applyAlignment="1">
      <alignment vertical="top"/>
    </xf>
    <xf numFmtId="3" fontId="41" fillId="0" borderId="45" xfId="0" applyNumberFormat="1" applyFont="1" applyFill="1" applyBorder="1" applyAlignment="1">
      <alignment vertical="top"/>
    </xf>
    <xf numFmtId="3" fontId="40" fillId="0" borderId="46" xfId="0" applyNumberFormat="1" applyFont="1" applyFill="1" applyBorder="1" applyAlignment="1">
      <alignment vertical="top"/>
    </xf>
    <xf numFmtId="3" fontId="40" fillId="0" borderId="18" xfId="0" applyNumberFormat="1" applyFont="1" applyFill="1" applyBorder="1" applyAlignment="1">
      <alignment vertical="center"/>
    </xf>
    <xf numFmtId="3" fontId="40" fillId="0" borderId="18" xfId="0" applyNumberFormat="1" applyFont="1" applyFill="1" applyBorder="1" applyAlignment="1">
      <alignment vertical="top"/>
    </xf>
    <xf numFmtId="3" fontId="40" fillId="0" borderId="46" xfId="0" applyNumberFormat="1" applyFont="1" applyFill="1" applyBorder="1" applyAlignment="1">
      <alignment vertical="center"/>
    </xf>
    <xf numFmtId="3" fontId="40" fillId="0" borderId="17" xfId="0" applyNumberFormat="1" applyFont="1" applyFill="1" applyBorder="1" applyAlignment="1">
      <alignment vertical="center"/>
    </xf>
    <xf numFmtId="3" fontId="41" fillId="0" borderId="17" xfId="0" applyNumberFormat="1" applyFont="1" applyFill="1" applyBorder="1" applyAlignment="1">
      <alignment vertical="center"/>
    </xf>
    <xf numFmtId="3" fontId="40" fillId="0" borderId="114" xfId="28" applyNumberFormat="1" applyFont="1" applyFill="1" applyBorder="1" applyAlignment="1">
      <alignment horizontal="left"/>
    </xf>
    <xf numFmtId="3" fontId="40" fillId="0" borderId="17" xfId="0" applyNumberFormat="1" applyFont="1" applyFill="1" applyBorder="1" applyAlignment="1">
      <alignment vertical="top"/>
    </xf>
    <xf numFmtId="3" fontId="41" fillId="0" borderId="17" xfId="0" applyNumberFormat="1" applyFont="1" applyFill="1" applyBorder="1" applyAlignment="1">
      <alignment vertical="top"/>
    </xf>
    <xf numFmtId="3" fontId="41" fillId="0" borderId="0" xfId="0" applyNumberFormat="1" applyFont="1" applyFill="1" applyAlignment="1">
      <alignment vertical="center"/>
    </xf>
    <xf numFmtId="0" fontId="43" fillId="0" borderId="0" xfId="0" applyFont="1" applyFill="1"/>
    <xf numFmtId="3" fontId="40" fillId="0" borderId="128" xfId="28" applyNumberFormat="1" applyFont="1" applyFill="1" applyBorder="1" applyAlignment="1"/>
    <xf numFmtId="3" fontId="40" fillId="0" borderId="45" xfId="0" applyNumberFormat="1" applyFont="1" applyFill="1" applyBorder="1" applyAlignment="1">
      <alignment vertical="center"/>
    </xf>
    <xf numFmtId="3" fontId="41" fillId="0" borderId="45" xfId="0" applyNumberFormat="1" applyFont="1" applyFill="1" applyBorder="1" applyAlignment="1">
      <alignment vertical="center"/>
    </xf>
    <xf numFmtId="3" fontId="19" fillId="0" borderId="43" xfId="0" applyNumberFormat="1" applyFont="1" applyFill="1" applyBorder="1" applyAlignment="1">
      <alignment vertical="center"/>
    </xf>
    <xf numFmtId="3" fontId="21" fillId="0" borderId="43" xfId="0" applyNumberFormat="1" applyFont="1" applyFill="1" applyBorder="1" applyAlignment="1">
      <alignment vertical="center"/>
    </xf>
    <xf numFmtId="3" fontId="22" fillId="0" borderId="44" xfId="0" applyNumberFormat="1" applyFont="1" applyFill="1" applyBorder="1" applyAlignment="1">
      <alignment vertical="center"/>
    </xf>
    <xf numFmtId="3" fontId="25" fillId="0" borderId="43" xfId="0" applyNumberFormat="1" applyFont="1" applyFill="1" applyBorder="1" applyAlignment="1">
      <alignment vertical="center"/>
    </xf>
    <xf numFmtId="3" fontId="40" fillId="0" borderId="50" xfId="0" applyNumberFormat="1" applyFont="1" applyFill="1" applyBorder="1" applyAlignment="1">
      <alignment horizontal="center" vertical="center"/>
    </xf>
    <xf numFmtId="3" fontId="40" fillId="0" borderId="45" xfId="28" applyNumberFormat="1" applyFont="1" applyFill="1" applyBorder="1" applyAlignment="1"/>
    <xf numFmtId="3" fontId="40" fillId="0" borderId="45" xfId="28" applyNumberFormat="1" applyFont="1" applyFill="1" applyBorder="1" applyAlignment="1">
      <alignment horizontal="left"/>
    </xf>
    <xf numFmtId="3" fontId="19" fillId="0" borderId="23" xfId="29" applyNumberFormat="1" applyFont="1" applyFill="1" applyBorder="1" applyAlignment="1">
      <alignment vertical="center" wrapText="1"/>
    </xf>
    <xf numFmtId="3" fontId="19" fillId="0" borderId="58" xfId="29" applyNumberFormat="1" applyFont="1" applyFill="1" applyBorder="1" applyAlignment="1">
      <alignment vertical="center" wrapText="1"/>
    </xf>
    <xf numFmtId="3" fontId="19" fillId="0" borderId="26" xfId="29" applyNumberFormat="1" applyFont="1" applyFill="1" applyBorder="1" applyAlignment="1">
      <alignment vertical="center" wrapText="1"/>
    </xf>
    <xf numFmtId="3" fontId="25" fillId="0" borderId="130" xfId="0" applyNumberFormat="1" applyFont="1" applyFill="1" applyBorder="1" applyAlignment="1">
      <alignment horizontal="left" vertical="center"/>
    </xf>
    <xf numFmtId="3" fontId="19" fillId="0" borderId="76" xfId="29" applyNumberFormat="1" applyFont="1" applyFill="1" applyBorder="1" applyAlignment="1">
      <alignment vertical="center"/>
    </xf>
    <xf numFmtId="3" fontId="40" fillId="0" borderId="114" xfId="0" applyNumberFormat="1" applyFont="1" applyFill="1" applyBorder="1" applyAlignment="1">
      <alignment horizontal="center" vertical="center"/>
    </xf>
    <xf numFmtId="3" fontId="40" fillId="0" borderId="17" xfId="28" applyNumberFormat="1" applyFont="1" applyFill="1" applyBorder="1" applyAlignment="1"/>
    <xf numFmtId="3" fontId="40" fillId="0" borderId="23" xfId="0" applyNumberFormat="1" applyFont="1" applyFill="1" applyBorder="1" applyAlignment="1">
      <alignment vertical="center"/>
    </xf>
    <xf numFmtId="3" fontId="40" fillId="0" borderId="57" xfId="0" applyNumberFormat="1" applyFont="1" applyFill="1" applyBorder="1" applyAlignment="1"/>
    <xf numFmtId="3" fontId="40" fillId="0" borderId="17" xfId="0" applyNumberFormat="1" applyFont="1" applyFill="1" applyBorder="1" applyAlignment="1">
      <alignment horizontal="right"/>
    </xf>
    <xf numFmtId="3" fontId="40" fillId="0" borderId="18" xfId="0" applyNumberFormat="1" applyFont="1" applyFill="1" applyBorder="1" applyAlignment="1">
      <alignment horizontal="right"/>
    </xf>
    <xf numFmtId="3" fontId="40" fillId="0" borderId="0" xfId="0" applyNumberFormat="1" applyFont="1" applyFill="1" applyBorder="1" applyAlignment="1">
      <alignment horizontal="right" vertical="center"/>
    </xf>
    <xf numFmtId="3" fontId="40" fillId="0" borderId="0" xfId="0" applyNumberFormat="1" applyFont="1" applyFill="1" applyBorder="1" applyAlignment="1">
      <alignment vertical="center"/>
    </xf>
    <xf numFmtId="3" fontId="40" fillId="0" borderId="0" xfId="0" applyNumberFormat="1" applyFont="1" applyFill="1" applyBorder="1" applyAlignment="1">
      <alignment horizontal="right"/>
    </xf>
    <xf numFmtId="3" fontId="40" fillId="0" borderId="0" xfId="0" applyNumberFormat="1" applyFont="1" applyFill="1" applyBorder="1" applyAlignment="1"/>
    <xf numFmtId="3" fontId="40" fillId="0" borderId="128" xfId="0" applyNumberFormat="1" applyFont="1" applyFill="1" applyBorder="1" applyAlignment="1">
      <alignment horizontal="center" vertical="center"/>
    </xf>
    <xf numFmtId="3" fontId="40" fillId="0" borderId="58" xfId="0" applyNumberFormat="1" applyFont="1" applyFill="1" applyBorder="1" applyAlignment="1">
      <alignment vertical="center"/>
    </xf>
    <xf numFmtId="3" fontId="40" fillId="0" borderId="21" xfId="0" applyNumberFormat="1" applyFont="1" applyFill="1" applyBorder="1" applyAlignment="1"/>
    <xf numFmtId="3" fontId="40" fillId="0" borderId="45" xfId="0" applyNumberFormat="1" applyFont="1" applyFill="1" applyBorder="1" applyAlignment="1">
      <alignment horizontal="right"/>
    </xf>
    <xf numFmtId="3" fontId="40" fillId="0" borderId="46" xfId="0" applyNumberFormat="1" applyFont="1" applyFill="1" applyBorder="1" applyAlignment="1">
      <alignment horizontal="right"/>
    </xf>
    <xf numFmtId="3" fontId="40" fillId="0" borderId="17" xfId="28" applyNumberFormat="1" applyFont="1" applyFill="1" applyBorder="1" applyAlignment="1">
      <alignment horizontal="left"/>
    </xf>
    <xf numFmtId="3" fontId="40" fillId="0" borderId="17" xfId="28" applyNumberFormat="1" applyFont="1" applyFill="1" applyBorder="1" applyAlignment="1">
      <alignment horizontal="center" vertical="center"/>
    </xf>
    <xf numFmtId="3" fontId="40" fillId="0" borderId="0" xfId="0" applyNumberFormat="1" applyFont="1" applyFill="1" applyAlignment="1">
      <alignment horizontal="right"/>
    </xf>
    <xf numFmtId="3" fontId="41" fillId="0" borderId="0" xfId="0" applyNumberFormat="1" applyFont="1" applyFill="1" applyBorder="1" applyAlignment="1">
      <alignment horizontal="right" vertical="center"/>
    </xf>
    <xf numFmtId="3" fontId="41" fillId="0" borderId="0" xfId="0" applyNumberFormat="1" applyFont="1" applyFill="1" applyBorder="1" applyAlignment="1">
      <alignment vertical="center"/>
    </xf>
    <xf numFmtId="3" fontId="22" fillId="0" borderId="60" xfId="0" applyNumberFormat="1" applyFont="1" applyFill="1" applyBorder="1" applyAlignment="1">
      <alignment vertical="center"/>
    </xf>
    <xf numFmtId="3" fontId="22" fillId="0" borderId="15" xfId="28" applyNumberFormat="1" applyFont="1" applyFill="1" applyBorder="1" applyAlignment="1">
      <alignment horizontal="center" vertical="center"/>
    </xf>
    <xf numFmtId="3" fontId="19" fillId="0" borderId="43" xfId="28" applyNumberFormat="1" applyFont="1" applyFill="1" applyBorder="1" applyAlignment="1">
      <alignment horizontal="center" vertical="center"/>
    </xf>
    <xf numFmtId="3" fontId="25" fillId="0" borderId="60" xfId="0" applyNumberFormat="1" applyFont="1" applyFill="1" applyBorder="1" applyAlignment="1">
      <alignment vertical="center"/>
    </xf>
    <xf numFmtId="3" fontId="25" fillId="0" borderId="44" xfId="0" applyNumberFormat="1" applyFont="1" applyFill="1" applyBorder="1" applyAlignment="1">
      <alignment vertical="center"/>
    </xf>
    <xf numFmtId="3" fontId="40" fillId="0" borderId="17" xfId="0" applyNumberFormat="1" applyFont="1" applyFill="1" applyBorder="1" applyAlignment="1">
      <alignment horizontal="right" vertical="center"/>
    </xf>
    <xf numFmtId="3" fontId="40" fillId="0" borderId="18" xfId="0" applyNumberFormat="1" applyFont="1" applyFill="1" applyBorder="1" applyAlignment="1">
      <alignment horizontal="right" vertical="center"/>
    </xf>
    <xf numFmtId="3" fontId="40" fillId="0" borderId="23" xfId="28" applyNumberFormat="1" applyFont="1" applyFill="1" applyBorder="1" applyAlignment="1"/>
    <xf numFmtId="3" fontId="40" fillId="0" borderId="17" xfId="28" applyNumberFormat="1" applyFont="1" applyFill="1" applyBorder="1" applyAlignment="1">
      <alignment horizontal="center"/>
    </xf>
    <xf numFmtId="3" fontId="40" fillId="0" borderId="0" xfId="0" applyNumberFormat="1" applyFont="1" applyFill="1" applyAlignment="1">
      <alignment horizontal="right" vertical="center"/>
    </xf>
    <xf numFmtId="3" fontId="41" fillId="0" borderId="16" xfId="0" applyNumberFormat="1" applyFont="1" applyFill="1" applyBorder="1" applyAlignment="1">
      <alignment horizontal="left" vertical="center" wrapText="1"/>
    </xf>
    <xf numFmtId="3" fontId="41" fillId="0" borderId="114" xfId="0" applyNumberFormat="1" applyFont="1" applyFill="1" applyBorder="1" applyAlignment="1">
      <alignment horizontal="left" vertical="center" wrapText="1"/>
    </xf>
    <xf numFmtId="3" fontId="41" fillId="0" borderId="17" xfId="0" applyNumberFormat="1" applyFont="1" applyFill="1" applyBorder="1" applyAlignment="1">
      <alignment horizontal="left" vertical="center" wrapText="1"/>
    </xf>
    <xf numFmtId="3" fontId="41" fillId="0" borderId="17" xfId="0" applyNumberFormat="1" applyFont="1" applyFill="1" applyBorder="1" applyAlignment="1">
      <alignment horizontal="right" vertical="center"/>
    </xf>
    <xf numFmtId="3" fontId="40" fillId="0" borderId="57" xfId="0" applyNumberFormat="1" applyFont="1" applyFill="1" applyBorder="1" applyAlignment="1">
      <alignment horizontal="right" vertical="center"/>
    </xf>
    <xf numFmtId="3" fontId="40" fillId="0" borderId="0" xfId="0" applyNumberFormat="1" applyFont="1" applyFill="1"/>
    <xf numFmtId="3" fontId="15" fillId="0" borderId="0" xfId="0" applyNumberFormat="1" applyFont="1" applyFill="1" applyAlignment="1">
      <alignment horizontal="center"/>
    </xf>
    <xf numFmtId="3" fontId="19" fillId="0" borderId="39" xfId="0" applyNumberFormat="1" applyFont="1" applyFill="1" applyBorder="1" applyAlignment="1"/>
    <xf numFmtId="3" fontId="21" fillId="0" borderId="0" xfId="0" applyNumberFormat="1" applyFont="1" applyFill="1" applyAlignment="1"/>
    <xf numFmtId="3" fontId="15" fillId="0" borderId="0" xfId="0" applyNumberFormat="1" applyFont="1" applyFill="1" applyBorder="1" applyAlignment="1"/>
    <xf numFmtId="3" fontId="15" fillId="0" borderId="39" xfId="0" applyNumberFormat="1" applyFont="1" applyFill="1" applyBorder="1" applyAlignment="1"/>
    <xf numFmtId="3" fontId="19" fillId="0" borderId="23" xfId="28" applyNumberFormat="1" applyFont="1" applyFill="1" applyBorder="1" applyAlignment="1">
      <alignment wrapText="1"/>
    </xf>
    <xf numFmtId="3" fontId="15" fillId="0" borderId="0" xfId="17" applyNumberFormat="1" applyFont="1" applyFill="1" applyAlignment="1">
      <alignment horizontal="center" vertical="center"/>
    </xf>
    <xf numFmtId="3" fontId="15" fillId="0" borderId="0" xfId="17" applyNumberFormat="1" applyFont="1" applyFill="1" applyAlignment="1">
      <alignment horizontal="center"/>
    </xf>
    <xf numFmtId="3" fontId="20" fillId="0" borderId="0" xfId="17" applyNumberFormat="1" applyFont="1" applyFill="1" applyAlignment="1">
      <alignment horizontal="center" vertical="center"/>
    </xf>
    <xf numFmtId="3" fontId="19" fillId="0" borderId="0" xfId="18" applyNumberFormat="1" applyFont="1" applyFill="1" applyAlignment="1">
      <alignment horizontal="right"/>
    </xf>
    <xf numFmtId="3" fontId="11" fillId="0" borderId="0" xfId="31" applyNumberFormat="1" applyFont="1" applyFill="1" applyBorder="1" applyAlignment="1">
      <alignment horizontal="right"/>
    </xf>
    <xf numFmtId="0" fontId="11" fillId="0" borderId="0" xfId="31" applyFont="1" applyFill="1" applyBorder="1" applyAlignment="1">
      <alignment horizontal="center"/>
    </xf>
    <xf numFmtId="0" fontId="11" fillId="0" borderId="0" xfId="31" applyFont="1" applyFill="1" applyBorder="1" applyProtection="1">
      <protection locked="0"/>
    </xf>
    <xf numFmtId="0" fontId="11" fillId="0" borderId="0" xfId="31" applyFont="1" applyFill="1" applyBorder="1" applyAlignment="1" applyProtection="1">
      <alignment horizontal="center" vertical="center"/>
      <protection locked="0"/>
    </xf>
    <xf numFmtId="0" fontId="19" fillId="0" borderId="0" xfId="31" applyFont="1" applyFill="1" applyBorder="1" applyAlignment="1" applyProtection="1">
      <alignment horizontal="center" vertical="center"/>
      <protection locked="0"/>
    </xf>
    <xf numFmtId="0" fontId="19" fillId="0" borderId="0" xfId="31" applyFont="1" applyFill="1" applyBorder="1" applyAlignment="1" applyProtection="1">
      <alignment horizontal="center" vertical="top"/>
      <protection locked="0"/>
    </xf>
    <xf numFmtId="0" fontId="19" fillId="0" borderId="0" xfId="31" applyFont="1" applyFill="1" applyBorder="1" applyAlignment="1" applyProtection="1">
      <alignment wrapText="1"/>
      <protection locked="0"/>
    </xf>
    <xf numFmtId="3" fontId="19" fillId="0" borderId="0" xfId="31" applyNumberFormat="1" applyFont="1" applyFill="1" applyBorder="1" applyAlignment="1" applyProtection="1">
      <alignment horizontal="center" vertical="center" wrapText="1"/>
      <protection locked="0"/>
    </xf>
    <xf numFmtId="3" fontId="19" fillId="0" borderId="0" xfId="31" applyNumberFormat="1" applyFont="1" applyFill="1" applyBorder="1" applyAlignment="1" applyProtection="1">
      <alignment horizontal="right"/>
      <protection locked="0"/>
    </xf>
    <xf numFmtId="0" fontId="19" fillId="0" borderId="0" xfId="31" applyFont="1" applyFill="1" applyBorder="1" applyProtection="1">
      <protection locked="0"/>
    </xf>
    <xf numFmtId="0" fontId="15" fillId="0" borderId="0" xfId="31" applyFont="1" applyFill="1" applyBorder="1" applyAlignment="1" applyProtection="1">
      <alignment horizontal="center"/>
      <protection locked="0"/>
    </xf>
    <xf numFmtId="0" fontId="15" fillId="0" borderId="0" xfId="32" applyFont="1" applyFill="1" applyBorder="1" applyAlignment="1" applyProtection="1">
      <alignment horizontal="center" wrapText="1"/>
      <protection locked="0"/>
    </xf>
    <xf numFmtId="3" fontId="15" fillId="0" borderId="0" xfId="32" applyNumberFormat="1" applyFont="1" applyFill="1" applyBorder="1" applyAlignment="1" applyProtection="1">
      <alignment horizontal="center"/>
      <protection locked="0"/>
    </xf>
    <xf numFmtId="0" fontId="15" fillId="0" borderId="0" xfId="0" applyFont="1" applyFill="1" applyAlignment="1" applyProtection="1">
      <protection locked="0"/>
    </xf>
    <xf numFmtId="0" fontId="15" fillId="0" borderId="0" xfId="31" applyFont="1" applyFill="1" applyBorder="1" applyAlignment="1" applyProtection="1">
      <alignment horizontal="center" vertical="center"/>
      <protection locked="0"/>
    </xf>
    <xf numFmtId="3" fontId="19" fillId="0" borderId="0" xfId="31" applyNumberFormat="1" applyFont="1" applyFill="1" applyBorder="1" applyAlignment="1" applyProtection="1">
      <alignment horizontal="center" vertical="center"/>
      <protection locked="0"/>
    </xf>
    <xf numFmtId="0" fontId="19" fillId="0" borderId="27" xfId="32" applyFont="1" applyFill="1" applyBorder="1" applyAlignment="1" applyProtection="1">
      <alignment horizontal="center"/>
      <protection locked="0"/>
    </xf>
    <xf numFmtId="3" fontId="34" fillId="0" borderId="24" xfId="28" applyNumberFormat="1" applyFont="1" applyFill="1" applyBorder="1" applyAlignment="1" applyProtection="1">
      <alignment horizontal="left"/>
      <protection locked="0"/>
    </xf>
    <xf numFmtId="0" fontId="19" fillId="0" borderId="24" xfId="32" applyFont="1" applyFill="1" applyBorder="1" applyAlignment="1" applyProtection="1">
      <alignment horizontal="center"/>
      <protection locked="0"/>
    </xf>
    <xf numFmtId="0" fontId="34" fillId="0" borderId="24" xfId="31" applyFont="1" applyFill="1" applyBorder="1" applyAlignment="1" applyProtection="1">
      <alignment horizontal="left" wrapText="1"/>
      <protection locked="0"/>
    </xf>
    <xf numFmtId="0" fontId="19" fillId="0" borderId="0" xfId="31" applyFont="1" applyFill="1" applyBorder="1" applyAlignment="1" applyProtection="1">
      <alignment horizontal="left"/>
      <protection locked="0"/>
    </xf>
    <xf numFmtId="3" fontId="19" fillId="0" borderId="17" xfId="28" applyNumberFormat="1" applyFont="1" applyFill="1" applyBorder="1" applyAlignment="1" applyProtection="1">
      <alignment horizontal="center"/>
      <protection locked="0"/>
    </xf>
    <xf numFmtId="0" fontId="19" fillId="0" borderId="0" xfId="31" applyFont="1" applyFill="1" applyBorder="1" applyAlignment="1" applyProtection="1">
      <protection locked="0"/>
    </xf>
    <xf numFmtId="0" fontId="25" fillId="0" borderId="17" xfId="31" applyFont="1" applyFill="1" applyBorder="1" applyAlignment="1" applyProtection="1">
      <protection locked="0"/>
    </xf>
    <xf numFmtId="0" fontId="25" fillId="0" borderId="24" xfId="32" applyFont="1" applyFill="1" applyBorder="1" applyAlignment="1" applyProtection="1">
      <alignment horizontal="left"/>
      <protection locked="0"/>
    </xf>
    <xf numFmtId="3" fontId="34" fillId="0" borderId="17" xfId="28" applyNumberFormat="1" applyFont="1" applyFill="1" applyBorder="1" applyAlignment="1" applyProtection="1">
      <alignment horizontal="left"/>
      <protection locked="0"/>
    </xf>
    <xf numFmtId="0" fontId="25" fillId="0" borderId="17" xfId="31" applyFont="1" applyFill="1" applyBorder="1" applyAlignment="1" applyProtection="1">
      <alignment horizontal="left"/>
      <protection locked="0"/>
    </xf>
    <xf numFmtId="0" fontId="22" fillId="0" borderId="17" xfId="31" applyFont="1" applyFill="1" applyBorder="1" applyAlignment="1" applyProtection="1">
      <alignment wrapText="1"/>
      <protection locked="0"/>
    </xf>
    <xf numFmtId="0" fontId="19" fillId="0" borderId="17" xfId="31" applyFont="1" applyFill="1" applyBorder="1" applyAlignment="1" applyProtection="1">
      <alignment horizontal="left" wrapText="1"/>
      <protection locked="0"/>
    </xf>
    <xf numFmtId="3" fontId="19" fillId="0" borderId="17" xfId="28" applyNumberFormat="1" applyFont="1" applyFill="1" applyBorder="1" applyAlignment="1" applyProtection="1">
      <alignment horizontal="center" vertical="top"/>
      <protection locked="0"/>
    </xf>
    <xf numFmtId="3" fontId="34" fillId="0" borderId="24" xfId="0" applyNumberFormat="1" applyFont="1" applyFill="1" applyBorder="1" applyAlignment="1" applyProtection="1">
      <alignment horizontal="left"/>
      <protection locked="0"/>
    </xf>
    <xf numFmtId="0" fontId="22" fillId="0" borderId="0" xfId="31" applyFont="1" applyFill="1" applyBorder="1" applyAlignment="1" applyProtection="1">
      <alignment horizontal="left" vertical="center"/>
      <protection locked="0"/>
    </xf>
    <xf numFmtId="3" fontId="34" fillId="0" borderId="26" xfId="0" applyNumberFormat="1" applyFont="1" applyFill="1" applyBorder="1" applyAlignment="1" applyProtection="1">
      <alignment horizontal="left"/>
      <protection locked="0"/>
    </xf>
    <xf numFmtId="0" fontId="19" fillId="0" borderId="24" xfId="32" applyFont="1" applyFill="1" applyBorder="1" applyAlignment="1" applyProtection="1">
      <alignment horizontal="center" vertical="top"/>
      <protection locked="0"/>
    </xf>
    <xf numFmtId="3" fontId="19" fillId="0" borderId="0" xfId="32" applyNumberFormat="1" applyFont="1" applyFill="1" applyBorder="1" applyAlignment="1" applyProtection="1">
      <alignment horizontal="right"/>
      <protection locked="0"/>
    </xf>
    <xf numFmtId="3" fontId="19" fillId="0" borderId="0" xfId="31" applyNumberFormat="1" applyFont="1" applyFill="1" applyBorder="1" applyAlignment="1" applyProtection="1">
      <alignment horizontal="right" vertical="center"/>
      <protection locked="0"/>
    </xf>
    <xf numFmtId="3" fontId="19" fillId="0" borderId="24" xfId="18" applyNumberFormat="1" applyFont="1" applyFill="1" applyBorder="1" applyAlignment="1">
      <alignment horizontal="center"/>
    </xf>
    <xf numFmtId="3" fontId="19" fillId="0" borderId="31" xfId="0" applyNumberFormat="1" applyFont="1" applyFill="1" applyBorder="1" applyAlignment="1">
      <alignment horizontal="center" vertical="center" wrapText="1"/>
    </xf>
    <xf numFmtId="1" fontId="19" fillId="0" borderId="0" xfId="18" applyNumberFormat="1" applyFont="1" applyFill="1" applyBorder="1" applyAlignment="1">
      <alignment horizontal="center" vertical="center"/>
    </xf>
    <xf numFmtId="1" fontId="11" fillId="0" borderId="0" xfId="18" applyNumberFormat="1" applyFont="1" applyFill="1" applyBorder="1" applyAlignment="1">
      <alignment horizontal="center" vertical="center"/>
    </xf>
    <xf numFmtId="3" fontId="19" fillId="0" borderId="0" xfId="18" applyNumberFormat="1" applyFont="1" applyFill="1" applyAlignment="1">
      <alignment horizontal="center"/>
    </xf>
    <xf numFmtId="3" fontId="19" fillId="0" borderId="0" xfId="18" applyNumberFormat="1" applyFont="1" applyFill="1" applyAlignment="1">
      <alignment horizontal="center" vertical="top"/>
    </xf>
    <xf numFmtId="0" fontId="22" fillId="0" borderId="0" xfId="18" applyFont="1" applyFill="1" applyBorder="1" applyAlignment="1">
      <alignment vertical="top" wrapText="1"/>
    </xf>
    <xf numFmtId="0" fontId="19" fillId="0" borderId="0" xfId="18" applyFont="1" applyFill="1" applyBorder="1" applyAlignment="1">
      <alignment horizontal="center"/>
    </xf>
    <xf numFmtId="3" fontId="22" fillId="0" borderId="0" xfId="18" applyNumberFormat="1" applyFont="1" applyFill="1" applyAlignment="1"/>
    <xf numFmtId="1" fontId="15" fillId="0" borderId="0" xfId="18" applyNumberFormat="1" applyFont="1" applyFill="1" applyBorder="1" applyAlignment="1">
      <alignment horizontal="center" vertical="center"/>
    </xf>
    <xf numFmtId="3" fontId="15" fillId="0" borderId="0" xfId="18" applyNumberFormat="1" applyFont="1" applyFill="1" applyBorder="1" applyAlignment="1">
      <alignment horizontal="center" vertical="center"/>
    </xf>
    <xf numFmtId="3" fontId="15" fillId="0" borderId="0" xfId="18" applyNumberFormat="1" applyFont="1" applyFill="1" applyBorder="1" applyAlignment="1">
      <alignment horizontal="center" vertical="center" wrapText="1"/>
    </xf>
    <xf numFmtId="3" fontId="15" fillId="0" borderId="0" xfId="18" applyNumberFormat="1" applyFont="1" applyFill="1" applyBorder="1" applyAlignment="1">
      <alignment horizontal="center"/>
    </xf>
    <xf numFmtId="3" fontId="19" fillId="0" borderId="42" xfId="18" applyNumberFormat="1" applyFont="1" applyFill="1" applyBorder="1" applyAlignment="1">
      <alignment horizontal="center"/>
    </xf>
    <xf numFmtId="3" fontId="34" fillId="0" borderId="43" xfId="18" applyNumberFormat="1" applyFont="1" applyFill="1" applyBorder="1" applyAlignment="1">
      <alignment horizontal="left"/>
    </xf>
    <xf numFmtId="0" fontId="22" fillId="0" borderId="43" xfId="18" applyFont="1" applyFill="1" applyBorder="1" applyAlignment="1">
      <alignment horizontal="center" vertical="center" wrapText="1"/>
    </xf>
    <xf numFmtId="3" fontId="19" fillId="0" borderId="43" xfId="18" applyNumberFormat="1" applyFont="1" applyFill="1" applyBorder="1" applyAlignment="1">
      <alignment horizontal="center" vertical="center" wrapText="1"/>
    </xf>
    <xf numFmtId="3" fontId="22" fillId="0" borderId="43" xfId="18" applyNumberFormat="1" applyFont="1" applyFill="1" applyBorder="1" applyAlignment="1">
      <alignment horizontal="center" vertical="center" wrapText="1"/>
    </xf>
    <xf numFmtId="3" fontId="19" fillId="0" borderId="43" xfId="0" applyNumberFormat="1" applyFont="1" applyFill="1" applyBorder="1" applyAlignment="1">
      <alignment horizontal="center" vertical="center" wrapText="1"/>
    </xf>
    <xf numFmtId="3" fontId="19" fillId="0" borderId="44" xfId="0" applyNumberFormat="1" applyFont="1" applyFill="1" applyBorder="1" applyAlignment="1">
      <alignment horizontal="center" vertical="center" wrapText="1"/>
    </xf>
    <xf numFmtId="0" fontId="19" fillId="0" borderId="127" xfId="0" applyFont="1" applyFill="1" applyBorder="1" applyAlignment="1">
      <alignment horizontal="center" vertical="center" textRotation="90" wrapText="1"/>
    </xf>
    <xf numFmtId="0" fontId="19" fillId="0" borderId="27" xfId="31" applyFont="1" applyFill="1" applyBorder="1" applyAlignment="1">
      <alignment horizontal="center"/>
    </xf>
    <xf numFmtId="3" fontId="19" fillId="0" borderId="6" xfId="31" applyNumberFormat="1" applyFont="1" applyFill="1" applyBorder="1" applyAlignment="1">
      <alignment horizontal="center" vertical="center" wrapText="1"/>
    </xf>
    <xf numFmtId="3" fontId="19" fillId="0" borderId="127" xfId="21" applyNumberFormat="1" applyFont="1" applyFill="1" applyBorder="1" applyAlignment="1">
      <alignment horizontal="right" vertical="center" wrapText="1"/>
    </xf>
    <xf numFmtId="3" fontId="19" fillId="0" borderId="114" xfId="21" applyNumberFormat="1" applyFont="1" applyFill="1" applyBorder="1" applyAlignment="1">
      <alignment horizontal="right" vertical="center" wrapText="1"/>
    </xf>
    <xf numFmtId="3" fontId="19" fillId="0" borderId="114" xfId="31" applyNumberFormat="1" applyFont="1" applyFill="1" applyBorder="1" applyAlignment="1">
      <alignment horizontal="right" vertical="center"/>
    </xf>
    <xf numFmtId="3" fontId="19" fillId="0" borderId="0" xfId="31" applyNumberFormat="1" applyFont="1" applyFill="1" applyBorder="1" applyAlignment="1" applyProtection="1">
      <protection locked="0"/>
    </xf>
    <xf numFmtId="3" fontId="22" fillId="0" borderId="24" xfId="32" applyNumberFormat="1" applyFont="1" applyFill="1" applyBorder="1" applyAlignment="1" applyProtection="1">
      <protection locked="0"/>
    </xf>
    <xf numFmtId="3" fontId="19" fillId="0" borderId="24" xfId="31" applyNumberFormat="1" applyFont="1" applyFill="1" applyBorder="1" applyAlignment="1" applyProtection="1">
      <protection locked="0"/>
    </xf>
    <xf numFmtId="3" fontId="19" fillId="0" borderId="24" xfId="32" applyNumberFormat="1" applyFont="1" applyFill="1" applyBorder="1" applyAlignment="1" applyProtection="1">
      <alignment vertical="center"/>
      <protection locked="0"/>
    </xf>
    <xf numFmtId="3" fontId="19" fillId="0" borderId="24" xfId="31" applyNumberFormat="1" applyFont="1" applyFill="1" applyBorder="1" applyAlignment="1" applyProtection="1">
      <alignment vertical="center"/>
      <protection locked="0"/>
    </xf>
    <xf numFmtId="3" fontId="19" fillId="0" borderId="0" xfId="32" applyNumberFormat="1" applyFont="1" applyFill="1" applyBorder="1" applyAlignment="1" applyProtection="1">
      <protection locked="0"/>
    </xf>
    <xf numFmtId="3" fontId="19" fillId="0" borderId="0" xfId="32" applyNumberFormat="1" applyFont="1" applyFill="1" applyBorder="1" applyAlignment="1" applyProtection="1">
      <alignment wrapText="1"/>
      <protection locked="0"/>
    </xf>
    <xf numFmtId="3" fontId="19" fillId="0" borderId="24" xfId="32" applyNumberFormat="1" applyFont="1" applyFill="1" applyBorder="1" applyAlignment="1" applyProtection="1">
      <protection locked="0"/>
    </xf>
    <xf numFmtId="0" fontId="22" fillId="0" borderId="55" xfId="32" applyFont="1" applyFill="1" applyBorder="1" applyAlignment="1" applyProtection="1">
      <alignment horizontal="center" vertical="center"/>
      <protection locked="0"/>
    </xf>
    <xf numFmtId="3" fontId="22" fillId="0" borderId="55" xfId="32" applyNumberFormat="1" applyFont="1" applyFill="1" applyBorder="1" applyAlignment="1" applyProtection="1">
      <alignment vertical="center"/>
      <protection locked="0"/>
    </xf>
    <xf numFmtId="3" fontId="22" fillId="0" borderId="55" xfId="31" applyNumberFormat="1" applyFont="1" applyFill="1" applyBorder="1" applyAlignment="1" applyProtection="1">
      <alignment vertical="center"/>
      <protection locked="0"/>
    </xf>
    <xf numFmtId="0" fontId="22" fillId="0" borderId="53" xfId="32" applyFont="1" applyFill="1" applyBorder="1" applyAlignment="1" applyProtection="1">
      <alignment horizontal="center" vertical="center"/>
      <protection locked="0"/>
    </xf>
    <xf numFmtId="3" fontId="22" fillId="0" borderId="53" xfId="32" applyNumberFormat="1" applyFont="1" applyFill="1" applyBorder="1" applyAlignment="1" applyProtection="1">
      <alignment vertical="center"/>
      <protection locked="0"/>
    </xf>
    <xf numFmtId="3" fontId="22" fillId="0" borderId="53" xfId="31" applyNumberFormat="1" applyFont="1" applyFill="1" applyBorder="1" applyAlignment="1" applyProtection="1">
      <alignment vertical="center"/>
      <protection locked="0"/>
    </xf>
    <xf numFmtId="0" fontId="19" fillId="0" borderId="24" xfId="31" applyFont="1" applyFill="1" applyBorder="1" applyAlignment="1" applyProtection="1">
      <alignment horizontal="left" wrapText="1"/>
      <protection locked="0"/>
    </xf>
    <xf numFmtId="0" fontId="19" fillId="0" borderId="24" xfId="31" applyFont="1" applyFill="1" applyBorder="1" applyAlignment="1" applyProtection="1">
      <alignment horizontal="left" vertical="top" wrapText="1"/>
      <protection locked="0"/>
    </xf>
    <xf numFmtId="0" fontId="19" fillId="0" borderId="0" xfId="18" applyNumberFormat="1" applyFont="1" applyFill="1" applyBorder="1" applyAlignment="1">
      <alignment horizontal="center" vertical="center"/>
    </xf>
    <xf numFmtId="0" fontId="11" fillId="0" borderId="0" xfId="18" applyNumberFormat="1" applyFont="1" applyFill="1" applyBorder="1" applyAlignment="1">
      <alignment horizontal="center" vertical="center"/>
    </xf>
    <xf numFmtId="0" fontId="10" fillId="0" borderId="0" xfId="0" applyFont="1" applyFill="1" applyAlignment="1"/>
    <xf numFmtId="0" fontId="19" fillId="0" borderId="0" xfId="31" applyFont="1" applyFill="1" applyBorder="1" applyAlignment="1"/>
    <xf numFmtId="3" fontId="19" fillId="0" borderId="0" xfId="31" applyNumberFormat="1" applyFont="1" applyFill="1" applyBorder="1" applyAlignment="1">
      <alignment horizontal="center" wrapText="1"/>
    </xf>
    <xf numFmtId="3" fontId="22" fillId="0" borderId="0" xfId="31" applyNumberFormat="1" applyFont="1" applyFill="1" applyBorder="1" applyAlignment="1">
      <alignment horizontal="right"/>
    </xf>
    <xf numFmtId="0" fontId="15" fillId="0" borderId="0" xfId="31" applyFont="1" applyFill="1" applyBorder="1" applyAlignment="1">
      <alignment horizontal="center"/>
    </xf>
    <xf numFmtId="0" fontId="15" fillId="0" borderId="0" xfId="32" applyFont="1" applyFill="1" applyBorder="1" applyAlignment="1">
      <alignment horizontal="center" wrapText="1"/>
    </xf>
    <xf numFmtId="3" fontId="15" fillId="0" borderId="0" xfId="32" applyNumberFormat="1" applyFont="1" applyFill="1" applyBorder="1" applyAlignment="1">
      <alignment horizontal="center"/>
    </xf>
    <xf numFmtId="0" fontId="15" fillId="0" borderId="0" xfId="0" applyFont="1" applyFill="1" applyAlignment="1"/>
    <xf numFmtId="0" fontId="19" fillId="0" borderId="77" xfId="31" applyFont="1" applyFill="1" applyBorder="1" applyAlignment="1">
      <alignment horizontal="center" vertical="center" wrapText="1"/>
    </xf>
    <xf numFmtId="0" fontId="19" fillId="0" borderId="57" xfId="31" applyFont="1" applyFill="1" applyBorder="1" applyAlignment="1">
      <alignment horizontal="center" vertical="center" wrapText="1"/>
    </xf>
    <xf numFmtId="3" fontId="19" fillId="0" borderId="57" xfId="21" applyNumberFormat="1" applyFont="1" applyFill="1" applyBorder="1" applyAlignment="1">
      <alignment horizontal="center" vertical="center" wrapText="1"/>
    </xf>
    <xf numFmtId="0" fontId="11" fillId="0" borderId="36" xfId="21" applyFont="1" applyFill="1" applyBorder="1" applyAlignment="1">
      <alignment vertical="top" wrapText="1"/>
    </xf>
    <xf numFmtId="3" fontId="11" fillId="0" borderId="36" xfId="22" applyNumberFormat="1" applyFont="1" applyFill="1" applyBorder="1" applyAlignment="1">
      <alignment horizontal="left" vertical="top" wrapText="1"/>
    </xf>
    <xf numFmtId="0" fontId="11" fillId="0" borderId="17" xfId="21" applyFont="1" applyFill="1" applyBorder="1" applyAlignment="1">
      <alignment horizontal="left" vertical="top" wrapText="1"/>
    </xf>
    <xf numFmtId="3" fontId="11" fillId="0" borderId="121" xfId="22" applyNumberFormat="1" applyFont="1" applyFill="1" applyBorder="1" applyAlignment="1">
      <alignment horizontal="left"/>
    </xf>
    <xf numFmtId="3" fontId="44" fillId="0" borderId="186" xfId="21" applyNumberFormat="1" applyFont="1" applyFill="1" applyBorder="1" applyAlignment="1">
      <alignment horizontal="right" wrapText="1"/>
    </xf>
    <xf numFmtId="0" fontId="44" fillId="0" borderId="16" xfId="31" applyFont="1" applyFill="1" applyBorder="1" applyAlignment="1">
      <alignment horizontal="center"/>
    </xf>
    <xf numFmtId="0" fontId="44" fillId="0" borderId="17" xfId="31" applyFont="1" applyFill="1" applyBorder="1" applyAlignment="1">
      <alignment horizontal="center"/>
    </xf>
    <xf numFmtId="0" fontId="44" fillId="0" borderId="17" xfId="21" applyFont="1" applyFill="1" applyBorder="1" applyAlignment="1">
      <alignment horizontal="left"/>
    </xf>
    <xf numFmtId="3" fontId="44" fillId="0" borderId="17" xfId="31" applyNumberFormat="1" applyFont="1" applyFill="1" applyBorder="1" applyAlignment="1">
      <alignment horizontal="right"/>
    </xf>
    <xf numFmtId="3" fontId="44" fillId="0" borderId="17" xfId="21" applyNumberFormat="1" applyFont="1" applyFill="1" applyBorder="1" applyAlignment="1">
      <alignment horizontal="right"/>
    </xf>
    <xf numFmtId="3" fontId="44" fillId="0" borderId="23" xfId="31" applyNumberFormat="1" applyFont="1" applyFill="1" applyBorder="1" applyAlignment="1">
      <alignment horizontal="right"/>
    </xf>
    <xf numFmtId="3" fontId="44" fillId="0" borderId="17" xfId="21" applyNumberFormat="1" applyFont="1" applyFill="1" applyBorder="1" applyAlignment="1">
      <alignment horizontal="right" wrapText="1"/>
    </xf>
    <xf numFmtId="3" fontId="44" fillId="0" borderId="82" xfId="31" applyNumberFormat="1" applyFont="1" applyFill="1" applyBorder="1" applyAlignment="1">
      <alignment horizontal="right"/>
    </xf>
    <xf numFmtId="0" fontId="44" fillId="0" borderId="0" xfId="31" applyFont="1" applyFill="1" applyBorder="1" applyAlignment="1"/>
    <xf numFmtId="0" fontId="44" fillId="0" borderId="36" xfId="21" applyFont="1" applyFill="1" applyBorder="1" applyAlignment="1"/>
    <xf numFmtId="3" fontId="11" fillId="0" borderId="20" xfId="31" applyNumberFormat="1" applyFont="1" applyFill="1" applyBorder="1" applyAlignment="1">
      <alignment horizontal="center" vertical="center" wrapText="1"/>
    </xf>
    <xf numFmtId="3" fontId="11" fillId="0" borderId="129" xfId="21" applyNumberFormat="1" applyFont="1" applyFill="1" applyBorder="1" applyAlignment="1">
      <alignment horizontal="right" wrapText="1"/>
    </xf>
    <xf numFmtId="3" fontId="11" fillId="0" borderId="114" xfId="21" applyNumberFormat="1" applyFont="1" applyFill="1" applyBorder="1" applyAlignment="1">
      <alignment horizontal="right" wrapText="1"/>
    </xf>
    <xf numFmtId="3" fontId="44" fillId="0" borderId="114" xfId="21" applyNumberFormat="1" applyFont="1" applyFill="1" applyBorder="1" applyAlignment="1">
      <alignment horizontal="right" wrapText="1"/>
    </xf>
    <xf numFmtId="3" fontId="11" fillId="0" borderId="114" xfId="31" applyNumberFormat="1" applyFont="1" applyFill="1" applyBorder="1" applyAlignment="1">
      <alignment horizontal="right"/>
    </xf>
    <xf numFmtId="0" fontId="11" fillId="0" borderId="77" xfId="31" applyFont="1" applyFill="1" applyBorder="1" applyAlignment="1">
      <alignment horizontal="center" wrapText="1"/>
    </xf>
    <xf numFmtId="0" fontId="11" fillId="0" borderId="57" xfId="31" applyFont="1" applyFill="1" applyBorder="1" applyAlignment="1">
      <alignment horizontal="center" wrapText="1"/>
    </xf>
    <xf numFmtId="0" fontId="44" fillId="0" borderId="57" xfId="31" applyFont="1" applyFill="1" applyBorder="1" applyAlignment="1">
      <alignment horizontal="center" wrapText="1"/>
    </xf>
    <xf numFmtId="0" fontId="15" fillId="0" borderId="0" xfId="0" applyFont="1" applyFill="1" applyBorder="1" applyAlignment="1">
      <alignment horizontal="center" vertical="center"/>
    </xf>
    <xf numFmtId="0" fontId="19" fillId="0" borderId="0" xfId="0" applyFont="1" applyFill="1" applyBorder="1" applyAlignment="1">
      <alignment horizontal="center" vertical="center"/>
    </xf>
    <xf numFmtId="0" fontId="22" fillId="0" borderId="0" xfId="0" applyFont="1" applyFill="1" applyBorder="1" applyAlignment="1">
      <alignment horizontal="center" vertical="center"/>
    </xf>
    <xf numFmtId="0" fontId="19" fillId="0" borderId="0" xfId="0" applyFont="1" applyFill="1" applyBorder="1" applyAlignment="1">
      <alignment vertical="center"/>
    </xf>
    <xf numFmtId="4" fontId="11" fillId="0" borderId="0" xfId="0" applyNumberFormat="1" applyFont="1" applyFill="1" applyAlignment="1">
      <alignment horizontal="center" vertical="center"/>
    </xf>
    <xf numFmtId="3" fontId="19" fillId="0" borderId="0" xfId="22" applyNumberFormat="1" applyFont="1"/>
    <xf numFmtId="3" fontId="19" fillId="0" borderId="0" xfId="22" applyNumberFormat="1" applyFont="1" applyAlignment="1">
      <alignment horizontal="center"/>
    </xf>
    <xf numFmtId="3" fontId="19" fillId="0" borderId="0" xfId="22" applyNumberFormat="1" applyFont="1" applyAlignment="1">
      <alignment horizontal="left" wrapText="1"/>
    </xf>
    <xf numFmtId="14" fontId="19" fillId="0" borderId="0" xfId="22" applyNumberFormat="1" applyFont="1" applyAlignment="1">
      <alignment horizontal="center"/>
    </xf>
    <xf numFmtId="3" fontId="15" fillId="0" borderId="6" xfId="0" applyNumberFormat="1" applyFont="1" applyBorder="1" applyAlignment="1">
      <alignment horizontal="center"/>
    </xf>
    <xf numFmtId="0" fontId="15" fillId="0" borderId="0" xfId="0" applyFont="1" applyAlignment="1"/>
    <xf numFmtId="3" fontId="45" fillId="0" borderId="17" xfId="31" applyNumberFormat="1" applyFont="1" applyFill="1" applyBorder="1" applyAlignment="1">
      <alignment horizontal="right"/>
    </xf>
    <xf numFmtId="3" fontId="45" fillId="0" borderId="17" xfId="21" applyNumberFormat="1" applyFont="1" applyFill="1" applyBorder="1" applyAlignment="1">
      <alignment horizontal="right" wrapText="1"/>
    </xf>
    <xf numFmtId="3" fontId="45" fillId="0" borderId="129" xfId="21" applyNumberFormat="1" applyFont="1" applyFill="1" applyBorder="1" applyAlignment="1">
      <alignment horizontal="right" wrapText="1"/>
    </xf>
    <xf numFmtId="3" fontId="45" fillId="0" borderId="118" xfId="21" applyNumberFormat="1" applyFont="1" applyFill="1" applyBorder="1" applyAlignment="1">
      <alignment horizontal="right" wrapText="1"/>
    </xf>
    <xf numFmtId="3" fontId="44" fillId="0" borderId="187" xfId="21" applyNumberFormat="1" applyFont="1" applyFill="1" applyBorder="1" applyAlignment="1">
      <alignment horizontal="right" wrapText="1"/>
    </xf>
    <xf numFmtId="3" fontId="45" fillId="0" borderId="114" xfId="21" applyNumberFormat="1" applyFont="1" applyFill="1" applyBorder="1" applyAlignment="1">
      <alignment horizontal="right" wrapText="1"/>
    </xf>
    <xf numFmtId="3" fontId="45" fillId="0" borderId="114" xfId="31" applyNumberFormat="1" applyFont="1" applyFill="1" applyBorder="1" applyAlignment="1">
      <alignment horizontal="right"/>
    </xf>
    <xf numFmtId="3" fontId="44" fillId="0" borderId="186" xfId="31" applyNumberFormat="1" applyFont="1" applyFill="1" applyBorder="1" applyAlignment="1">
      <alignment horizontal="right"/>
    </xf>
    <xf numFmtId="0" fontId="11" fillId="0" borderId="36" xfId="21" applyFont="1" applyFill="1" applyBorder="1" applyAlignment="1">
      <alignment horizontal="left" wrapText="1"/>
    </xf>
    <xf numFmtId="2" fontId="11" fillId="0" borderId="17" xfId="21" applyNumberFormat="1" applyFont="1" applyFill="1" applyBorder="1" applyAlignment="1">
      <alignment wrapText="1"/>
    </xf>
    <xf numFmtId="0" fontId="45" fillId="0" borderId="0" xfId="31" applyFont="1" applyFill="1" applyBorder="1" applyAlignment="1"/>
    <xf numFmtId="3" fontId="11" fillId="0" borderId="0" xfId="31" applyNumberFormat="1" applyFont="1" applyFill="1" applyBorder="1" applyAlignment="1">
      <alignment horizontal="right"/>
    </xf>
    <xf numFmtId="0" fontId="36" fillId="0" borderId="17" xfId="21" applyFont="1" applyFill="1" applyBorder="1" applyAlignment="1">
      <alignment horizontal="left"/>
    </xf>
    <xf numFmtId="0" fontId="11" fillId="0" borderId="57" xfId="31" applyFont="1" applyFill="1" applyBorder="1" applyAlignment="1">
      <alignment horizontal="center" vertical="top" wrapText="1"/>
    </xf>
    <xf numFmtId="3" fontId="45" fillId="0" borderId="17" xfId="21" applyNumberFormat="1" applyFont="1" applyFill="1" applyBorder="1" applyAlignment="1">
      <alignment horizontal="right"/>
    </xf>
    <xf numFmtId="0" fontId="11" fillId="0" borderId="17" xfId="31" applyFont="1" applyFill="1" applyBorder="1" applyAlignment="1">
      <alignment wrapText="1"/>
    </xf>
    <xf numFmtId="0" fontId="35" fillId="0" borderId="17" xfId="31" applyFont="1" applyFill="1" applyBorder="1" applyAlignment="1"/>
    <xf numFmtId="0" fontId="11" fillId="0" borderId="17" xfId="31" applyFont="1" applyFill="1" applyBorder="1" applyAlignment="1">
      <alignment horizontal="left" wrapText="1" indent="1"/>
    </xf>
    <xf numFmtId="0" fontId="35" fillId="0" borderId="17" xfId="31" applyFont="1" applyFill="1" applyBorder="1" applyAlignment="1">
      <alignment wrapText="1"/>
    </xf>
    <xf numFmtId="0" fontId="26" fillId="0" borderId="17" xfId="31" applyFont="1" applyFill="1" applyBorder="1" applyAlignment="1">
      <alignment wrapText="1"/>
    </xf>
    <xf numFmtId="0" fontId="35" fillId="0" borderId="17" xfId="31" applyFont="1" applyFill="1" applyBorder="1" applyAlignment="1">
      <alignment horizontal="left" wrapText="1"/>
    </xf>
    <xf numFmtId="0" fontId="26" fillId="0" borderId="17" xfId="31" applyFont="1" applyFill="1" applyBorder="1" applyAlignment="1">
      <alignment shrinkToFit="1"/>
    </xf>
    <xf numFmtId="0" fontId="35" fillId="0" borderId="17" xfId="31" applyFont="1" applyFill="1" applyBorder="1" applyAlignment="1">
      <alignment horizontal="left"/>
    </xf>
    <xf numFmtId="0" fontId="11" fillId="0" borderId="17" xfId="31" applyFont="1" applyFill="1" applyBorder="1" applyAlignment="1">
      <alignment vertical="top" wrapText="1"/>
    </xf>
    <xf numFmtId="0" fontId="11" fillId="0" borderId="122" xfId="21" applyFont="1" applyFill="1" applyBorder="1" applyAlignment="1">
      <alignment wrapText="1"/>
    </xf>
    <xf numFmtId="0" fontId="11" fillId="0" borderId="17" xfId="21" applyFont="1" applyFill="1" applyBorder="1" applyAlignment="1">
      <alignment shrinkToFit="1"/>
    </xf>
    <xf numFmtId="0" fontId="13" fillId="0" borderId="0" xfId="0" applyFont="1" applyFill="1" applyAlignment="1">
      <alignment horizontal="center" vertical="center"/>
    </xf>
    <xf numFmtId="3" fontId="21" fillId="0" borderId="0" xfId="0" applyNumberFormat="1" applyFont="1" applyFill="1" applyAlignment="1">
      <alignment horizontal="right" vertical="center"/>
    </xf>
    <xf numFmtId="0" fontId="11" fillId="0" borderId="0" xfId="0" applyFont="1" applyAlignment="1">
      <alignment horizontal="left" vertical="top"/>
    </xf>
    <xf numFmtId="0" fontId="39" fillId="0" borderId="17" xfId="31" applyFont="1" applyFill="1" applyBorder="1" applyAlignment="1">
      <alignment wrapText="1"/>
    </xf>
    <xf numFmtId="0" fontId="48" fillId="0" borderId="17" xfId="21" applyFont="1" applyFill="1" applyBorder="1" applyAlignment="1">
      <alignment horizontal="left"/>
    </xf>
    <xf numFmtId="3" fontId="11" fillId="0" borderId="19" xfId="0" applyNumberFormat="1" applyFont="1" applyBorder="1"/>
    <xf numFmtId="3" fontId="11" fillId="0" borderId="62" xfId="0" applyNumberFormat="1" applyFont="1" applyBorder="1"/>
    <xf numFmtId="3" fontId="14" fillId="0" borderId="19" xfId="0" applyNumberFormat="1" applyFont="1" applyFill="1" applyBorder="1" applyAlignment="1">
      <alignment vertical="center"/>
    </xf>
    <xf numFmtId="3" fontId="19" fillId="0" borderId="17" xfId="28" applyNumberFormat="1" applyFont="1" applyFill="1" applyBorder="1" applyAlignment="1">
      <alignment horizontal="left"/>
    </xf>
    <xf numFmtId="3" fontId="19" fillId="0" borderId="23" xfId="28" applyNumberFormat="1" applyFont="1" applyFill="1" applyBorder="1" applyAlignment="1">
      <alignment vertical="top" wrapText="1"/>
    </xf>
    <xf numFmtId="0" fontId="49" fillId="0" borderId="17" xfId="31" applyFont="1" applyFill="1" applyBorder="1" applyAlignment="1" applyProtection="1">
      <alignment horizontal="left"/>
      <protection locked="0"/>
    </xf>
    <xf numFmtId="0" fontId="19" fillId="0" borderId="27" xfId="32" applyFont="1" applyFill="1" applyBorder="1" applyAlignment="1" applyProtection="1">
      <alignment horizontal="center" vertical="top"/>
      <protection locked="0"/>
    </xf>
    <xf numFmtId="0" fontId="19" fillId="0" borderId="17" xfId="31" applyFont="1" applyFill="1" applyBorder="1" applyAlignment="1" applyProtection="1">
      <alignment horizontal="left" vertical="top" wrapText="1"/>
      <protection locked="0"/>
    </xf>
    <xf numFmtId="3" fontId="19" fillId="0" borderId="24" xfId="32" applyNumberFormat="1" applyFont="1" applyFill="1" applyBorder="1" applyAlignment="1" applyProtection="1">
      <alignment horizontal="center" vertical="top"/>
      <protection locked="0"/>
    </xf>
    <xf numFmtId="3" fontId="19" fillId="0" borderId="24" xfId="31" applyNumberFormat="1" applyFont="1" applyFill="1" applyBorder="1" applyAlignment="1" applyProtection="1">
      <alignment horizontal="center" vertical="top"/>
      <protection locked="0"/>
    </xf>
    <xf numFmtId="0" fontId="19" fillId="0" borderId="0" xfId="31" applyFont="1" applyFill="1" applyBorder="1" applyAlignment="1" applyProtection="1">
      <alignment vertical="top"/>
      <protection locked="0"/>
    </xf>
    <xf numFmtId="3" fontId="13" fillId="0" borderId="9" xfId="0" applyNumberFormat="1" applyFont="1" applyFill="1" applyBorder="1" applyAlignment="1">
      <alignment vertical="center"/>
    </xf>
    <xf numFmtId="0" fontId="11" fillId="0" borderId="17" xfId="31" applyFont="1" applyFill="1" applyBorder="1" applyAlignment="1">
      <alignment horizontal="left" indent="1" shrinkToFit="1"/>
    </xf>
    <xf numFmtId="0" fontId="11" fillId="0" borderId="24" xfId="31" applyFont="1" applyFill="1" applyBorder="1" applyAlignment="1">
      <alignment horizontal="center"/>
    </xf>
    <xf numFmtId="3" fontId="45" fillId="0" borderId="24" xfId="31" applyNumberFormat="1" applyFont="1" applyFill="1" applyBorder="1" applyAlignment="1">
      <alignment horizontal="right"/>
    </xf>
    <xf numFmtId="3" fontId="45" fillId="0" borderId="24" xfId="21" applyNumberFormat="1" applyFont="1" applyFill="1" applyBorder="1" applyAlignment="1">
      <alignment horizontal="right"/>
    </xf>
    <xf numFmtId="3" fontId="45" fillId="0" borderId="26" xfId="31" applyNumberFormat="1" applyFont="1" applyFill="1" applyBorder="1" applyAlignment="1">
      <alignment horizontal="right"/>
    </xf>
    <xf numFmtId="3" fontId="44" fillId="0" borderId="79" xfId="21" applyNumberFormat="1" applyFont="1" applyFill="1" applyBorder="1" applyAlignment="1">
      <alignment horizontal="right" wrapText="1"/>
    </xf>
    <xf numFmtId="3" fontId="44" fillId="0" borderId="24" xfId="21" applyNumberFormat="1" applyFont="1" applyFill="1" applyBorder="1" applyAlignment="1">
      <alignment horizontal="right" wrapText="1"/>
    </xf>
    <xf numFmtId="3" fontId="45" fillId="0" borderId="24" xfId="21" applyNumberFormat="1" applyFont="1" applyFill="1" applyBorder="1" applyAlignment="1">
      <alignment horizontal="right" wrapText="1"/>
    </xf>
    <xf numFmtId="3" fontId="44" fillId="0" borderId="204" xfId="21" applyNumberFormat="1" applyFont="1" applyFill="1" applyBorder="1" applyAlignment="1">
      <alignment horizontal="right" wrapText="1"/>
    </xf>
    <xf numFmtId="0" fontId="48" fillId="0" borderId="24" xfId="21" applyFont="1" applyFill="1" applyBorder="1" applyAlignment="1">
      <alignment horizontal="left"/>
    </xf>
    <xf numFmtId="3" fontId="44" fillId="0" borderId="205" xfId="31" applyNumberFormat="1" applyFont="1" applyFill="1" applyBorder="1" applyAlignment="1">
      <alignment horizontal="right"/>
    </xf>
    <xf numFmtId="3" fontId="44" fillId="0" borderId="81" xfId="31" applyNumberFormat="1" applyFont="1" applyFill="1" applyBorder="1" applyAlignment="1">
      <alignment horizontal="right"/>
    </xf>
    <xf numFmtId="3" fontId="11" fillId="0" borderId="205" xfId="31" applyNumberFormat="1" applyFont="1" applyFill="1" applyBorder="1" applyAlignment="1">
      <alignment horizontal="right"/>
    </xf>
    <xf numFmtId="0" fontId="11" fillId="0" borderId="45" xfId="31" applyFont="1" applyFill="1" applyBorder="1" applyAlignment="1">
      <alignment horizontal="center"/>
    </xf>
    <xf numFmtId="3" fontId="45" fillId="0" borderId="45" xfId="21" applyNumberFormat="1" applyFont="1" applyFill="1" applyBorder="1" applyAlignment="1">
      <alignment horizontal="right"/>
    </xf>
    <xf numFmtId="0" fontId="44" fillId="0" borderId="21" xfId="31" applyFont="1" applyFill="1" applyBorder="1" applyAlignment="1">
      <alignment horizontal="center" wrapText="1"/>
    </xf>
    <xf numFmtId="3" fontId="44" fillId="0" borderId="128" xfId="21" applyNumberFormat="1" applyFont="1" applyFill="1" applyBorder="1" applyAlignment="1">
      <alignment horizontal="right" wrapText="1"/>
    </xf>
    <xf numFmtId="3" fontId="44" fillId="0" borderId="45" xfId="21" applyNumberFormat="1" applyFont="1" applyFill="1" applyBorder="1" applyAlignment="1">
      <alignment horizontal="right" wrapText="1"/>
    </xf>
    <xf numFmtId="3" fontId="44" fillId="0" borderId="206" xfId="21" applyNumberFormat="1" applyFont="1" applyFill="1" applyBorder="1" applyAlignment="1">
      <alignment horizontal="right" wrapText="1"/>
    </xf>
    <xf numFmtId="0" fontId="11" fillId="0" borderId="207" xfId="31" applyFont="1" applyFill="1" applyBorder="1" applyAlignment="1">
      <alignment horizontal="center"/>
    </xf>
    <xf numFmtId="3" fontId="44" fillId="0" borderId="210" xfId="31" applyNumberFormat="1" applyFont="1" applyFill="1" applyBorder="1" applyAlignment="1">
      <alignment horizontal="right"/>
    </xf>
    <xf numFmtId="3" fontId="11" fillId="0" borderId="45" xfId="31" applyNumberFormat="1" applyFont="1" applyFill="1" applyBorder="1" applyAlignment="1">
      <alignment horizontal="right"/>
    </xf>
    <xf numFmtId="3" fontId="11" fillId="0" borderId="45" xfId="21" applyNumberFormat="1" applyFont="1" applyFill="1" applyBorder="1" applyAlignment="1">
      <alignment horizontal="right"/>
    </xf>
    <xf numFmtId="3" fontId="11" fillId="0" borderId="58" xfId="31" applyNumberFormat="1" applyFont="1" applyFill="1" applyBorder="1" applyAlignment="1">
      <alignment horizontal="right"/>
    </xf>
    <xf numFmtId="0" fontId="11" fillId="0" borderId="21" xfId="31" applyFont="1" applyFill="1" applyBorder="1" applyAlignment="1">
      <alignment horizontal="center" wrapText="1"/>
    </xf>
    <xf numFmtId="3" fontId="11" fillId="0" borderId="128" xfId="21" applyNumberFormat="1" applyFont="1" applyFill="1" applyBorder="1" applyAlignment="1">
      <alignment horizontal="right" wrapText="1"/>
    </xf>
    <xf numFmtId="3" fontId="11" fillId="0" borderId="45" xfId="21" applyNumberFormat="1" applyFont="1" applyFill="1" applyBorder="1" applyAlignment="1">
      <alignment horizontal="right" wrapText="1"/>
    </xf>
    <xf numFmtId="0" fontId="11" fillId="0" borderId="55" xfId="31" applyFont="1" applyFill="1" applyBorder="1" applyAlignment="1">
      <alignment horizontal="center" vertical="top"/>
    </xf>
    <xf numFmtId="3" fontId="11" fillId="0" borderId="55" xfId="31" applyNumberFormat="1" applyFont="1" applyFill="1" applyBorder="1" applyAlignment="1">
      <alignment horizontal="right"/>
    </xf>
    <xf numFmtId="0" fontId="11" fillId="0" borderId="211" xfId="31" applyFont="1" applyFill="1" applyBorder="1" applyAlignment="1">
      <alignment horizontal="center" wrapText="1"/>
    </xf>
    <xf numFmtId="3" fontId="11" fillId="0" borderId="40" xfId="31" applyNumberFormat="1" applyFont="1" applyFill="1" applyBorder="1" applyAlignment="1">
      <alignment horizontal="right"/>
    </xf>
    <xf numFmtId="0" fontId="13" fillId="0" borderId="208" xfId="31" applyFont="1" applyFill="1" applyBorder="1" applyAlignment="1">
      <alignment horizontal="center" wrapText="1"/>
    </xf>
    <xf numFmtId="3" fontId="13" fillId="0" borderId="209" xfId="21" applyNumberFormat="1" applyFont="1" applyFill="1" applyBorder="1" applyAlignment="1">
      <alignment horizontal="right" wrapText="1"/>
    </xf>
    <xf numFmtId="3" fontId="13" fillId="0" borderId="143" xfId="31" applyNumberFormat="1" applyFont="1" applyFill="1" applyBorder="1" applyAlignment="1">
      <alignment horizontal="right"/>
    </xf>
    <xf numFmtId="3" fontId="11" fillId="0" borderId="207" xfId="21" applyNumberFormat="1" applyFont="1" applyFill="1" applyBorder="1" applyAlignment="1">
      <alignment horizontal="right"/>
    </xf>
    <xf numFmtId="3" fontId="11" fillId="0" borderId="17" xfId="18" applyNumberFormat="1" applyFont="1" applyFill="1" applyBorder="1" applyAlignment="1">
      <alignment horizontal="center" vertical="center"/>
    </xf>
    <xf numFmtId="3" fontId="11" fillId="0" borderId="17" xfId="39" applyNumberFormat="1" applyFont="1" applyFill="1" applyBorder="1" applyAlignment="1">
      <alignment horizontal="right" vertical="center"/>
    </xf>
    <xf numFmtId="3" fontId="11" fillId="0" borderId="18" xfId="39" applyNumberFormat="1" applyFont="1" applyFill="1" applyBorder="1" applyAlignment="1">
      <alignment horizontal="right" vertical="center"/>
    </xf>
    <xf numFmtId="3" fontId="11" fillId="0" borderId="45" xfId="39" applyNumberFormat="1" applyFont="1" applyFill="1" applyBorder="1" applyAlignment="1">
      <alignment horizontal="right" vertical="center"/>
    </xf>
    <xf numFmtId="3" fontId="11" fillId="0" borderId="46" xfId="39" applyNumberFormat="1" applyFont="1" applyFill="1" applyBorder="1" applyAlignment="1">
      <alignment horizontal="right" vertical="center"/>
    </xf>
    <xf numFmtId="0" fontId="13" fillId="0" borderId="0" xfId="23" applyFont="1" applyFill="1" applyBorder="1" applyAlignment="1">
      <alignment horizontal="center" vertical="center"/>
    </xf>
    <xf numFmtId="3" fontId="11" fillId="0" borderId="0" xfId="18" applyNumberFormat="1" applyFont="1" applyFill="1" applyBorder="1" applyAlignment="1">
      <alignment horizontal="center" vertical="center"/>
    </xf>
    <xf numFmtId="3" fontId="22" fillId="0" borderId="27" xfId="18" applyNumberFormat="1" applyFont="1" applyFill="1" applyBorder="1" applyAlignment="1">
      <alignment horizontal="center"/>
    </xf>
    <xf numFmtId="3" fontId="19" fillId="0" borderId="108" xfId="18" applyNumberFormat="1" applyFont="1" applyFill="1" applyBorder="1" applyAlignment="1">
      <alignment horizontal="center" vertical="center"/>
    </xf>
    <xf numFmtId="3" fontId="19" fillId="0" borderId="108" xfId="18" applyNumberFormat="1" applyFont="1" applyFill="1" applyBorder="1" applyAlignment="1">
      <alignment wrapText="1"/>
    </xf>
    <xf numFmtId="3" fontId="22" fillId="0" borderId="132" xfId="18" applyNumberFormat="1" applyFont="1" applyFill="1" applyBorder="1" applyAlignment="1">
      <alignment horizontal="right"/>
    </xf>
    <xf numFmtId="3" fontId="19" fillId="0" borderId="108" xfId="0" applyNumberFormat="1" applyFont="1" applyFill="1" applyBorder="1" applyAlignment="1">
      <alignment horizontal="right" wrapText="1"/>
    </xf>
    <xf numFmtId="3" fontId="19" fillId="0" borderId="134" xfId="0" applyNumberFormat="1" applyFont="1" applyFill="1" applyBorder="1" applyAlignment="1">
      <alignment horizontal="right" wrapText="1"/>
    </xf>
    <xf numFmtId="3" fontId="11" fillId="0" borderId="0" xfId="22" applyNumberFormat="1" applyFont="1" applyAlignment="1">
      <alignment horizontal="left" wrapText="1"/>
    </xf>
    <xf numFmtId="0" fontId="38" fillId="0" borderId="0" xfId="30" applyFont="1" applyFill="1" applyBorder="1" applyAlignment="1">
      <alignment vertical="center"/>
    </xf>
    <xf numFmtId="3" fontId="13" fillId="0" borderId="17" xfId="30" applyNumberFormat="1" applyFont="1" applyFill="1" applyBorder="1" applyAlignment="1">
      <alignment vertical="center" wrapText="1"/>
    </xf>
    <xf numFmtId="0" fontId="11" fillId="0" borderId="0" xfId="42" applyFont="1" applyFill="1" applyBorder="1" applyAlignment="1">
      <alignment horizontal="left" vertical="center"/>
    </xf>
    <xf numFmtId="0" fontId="39" fillId="0" borderId="0" xfId="0" applyFont="1" applyAlignment="1">
      <alignment horizontal="center" vertical="center"/>
    </xf>
    <xf numFmtId="0" fontId="51" fillId="0" borderId="32" xfId="0" applyFont="1" applyBorder="1" applyAlignment="1">
      <alignment horizontal="center" vertical="center" wrapText="1"/>
    </xf>
    <xf numFmtId="0" fontId="39" fillId="0" borderId="5" xfId="0" applyFont="1" applyBorder="1" applyAlignment="1">
      <alignment horizontal="left" vertical="center" wrapText="1"/>
    </xf>
    <xf numFmtId="0" fontId="39" fillId="0" borderId="20" xfId="0" applyFont="1" applyBorder="1" applyAlignment="1">
      <alignment horizontal="left" vertical="center" wrapText="1"/>
    </xf>
    <xf numFmtId="0" fontId="39" fillId="0" borderId="4" xfId="0" applyFont="1" applyBorder="1" applyAlignment="1">
      <alignment horizontal="left" vertical="center" wrapText="1"/>
    </xf>
    <xf numFmtId="0" fontId="39" fillId="0" borderId="19" xfId="0" applyFont="1" applyBorder="1" applyAlignment="1">
      <alignment horizontal="left" vertical="center" wrapText="1"/>
    </xf>
    <xf numFmtId="0" fontId="52" fillId="0" borderId="4" xfId="0" applyFont="1" applyBorder="1" applyAlignment="1">
      <alignment horizontal="left" vertical="center" wrapText="1"/>
    </xf>
    <xf numFmtId="0" fontId="52" fillId="0" borderId="19" xfId="0" applyFont="1" applyBorder="1" applyAlignment="1">
      <alignment horizontal="left" vertical="center" wrapText="1"/>
    </xf>
    <xf numFmtId="0" fontId="52" fillId="0" borderId="5" xfId="0" applyFont="1" applyBorder="1" applyAlignment="1">
      <alignment horizontal="left" vertical="center" wrapText="1"/>
    </xf>
    <xf numFmtId="0" fontId="52" fillId="0" borderId="20" xfId="0" applyFont="1" applyBorder="1" applyAlignment="1">
      <alignment horizontal="left" vertical="center" wrapText="1"/>
    </xf>
    <xf numFmtId="3" fontId="51" fillId="0" borderId="20" xfId="0" applyNumberFormat="1" applyFont="1" applyBorder="1" applyAlignment="1">
      <alignment horizontal="right" vertical="center" wrapText="1"/>
    </xf>
    <xf numFmtId="3" fontId="51" fillId="0" borderId="20" xfId="0" applyNumberFormat="1" applyFont="1" applyBorder="1" applyAlignment="1">
      <alignment horizontal="right" vertical="center"/>
    </xf>
    <xf numFmtId="3" fontId="19" fillId="0" borderId="0" xfId="22" applyNumberFormat="1" applyFont="1" applyAlignment="1">
      <alignment horizontal="center" wrapText="1"/>
    </xf>
    <xf numFmtId="3" fontId="19" fillId="0" borderId="0" xfId="22" applyNumberFormat="1" applyFont="1" applyBorder="1" applyAlignment="1">
      <alignment horizontal="center"/>
    </xf>
    <xf numFmtId="3" fontId="19" fillId="0" borderId="19" xfId="22" applyNumberFormat="1" applyFont="1" applyBorder="1" applyAlignment="1">
      <alignment horizontal="center" vertical="center" wrapText="1"/>
    </xf>
    <xf numFmtId="3" fontId="11" fillId="0" borderId="213" xfId="22" applyNumberFormat="1" applyFont="1" applyBorder="1" applyAlignment="1">
      <alignment horizontal="center" vertical="center" wrapText="1"/>
    </xf>
    <xf numFmtId="3" fontId="11" fillId="0" borderId="124" xfId="22" applyNumberFormat="1" applyFont="1" applyBorder="1" applyAlignment="1">
      <alignment horizontal="center" vertical="center" wrapText="1"/>
    </xf>
    <xf numFmtId="3" fontId="19" fillId="0" borderId="0" xfId="22" applyNumberFormat="1" applyFont="1" applyBorder="1" applyAlignment="1">
      <alignment horizontal="center" vertical="center" wrapText="1"/>
    </xf>
    <xf numFmtId="3" fontId="11" fillId="0" borderId="4" xfId="22" applyNumberFormat="1" applyFont="1" applyBorder="1" applyAlignment="1">
      <alignment horizontal="center" wrapText="1"/>
    </xf>
    <xf numFmtId="3" fontId="35" fillId="0" borderId="78" xfId="22" applyNumberFormat="1" applyFont="1" applyBorder="1" applyAlignment="1">
      <alignment horizontal="left"/>
    </xf>
    <xf numFmtId="3" fontId="11" fillId="0" borderId="51" xfId="22" applyNumberFormat="1" applyFont="1" applyBorder="1" applyAlignment="1">
      <alignment horizontal="center" wrapText="1"/>
    </xf>
    <xf numFmtId="14" fontId="11" fillId="0" borderId="178" xfId="22" applyNumberFormat="1" applyFont="1" applyBorder="1" applyAlignment="1">
      <alignment horizontal="center" vertical="center" wrapText="1"/>
    </xf>
    <xf numFmtId="3" fontId="11" fillId="0" borderId="0" xfId="22" applyNumberFormat="1" applyFont="1" applyBorder="1" applyAlignment="1">
      <alignment horizontal="center" vertical="center" wrapText="1"/>
    </xf>
    <xf numFmtId="3" fontId="11" fillId="0" borderId="216" xfId="22" applyNumberFormat="1" applyFont="1" applyBorder="1" applyAlignment="1">
      <alignment horizontal="center" vertical="center" wrapText="1"/>
    </xf>
    <xf numFmtId="3" fontId="11" fillId="0" borderId="129" xfId="22" applyNumberFormat="1" applyFont="1" applyBorder="1" applyAlignment="1">
      <alignment horizontal="center" vertical="center" wrapText="1"/>
    </xf>
    <xf numFmtId="0" fontId="11" fillId="0" borderId="118" xfId="22" applyNumberFormat="1" applyFont="1" applyBorder="1" applyAlignment="1">
      <alignment horizontal="center" vertical="center" wrapText="1"/>
    </xf>
    <xf numFmtId="3" fontId="11" fillId="0" borderId="187" xfId="22" applyNumberFormat="1" applyFont="1" applyBorder="1" applyAlignment="1">
      <alignment horizontal="center" vertical="center" wrapText="1"/>
    </xf>
    <xf numFmtId="3" fontId="11" fillId="0" borderId="118" xfId="22" applyNumberFormat="1" applyFont="1" applyBorder="1" applyAlignment="1">
      <alignment horizontal="center" vertical="center" wrapText="1"/>
    </xf>
    <xf numFmtId="3" fontId="11" fillId="0" borderId="136" xfId="22" applyNumberFormat="1" applyFont="1" applyBorder="1" applyAlignment="1">
      <alignment horizontal="center" vertical="center" wrapText="1"/>
    </xf>
    <xf numFmtId="3" fontId="19" fillId="0" borderId="0" xfId="22" applyNumberFormat="1" applyFont="1" applyAlignment="1">
      <alignment horizontal="center" vertical="center" wrapText="1"/>
    </xf>
    <xf numFmtId="3" fontId="11" fillId="0" borderId="16" xfId="22" applyNumberFormat="1" applyFont="1" applyBorder="1" applyAlignment="1">
      <alignment horizontal="center" vertical="center" wrapText="1"/>
    </xf>
    <xf numFmtId="3" fontId="11" fillId="0" borderId="24" xfId="22" applyNumberFormat="1" applyFont="1" applyBorder="1" applyAlignment="1">
      <alignment horizontal="center" vertical="top" wrapText="1"/>
    </xf>
    <xf numFmtId="3" fontId="11" fillId="0" borderId="17" xfId="22" applyNumberFormat="1" applyFont="1" applyBorder="1" applyAlignment="1">
      <alignment horizontal="left" vertical="center" wrapText="1"/>
    </xf>
    <xf numFmtId="14" fontId="11" fillId="0" borderId="186" xfId="22" applyNumberFormat="1" applyFont="1" applyBorder="1" applyAlignment="1">
      <alignment horizontal="center" vertical="center" wrapText="1"/>
    </xf>
    <xf numFmtId="3" fontId="11" fillId="0" borderId="57" xfId="22" applyNumberFormat="1" applyFont="1" applyBorder="1" applyAlignment="1">
      <alignment horizontal="right" vertical="center" wrapText="1"/>
    </xf>
    <xf numFmtId="3" fontId="11" fillId="0" borderId="114" xfId="22" applyNumberFormat="1" applyFont="1" applyBorder="1" applyAlignment="1">
      <alignment horizontal="right" vertical="center" wrapText="1"/>
    </xf>
    <xf numFmtId="3" fontId="11" fillId="0" borderId="17" xfId="22" applyNumberFormat="1" applyFont="1" applyBorder="1" applyAlignment="1">
      <alignment horizontal="right" vertical="center" wrapText="1"/>
    </xf>
    <xf numFmtId="3" fontId="11" fillId="0" borderId="186" xfId="22" applyNumberFormat="1" applyFont="1" applyBorder="1" applyAlignment="1">
      <alignment horizontal="right" vertical="center" wrapText="1"/>
    </xf>
    <xf numFmtId="3" fontId="11" fillId="0" borderId="18" xfId="22" applyNumberFormat="1" applyFont="1" applyFill="1" applyBorder="1" applyAlignment="1">
      <alignment horizontal="right" vertical="center" wrapText="1"/>
    </xf>
    <xf numFmtId="3" fontId="11" fillId="0" borderId="17" xfId="22" applyNumberFormat="1" applyFont="1" applyBorder="1" applyAlignment="1">
      <alignment horizontal="center" vertical="top" wrapText="1"/>
    </xf>
    <xf numFmtId="3" fontId="11" fillId="0" borderId="17" xfId="22" applyNumberFormat="1" applyFont="1" applyFill="1" applyBorder="1" applyAlignment="1">
      <alignment horizontal="left" vertical="center" wrapText="1"/>
    </xf>
    <xf numFmtId="3" fontId="11" fillId="0" borderId="77" xfId="22" applyNumberFormat="1" applyFont="1" applyBorder="1" applyAlignment="1">
      <alignment horizontal="right" vertical="center" wrapText="1"/>
    </xf>
    <xf numFmtId="3" fontId="11" fillId="0" borderId="79" xfId="22" applyNumberFormat="1" applyFont="1" applyBorder="1" applyAlignment="1">
      <alignment horizontal="right" vertical="center" wrapText="1"/>
    </xf>
    <xf numFmtId="3" fontId="11" fillId="0" borderId="57" xfId="22" applyNumberFormat="1" applyFont="1" applyFill="1" applyBorder="1" applyAlignment="1">
      <alignment horizontal="right" vertical="center" wrapText="1"/>
    </xf>
    <xf numFmtId="3" fontId="11" fillId="0" borderId="17" xfId="22" applyNumberFormat="1" applyFont="1" applyFill="1" applyBorder="1" applyAlignment="1">
      <alignment horizontal="right" vertical="center" wrapText="1"/>
    </xf>
    <xf numFmtId="0" fontId="11" fillId="0" borderId="51" xfId="0" applyFont="1" applyFill="1" applyBorder="1" applyAlignment="1">
      <alignment vertical="center" wrapText="1"/>
    </xf>
    <xf numFmtId="3" fontId="11" fillId="0" borderId="77" xfId="22" applyNumberFormat="1" applyFont="1" applyFill="1" applyBorder="1" applyAlignment="1">
      <alignment horizontal="right" vertical="center" wrapText="1"/>
    </xf>
    <xf numFmtId="3" fontId="11" fillId="0" borderId="79" xfId="22" applyNumberFormat="1" applyFont="1" applyFill="1" applyBorder="1" applyAlignment="1">
      <alignment horizontal="right" vertical="center" wrapText="1"/>
    </xf>
    <xf numFmtId="0" fontId="11" fillId="0" borderId="17" xfId="0" applyFont="1" applyFill="1" applyBorder="1" applyAlignment="1">
      <alignment wrapText="1"/>
    </xf>
    <xf numFmtId="3" fontId="11" fillId="0" borderId="78" xfId="22" applyNumberFormat="1" applyFont="1" applyBorder="1" applyAlignment="1">
      <alignment horizontal="center" vertical="center" wrapText="1"/>
    </xf>
    <xf numFmtId="0" fontId="11" fillId="0" borderId="51" xfId="22" applyNumberFormat="1" applyFont="1" applyBorder="1" applyAlignment="1">
      <alignment horizontal="center" vertical="center" wrapText="1"/>
    </xf>
    <xf numFmtId="3" fontId="11" fillId="0" borderId="217" xfId="22" applyNumberFormat="1" applyFont="1" applyBorder="1" applyAlignment="1">
      <alignment horizontal="center" vertical="center" wrapText="1"/>
    </xf>
    <xf numFmtId="3" fontId="11" fillId="0" borderId="218" xfId="22" applyNumberFormat="1" applyFont="1" applyBorder="1" applyAlignment="1">
      <alignment horizontal="center" vertical="center" wrapText="1"/>
    </xf>
    <xf numFmtId="3" fontId="11" fillId="0" borderId="51" xfId="22" applyNumberFormat="1" applyFont="1" applyBorder="1" applyAlignment="1">
      <alignment horizontal="center" vertical="center" wrapText="1"/>
    </xf>
    <xf numFmtId="3" fontId="11" fillId="0" borderId="52" xfId="22" applyNumberFormat="1" applyFont="1" applyFill="1" applyBorder="1" applyAlignment="1">
      <alignment horizontal="center" vertical="center" wrapText="1"/>
    </xf>
    <xf numFmtId="14" fontId="11" fillId="0" borderId="219" xfId="22" applyNumberFormat="1" applyFont="1" applyBorder="1" applyAlignment="1">
      <alignment horizontal="center" vertical="center" wrapText="1"/>
    </xf>
    <xf numFmtId="3" fontId="11" fillId="0" borderId="61" xfId="22" applyNumberFormat="1" applyFont="1" applyBorder="1" applyAlignment="1">
      <alignment horizontal="right" vertical="center" wrapText="1"/>
    </xf>
    <xf numFmtId="3" fontId="11" fillId="0" borderId="115" xfId="22" applyNumberFormat="1" applyFont="1" applyBorder="1" applyAlignment="1">
      <alignment horizontal="right" vertical="center" wrapText="1"/>
    </xf>
    <xf numFmtId="3" fontId="13" fillId="0" borderId="176" xfId="22" applyNumberFormat="1" applyFont="1" applyBorder="1" applyAlignment="1">
      <alignment horizontal="right" vertical="center"/>
    </xf>
    <xf numFmtId="3" fontId="13" fillId="0" borderId="53" xfId="22" applyNumberFormat="1" applyFont="1" applyBorder="1" applyAlignment="1">
      <alignment horizontal="right" vertical="center"/>
    </xf>
    <xf numFmtId="3" fontId="21" fillId="0" borderId="23" xfId="28" applyNumberFormat="1" applyFont="1" applyFill="1" applyBorder="1" applyAlignment="1"/>
    <xf numFmtId="3" fontId="21" fillId="0" borderId="16" xfId="0" applyNumberFormat="1" applyFont="1" applyFill="1" applyBorder="1" applyAlignment="1">
      <alignment horizontal="center"/>
    </xf>
    <xf numFmtId="3" fontId="21" fillId="0" borderId="17" xfId="0" applyNumberFormat="1" applyFont="1" applyFill="1" applyBorder="1" applyAlignment="1">
      <alignment horizontal="center"/>
    </xf>
    <xf numFmtId="3" fontId="21" fillId="0" borderId="17" xfId="28" applyNumberFormat="1" applyFont="1" applyFill="1" applyBorder="1" applyAlignment="1">
      <alignment horizontal="center"/>
    </xf>
    <xf numFmtId="3" fontId="21" fillId="0" borderId="18" xfId="0" applyNumberFormat="1" applyFont="1" applyFill="1" applyBorder="1" applyAlignment="1"/>
    <xf numFmtId="3" fontId="25" fillId="0" borderId="0" xfId="0" applyNumberFormat="1" applyFont="1" applyFill="1" applyAlignment="1">
      <alignment horizontal="right"/>
    </xf>
    <xf numFmtId="3" fontId="25" fillId="0" borderId="0" xfId="0" applyNumberFormat="1" applyFont="1" applyFill="1" applyAlignment="1"/>
    <xf numFmtId="3" fontId="41" fillId="0" borderId="16" xfId="0" applyNumberFormat="1" applyFont="1" applyFill="1" applyBorder="1" applyAlignment="1">
      <alignment horizontal="center" vertical="center"/>
    </xf>
    <xf numFmtId="3" fontId="41" fillId="0" borderId="17" xfId="0" applyNumberFormat="1" applyFont="1" applyFill="1" applyBorder="1" applyAlignment="1">
      <alignment horizontal="center"/>
    </xf>
    <xf numFmtId="3" fontId="41" fillId="0" borderId="114" xfId="0" applyNumberFormat="1" applyFont="1" applyFill="1" applyBorder="1" applyAlignment="1">
      <alignment horizontal="center" vertical="center"/>
    </xf>
    <xf numFmtId="3" fontId="41" fillId="0" borderId="23" xfId="28" applyNumberFormat="1" applyFont="1" applyFill="1" applyBorder="1" applyAlignment="1">
      <alignment horizontal="left" indent="1"/>
    </xf>
    <xf numFmtId="3" fontId="41" fillId="0" borderId="57" xfId="0" applyNumberFormat="1" applyFont="1" applyFill="1" applyBorder="1" applyAlignment="1"/>
    <xf numFmtId="3" fontId="41" fillId="0" borderId="17" xfId="0" applyNumberFormat="1" applyFont="1" applyFill="1" applyBorder="1" applyAlignment="1">
      <alignment horizontal="right"/>
    </xf>
    <xf numFmtId="3" fontId="41" fillId="0" borderId="18" xfId="0" applyNumberFormat="1" applyFont="1" applyFill="1" applyBorder="1" applyAlignment="1">
      <alignment horizontal="right"/>
    </xf>
    <xf numFmtId="3" fontId="41" fillId="0" borderId="0" xfId="0" applyNumberFormat="1" applyFont="1" applyFill="1" applyAlignment="1">
      <alignment horizontal="right"/>
    </xf>
    <xf numFmtId="3" fontId="41" fillId="0" borderId="0" xfId="0" applyNumberFormat="1" applyFont="1" applyFill="1" applyAlignment="1"/>
    <xf numFmtId="3" fontId="40" fillId="0" borderId="114" xfId="18" applyNumberFormat="1" applyFont="1" applyFill="1" applyBorder="1" applyAlignment="1">
      <alignment horizontal="right"/>
    </xf>
    <xf numFmtId="3" fontId="40" fillId="0" borderId="17" xfId="0" applyNumberFormat="1" applyFont="1" applyFill="1" applyBorder="1" applyAlignment="1">
      <alignment horizontal="right" wrapText="1"/>
    </xf>
    <xf numFmtId="3" fontId="40" fillId="0" borderId="18" xfId="0" applyNumberFormat="1" applyFont="1" applyFill="1" applyBorder="1" applyAlignment="1">
      <alignment horizontal="right" wrapText="1"/>
    </xf>
    <xf numFmtId="3" fontId="41" fillId="0" borderId="114" xfId="18" applyNumberFormat="1" applyFont="1" applyFill="1" applyBorder="1" applyAlignment="1">
      <alignment horizontal="right"/>
    </xf>
    <xf numFmtId="3" fontId="40" fillId="0" borderId="17" xfId="0" applyNumberFormat="1" applyFont="1" applyFill="1" applyBorder="1" applyAlignment="1">
      <alignment horizontal="right" vertical="center" wrapText="1"/>
    </xf>
    <xf numFmtId="3" fontId="40" fillId="0" borderId="16" xfId="18" applyNumberFormat="1" applyFont="1" applyFill="1" applyBorder="1" applyAlignment="1">
      <alignment horizontal="center" vertical="center"/>
    </xf>
    <xf numFmtId="3" fontId="40" fillId="0" borderId="17" xfId="18" applyNumberFormat="1" applyFont="1" applyFill="1" applyBorder="1" applyAlignment="1">
      <alignment horizontal="center" vertical="center"/>
    </xf>
    <xf numFmtId="3" fontId="40" fillId="0" borderId="24" xfId="18" applyNumberFormat="1" applyFont="1" applyFill="1" applyBorder="1" applyAlignment="1">
      <alignment wrapText="1"/>
    </xf>
    <xf numFmtId="3" fontId="40" fillId="0" borderId="17" xfId="18" applyNumberFormat="1" applyFont="1" applyFill="1" applyBorder="1" applyAlignment="1">
      <alignment horizontal="right"/>
    </xf>
    <xf numFmtId="3" fontId="40" fillId="0" borderId="57" xfId="18" applyNumberFormat="1" applyFont="1" applyFill="1" applyBorder="1" applyAlignment="1">
      <alignment horizontal="center"/>
    </xf>
    <xf numFmtId="3" fontId="44" fillId="0" borderId="0" xfId="18" applyNumberFormat="1" applyFont="1" applyFill="1" applyAlignment="1">
      <alignment horizontal="center" vertical="center"/>
    </xf>
    <xf numFmtId="3" fontId="40" fillId="0" borderId="27" xfId="18" applyNumberFormat="1" applyFont="1" applyFill="1" applyBorder="1" applyAlignment="1">
      <alignment horizontal="center"/>
    </xf>
    <xf numFmtId="3" fontId="40" fillId="0" borderId="24" xfId="18" applyNumberFormat="1" applyFont="1" applyFill="1" applyBorder="1" applyAlignment="1">
      <alignment horizontal="right"/>
    </xf>
    <xf numFmtId="3" fontId="40" fillId="0" borderId="77" xfId="18" applyNumberFormat="1" applyFont="1" applyFill="1" applyBorder="1" applyAlignment="1">
      <alignment horizontal="center"/>
    </xf>
    <xf numFmtId="3" fontId="40" fillId="0" borderId="24" xfId="0" applyNumberFormat="1" applyFont="1" applyFill="1" applyBorder="1" applyAlignment="1">
      <alignment horizontal="right" wrapText="1"/>
    </xf>
    <xf numFmtId="3" fontId="40" fillId="0" borderId="25" xfId="0" applyNumberFormat="1" applyFont="1" applyFill="1" applyBorder="1" applyAlignment="1">
      <alignment horizontal="right" wrapText="1"/>
    </xf>
    <xf numFmtId="3" fontId="44" fillId="0" borderId="0" xfId="18" applyNumberFormat="1" applyFont="1" applyFill="1" applyAlignment="1">
      <alignment horizontal="center"/>
    </xf>
    <xf numFmtId="3" fontId="41" fillId="0" borderId="16" xfId="18" applyNumberFormat="1" applyFont="1" applyFill="1" applyBorder="1" applyAlignment="1">
      <alignment horizontal="center" vertical="center"/>
    </xf>
    <xf numFmtId="3" fontId="41" fillId="0" borderId="24" xfId="18" applyNumberFormat="1" applyFont="1" applyFill="1" applyBorder="1" applyAlignment="1">
      <alignment horizontal="left" wrapText="1" indent="4"/>
    </xf>
    <xf numFmtId="3" fontId="41" fillId="0" borderId="17" xfId="18" applyNumberFormat="1" applyFont="1" applyFill="1" applyBorder="1" applyAlignment="1">
      <alignment horizontal="right"/>
    </xf>
    <xf numFmtId="3" fontId="41" fillId="0" borderId="57" xfId="18" applyNumberFormat="1" applyFont="1" applyFill="1" applyBorder="1" applyAlignment="1">
      <alignment horizontal="center"/>
    </xf>
    <xf numFmtId="3" fontId="41" fillId="0" borderId="17" xfId="0" applyNumberFormat="1" applyFont="1" applyFill="1" applyBorder="1" applyAlignment="1">
      <alignment horizontal="right" wrapText="1"/>
    </xf>
    <xf numFmtId="3" fontId="41" fillId="0" borderId="18" xfId="0" applyNumberFormat="1" applyFont="1" applyFill="1" applyBorder="1" applyAlignment="1">
      <alignment horizontal="right" wrapText="1"/>
    </xf>
    <xf numFmtId="3" fontId="53" fillId="0" borderId="0" xfId="18" applyNumberFormat="1" applyFont="1" applyFill="1" applyAlignment="1">
      <alignment horizontal="center" vertical="center"/>
    </xf>
    <xf numFmtId="3" fontId="53" fillId="0" borderId="0" xfId="18" applyNumberFormat="1" applyFont="1" applyFill="1" applyBorder="1" applyAlignment="1">
      <alignment horizontal="center" vertical="center"/>
    </xf>
    <xf numFmtId="3" fontId="53" fillId="0" borderId="17" xfId="18" applyNumberFormat="1" applyFont="1" applyFill="1" applyBorder="1" applyAlignment="1">
      <alignment horizontal="center" vertical="center"/>
    </xf>
    <xf numFmtId="3" fontId="41" fillId="0" borderId="24" xfId="18" applyNumberFormat="1" applyFont="1" applyFill="1" applyBorder="1" applyAlignment="1">
      <alignment horizontal="left" vertical="top" wrapText="1" indent="4"/>
    </xf>
    <xf numFmtId="3" fontId="40" fillId="0" borderId="27" xfId="18" applyNumberFormat="1" applyFont="1" applyFill="1" applyBorder="1" applyAlignment="1">
      <alignment horizontal="center" vertical="center"/>
    </xf>
    <xf numFmtId="3" fontId="41" fillId="0" borderId="0" xfId="18" applyNumberFormat="1" applyFont="1" applyFill="1" applyAlignment="1">
      <alignment horizontal="center" vertical="center"/>
    </xf>
    <xf numFmtId="3" fontId="40" fillId="0" borderId="0" xfId="18" applyNumberFormat="1" applyFont="1" applyFill="1" applyAlignment="1">
      <alignment horizontal="center" vertical="center"/>
    </xf>
    <xf numFmtId="3" fontId="40" fillId="0" borderId="24" xfId="18" applyNumberFormat="1" applyFont="1" applyFill="1" applyBorder="1" applyAlignment="1">
      <alignment horizontal="left" wrapText="1" indent="2"/>
    </xf>
    <xf numFmtId="3" fontId="41" fillId="0" borderId="27" xfId="18" applyNumberFormat="1" applyFont="1" applyFill="1" applyBorder="1" applyAlignment="1">
      <alignment horizontal="center" vertical="center"/>
    </xf>
    <xf numFmtId="3" fontId="41" fillId="0" borderId="24" xfId="18" applyNumberFormat="1" applyFont="1" applyFill="1" applyBorder="1" applyAlignment="1">
      <alignment horizontal="right"/>
    </xf>
    <xf numFmtId="3" fontId="41" fillId="0" borderId="24" xfId="0" applyNumberFormat="1" applyFont="1" applyFill="1" applyBorder="1" applyAlignment="1">
      <alignment horizontal="right" wrapText="1"/>
    </xf>
    <xf numFmtId="3" fontId="41" fillId="0" borderId="25" xfId="0" applyNumberFormat="1" applyFont="1" applyFill="1" applyBorder="1" applyAlignment="1">
      <alignment horizontal="right" wrapText="1"/>
    </xf>
    <xf numFmtId="3" fontId="41" fillId="0" borderId="77" xfId="18" applyNumberFormat="1" applyFont="1" applyFill="1" applyBorder="1" applyAlignment="1">
      <alignment horizontal="center"/>
    </xf>
    <xf numFmtId="3" fontId="41" fillId="0" borderId="27" xfId="18" applyNumberFormat="1" applyFont="1" applyFill="1" applyBorder="1" applyAlignment="1">
      <alignment horizontal="center"/>
    </xf>
    <xf numFmtId="3" fontId="40" fillId="0" borderId="17" xfId="18" applyNumberFormat="1" applyFont="1" applyFill="1" applyBorder="1" applyAlignment="1">
      <alignment horizontal="center"/>
    </xf>
    <xf numFmtId="3" fontId="40" fillId="0" borderId="17" xfId="18" applyNumberFormat="1" applyFont="1" applyFill="1" applyBorder="1" applyAlignment="1">
      <alignment wrapText="1"/>
    </xf>
    <xf numFmtId="3" fontId="40" fillId="0" borderId="18" xfId="0" applyNumberFormat="1" applyFont="1" applyFill="1" applyBorder="1" applyAlignment="1">
      <alignment horizontal="right" vertical="center" wrapText="1"/>
    </xf>
    <xf numFmtId="3" fontId="40" fillId="0" borderId="107" xfId="18" applyNumberFormat="1" applyFont="1" applyFill="1" applyBorder="1" applyAlignment="1">
      <alignment horizontal="center" vertical="center"/>
    </xf>
    <xf numFmtId="3" fontId="40" fillId="0" borderId="108" xfId="18" applyNumberFormat="1" applyFont="1" applyFill="1" applyBorder="1" applyAlignment="1">
      <alignment horizontal="center"/>
    </xf>
    <xf numFmtId="3" fontId="40" fillId="0" borderId="131" xfId="18" applyNumberFormat="1" applyFont="1" applyFill="1" applyBorder="1" applyAlignment="1">
      <alignment horizontal="center"/>
    </xf>
    <xf numFmtId="3" fontId="40" fillId="0" borderId="132" xfId="18" applyNumberFormat="1" applyFont="1" applyFill="1" applyBorder="1" applyAlignment="1">
      <alignment horizontal="right"/>
    </xf>
    <xf numFmtId="3" fontId="40" fillId="0" borderId="108" xfId="0" applyNumberFormat="1" applyFont="1" applyFill="1" applyBorder="1" applyAlignment="1">
      <alignment horizontal="right" vertical="center" wrapText="1"/>
    </xf>
    <xf numFmtId="3" fontId="40" fillId="0" borderId="134" xfId="0" applyNumberFormat="1" applyFont="1" applyFill="1" applyBorder="1" applyAlignment="1">
      <alignment horizontal="right" vertical="center" wrapText="1"/>
    </xf>
    <xf numFmtId="3" fontId="44" fillId="0" borderId="0" xfId="18" applyNumberFormat="1" applyFont="1" applyFill="1" applyAlignment="1"/>
    <xf numFmtId="3" fontId="40" fillId="0" borderId="47" xfId="18" applyNumberFormat="1" applyFont="1" applyFill="1" applyBorder="1" applyAlignment="1">
      <alignment horizontal="center" vertical="center"/>
    </xf>
    <xf numFmtId="3" fontId="40" fillId="0" borderId="48" xfId="18" applyNumberFormat="1" applyFont="1" applyFill="1" applyBorder="1" applyAlignment="1">
      <alignment horizontal="center" vertical="center"/>
    </xf>
    <xf numFmtId="3" fontId="40" fillId="0" borderId="61" xfId="18" applyNumberFormat="1" applyFont="1" applyFill="1" applyBorder="1" applyAlignment="1">
      <alignment horizontal="center"/>
    </xf>
    <xf numFmtId="3" fontId="54" fillId="0" borderId="0" xfId="18" applyNumberFormat="1" applyFont="1" applyFill="1" applyAlignment="1">
      <alignment horizontal="center" vertical="center"/>
    </xf>
    <xf numFmtId="3" fontId="54" fillId="0" borderId="0" xfId="18" applyNumberFormat="1" applyFont="1" applyFill="1" applyBorder="1"/>
    <xf numFmtId="14" fontId="11" fillId="0" borderId="186" xfId="22" applyNumberFormat="1" applyFont="1" applyFill="1" applyBorder="1" applyAlignment="1">
      <alignment horizontal="center" vertical="center" wrapText="1"/>
    </xf>
    <xf numFmtId="3" fontId="21" fillId="0" borderId="16" xfId="0" applyNumberFormat="1" applyFont="1" applyFill="1" applyBorder="1" applyAlignment="1">
      <alignment horizontal="center" vertical="top"/>
    </xf>
    <xf numFmtId="3" fontId="21" fillId="0" borderId="114" xfId="0" applyNumberFormat="1" applyFont="1" applyFill="1" applyBorder="1" applyAlignment="1">
      <alignment horizontal="center"/>
    </xf>
    <xf numFmtId="3" fontId="25" fillId="0" borderId="17" xfId="28" applyNumberFormat="1" applyFont="1" applyFill="1" applyBorder="1" applyAlignment="1">
      <alignment horizontal="left"/>
    </xf>
    <xf numFmtId="3" fontId="21" fillId="0" borderId="17" xfId="28" applyNumberFormat="1" applyFont="1" applyFill="1" applyBorder="1" applyAlignment="1">
      <alignment horizontal="left"/>
    </xf>
    <xf numFmtId="3" fontId="21" fillId="0" borderId="17" xfId="28" applyNumberFormat="1" applyFont="1" applyFill="1" applyBorder="1" applyAlignment="1">
      <alignment horizontal="center" vertical="top" wrapText="1"/>
    </xf>
    <xf numFmtId="3" fontId="41" fillId="0" borderId="17" xfId="28" applyNumberFormat="1" applyFont="1" applyFill="1" applyBorder="1" applyAlignment="1">
      <alignment horizontal="left" indent="1"/>
    </xf>
    <xf numFmtId="3" fontId="41" fillId="0" borderId="17" xfId="28" applyNumberFormat="1" applyFont="1" applyFill="1" applyBorder="1" applyAlignment="1">
      <alignment horizontal="center" vertical="center"/>
    </xf>
    <xf numFmtId="0" fontId="11" fillId="0" borderId="17" xfId="21" applyFont="1" applyFill="1" applyBorder="1" applyAlignment="1">
      <alignment horizontal="left" wrapText="1"/>
    </xf>
    <xf numFmtId="3" fontId="11" fillId="0" borderId="36" xfId="22" applyNumberFormat="1" applyFont="1" applyFill="1" applyBorder="1" applyAlignment="1">
      <alignment horizontal="left" wrapText="1"/>
    </xf>
    <xf numFmtId="16" fontId="11" fillId="0" borderId="42" xfId="23" applyNumberFormat="1" applyFont="1" applyFill="1" applyBorder="1" applyAlignment="1">
      <alignment vertical="center"/>
    </xf>
    <xf numFmtId="0" fontId="11" fillId="0" borderId="50" xfId="23" applyFont="1" applyFill="1" applyBorder="1" applyAlignment="1">
      <alignment vertical="center" wrapText="1"/>
    </xf>
    <xf numFmtId="0" fontId="13" fillId="0" borderId="0" xfId="31" applyFont="1" applyFill="1" applyBorder="1" applyAlignment="1">
      <alignment horizontal="center" vertical="center"/>
    </xf>
    <xf numFmtId="0" fontId="14" fillId="0" borderId="0" xfId="31" applyFont="1" applyFill="1" applyBorder="1" applyAlignment="1">
      <alignment horizontal="center" vertical="center"/>
    </xf>
    <xf numFmtId="0" fontId="11" fillId="0" borderId="0" xfId="46" applyFont="1" applyFill="1" applyBorder="1" applyAlignment="1">
      <alignment horizontal="center"/>
    </xf>
    <xf numFmtId="0" fontId="11" fillId="0" borderId="0" xfId="46" applyFont="1" applyFill="1" applyBorder="1" applyAlignment="1"/>
    <xf numFmtId="0" fontId="13" fillId="0" borderId="0" xfId="23" applyFont="1" applyFill="1" applyBorder="1" applyAlignment="1">
      <alignment horizontal="center" vertical="center"/>
    </xf>
    <xf numFmtId="0" fontId="11" fillId="0" borderId="0" xfId="23" applyFont="1" applyFill="1" applyBorder="1" applyAlignment="1">
      <alignment horizontal="center" vertical="center" wrapText="1"/>
    </xf>
    <xf numFmtId="0" fontId="11" fillId="0" borderId="17" xfId="21" applyFont="1" applyFill="1" applyBorder="1" applyAlignment="1">
      <alignment horizontal="left" shrinkToFit="1"/>
    </xf>
    <xf numFmtId="0" fontId="11" fillId="0" borderId="36" xfId="21" applyFont="1" applyFill="1" applyBorder="1" applyAlignment="1">
      <alignment shrinkToFit="1"/>
    </xf>
    <xf numFmtId="0" fontId="11" fillId="0" borderId="17" xfId="31" applyFont="1" applyFill="1" applyBorder="1" applyAlignment="1">
      <alignment horizontal="center" vertical="center"/>
    </xf>
    <xf numFmtId="0" fontId="13" fillId="0" borderId="12" xfId="23" applyFont="1" applyFill="1" applyBorder="1" applyAlignment="1">
      <alignment horizontal="center" vertical="center" wrapText="1"/>
    </xf>
    <xf numFmtId="3" fontId="11" fillId="0" borderId="44" xfId="0" applyNumberFormat="1" applyFont="1" applyBorder="1" applyAlignment="1">
      <alignment horizontal="right" vertical="center" wrapText="1"/>
    </xf>
    <xf numFmtId="3" fontId="11" fillId="0" borderId="46" xfId="0" applyNumberFormat="1" applyFont="1" applyBorder="1" applyAlignment="1">
      <alignment horizontal="right" vertical="center" wrapText="1"/>
    </xf>
    <xf numFmtId="3" fontId="13" fillId="0" borderId="29" xfId="23" applyNumberFormat="1" applyFont="1" applyFill="1" applyBorder="1" applyAlignment="1">
      <alignment horizontal="right" vertical="center"/>
    </xf>
    <xf numFmtId="3" fontId="13" fillId="0" borderId="18" xfId="30" applyNumberFormat="1" applyFont="1" applyFill="1" applyBorder="1" applyAlignment="1">
      <alignment vertical="center" wrapText="1"/>
    </xf>
    <xf numFmtId="3" fontId="13" fillId="0" borderId="136" xfId="31" applyNumberFormat="1" applyFont="1" applyFill="1" applyBorder="1" applyAlignment="1">
      <alignment horizontal="right" vertical="center" wrapText="1"/>
    </xf>
    <xf numFmtId="3" fontId="13" fillId="0" borderId="29" xfId="31" applyNumberFormat="1" applyFont="1" applyFill="1" applyBorder="1" applyAlignment="1">
      <alignment horizontal="right" vertical="center" wrapText="1"/>
    </xf>
    <xf numFmtId="0" fontId="11" fillId="0" borderId="50" xfId="31" applyFont="1" applyFill="1" applyBorder="1" applyAlignment="1">
      <alignment horizontal="center" vertical="center"/>
    </xf>
    <xf numFmtId="3" fontId="11" fillId="0" borderId="58" xfId="31" applyNumberFormat="1" applyFont="1" applyFill="1" applyBorder="1" applyAlignment="1">
      <alignment horizontal="right" vertical="center" wrapText="1"/>
    </xf>
    <xf numFmtId="3" fontId="11" fillId="0" borderId="46" xfId="31" applyNumberFormat="1" applyFont="1" applyFill="1" applyBorder="1" applyAlignment="1">
      <alignment horizontal="right" vertical="center" wrapText="1"/>
    </xf>
    <xf numFmtId="0" fontId="11" fillId="0" borderId="27" xfId="31" applyFont="1" applyFill="1" applyBorder="1" applyAlignment="1">
      <alignment horizontal="center" vertical="center"/>
    </xf>
    <xf numFmtId="3" fontId="11" fillId="0" borderId="24" xfId="30" applyNumberFormat="1" applyFont="1" applyFill="1" applyBorder="1" applyAlignment="1">
      <alignment vertical="center" wrapText="1"/>
    </xf>
    <xf numFmtId="3" fontId="11" fillId="0" borderId="26" xfId="30" applyNumberFormat="1" applyFont="1" applyFill="1" applyBorder="1" applyAlignment="1">
      <alignment vertical="center"/>
    </xf>
    <xf numFmtId="3" fontId="11" fillId="0" borderId="25" xfId="30" applyNumberFormat="1" applyFont="1" applyFill="1" applyBorder="1" applyAlignment="1">
      <alignment vertical="center"/>
    </xf>
    <xf numFmtId="3" fontId="13" fillId="0" borderId="53" xfId="30" applyNumberFormat="1" applyFont="1" applyFill="1" applyBorder="1" applyAlignment="1">
      <alignment vertical="center" wrapText="1"/>
    </xf>
    <xf numFmtId="3" fontId="13" fillId="0" borderId="29" xfId="30" applyNumberFormat="1" applyFont="1" applyFill="1" applyBorder="1" applyAlignment="1">
      <alignment vertical="center" wrapText="1"/>
    </xf>
    <xf numFmtId="0" fontId="11" fillId="0" borderId="24" xfId="21" applyFont="1" applyFill="1" applyBorder="1" applyAlignment="1">
      <alignment vertical="center" wrapText="1"/>
    </xf>
    <xf numFmtId="0" fontId="14" fillId="0" borderId="17" xfId="31" applyFont="1" applyFill="1" applyBorder="1" applyAlignment="1">
      <alignment horizontal="left" vertical="center" wrapText="1" indent="3"/>
    </xf>
    <xf numFmtId="3" fontId="21" fillId="0" borderId="0" xfId="0" applyNumberFormat="1" applyFont="1" applyFill="1" applyAlignment="1">
      <alignment horizontal="right"/>
    </xf>
    <xf numFmtId="3" fontId="13" fillId="0" borderId="32" xfId="17" applyNumberFormat="1" applyFont="1" applyFill="1" applyBorder="1" applyAlignment="1">
      <alignment horizontal="center" vertical="center" wrapText="1"/>
    </xf>
    <xf numFmtId="3" fontId="13" fillId="0" borderId="19" xfId="0" applyNumberFormat="1" applyFont="1" applyFill="1" applyBorder="1" applyAlignment="1">
      <alignment horizontal="right"/>
    </xf>
    <xf numFmtId="3" fontId="11" fillId="0" borderId="19" xfId="0" applyNumberFormat="1" applyFont="1" applyFill="1" applyBorder="1" applyAlignment="1">
      <alignment horizontal="right"/>
    </xf>
    <xf numFmtId="3" fontId="13" fillId="0" borderId="180" xfId="0" applyNumberFormat="1" applyFont="1" applyFill="1" applyBorder="1" applyAlignment="1">
      <alignment horizontal="right" vertical="center"/>
    </xf>
    <xf numFmtId="3" fontId="11" fillId="0" borderId="62" xfId="0" applyNumberFormat="1" applyFont="1" applyFill="1" applyBorder="1" applyAlignment="1">
      <alignment horizontal="right"/>
    </xf>
    <xf numFmtId="3" fontId="13" fillId="0" borderId="19" xfId="0" applyNumberFormat="1" applyFont="1" applyFill="1" applyBorder="1" applyAlignment="1">
      <alignment horizontal="right" vertical="center"/>
    </xf>
    <xf numFmtId="3" fontId="13" fillId="0" borderId="223" xfId="17" applyNumberFormat="1" applyFont="1" applyFill="1" applyBorder="1" applyAlignment="1">
      <alignment horizontal="center" vertical="center" wrapText="1"/>
    </xf>
    <xf numFmtId="3" fontId="13" fillId="0" borderId="85" xfId="17" applyNumberFormat="1" applyFont="1" applyFill="1" applyBorder="1" applyAlignment="1">
      <alignment horizontal="right" wrapText="1"/>
    </xf>
    <xf numFmtId="3" fontId="13" fillId="0" borderId="88" xfId="17" applyNumberFormat="1" applyFont="1" applyFill="1" applyBorder="1" applyAlignment="1">
      <alignment horizontal="right" wrapText="1"/>
    </xf>
    <xf numFmtId="3" fontId="13" fillId="0" borderId="88" xfId="0" applyNumberFormat="1" applyFont="1" applyFill="1" applyBorder="1" applyAlignment="1">
      <alignment horizontal="right"/>
    </xf>
    <xf numFmtId="3" fontId="13" fillId="0" borderId="90" xfId="0" applyNumberFormat="1" applyFont="1" applyFill="1" applyBorder="1" applyAlignment="1">
      <alignment horizontal="right" vertical="center"/>
    </xf>
    <xf numFmtId="3" fontId="13" fillId="0" borderId="92" xfId="0" applyNumberFormat="1" applyFont="1" applyFill="1" applyBorder="1" applyAlignment="1">
      <alignment horizontal="right" vertical="center"/>
    </xf>
    <xf numFmtId="3" fontId="13" fillId="0" borderId="224" xfId="0" applyNumberFormat="1" applyFont="1" applyFill="1" applyBorder="1" applyAlignment="1">
      <alignment horizontal="right" vertical="center"/>
    </xf>
    <xf numFmtId="3" fontId="13" fillId="0" borderId="88" xfId="0" applyNumberFormat="1" applyFont="1" applyFill="1" applyBorder="1" applyAlignment="1">
      <alignment horizontal="right" vertical="center"/>
    </xf>
    <xf numFmtId="3" fontId="13" fillId="0" borderId="225" xfId="0" applyNumberFormat="1" applyFont="1" applyFill="1" applyBorder="1" applyAlignment="1">
      <alignment horizontal="right" vertical="center"/>
    </xf>
    <xf numFmtId="3" fontId="14" fillId="0" borderId="13" xfId="17" applyNumberFormat="1" applyFont="1" applyFill="1" applyBorder="1" applyAlignment="1">
      <alignment horizontal="center" vertical="center"/>
    </xf>
    <xf numFmtId="3" fontId="13" fillId="0" borderId="8" xfId="0" applyNumberFormat="1" applyFont="1" applyFill="1" applyBorder="1" applyAlignment="1">
      <alignment horizontal="right" vertical="center"/>
    </xf>
    <xf numFmtId="3" fontId="13" fillId="0" borderId="226" xfId="0" applyNumberFormat="1" applyFont="1" applyFill="1" applyBorder="1" applyAlignment="1">
      <alignment horizontal="right" vertical="center"/>
    </xf>
    <xf numFmtId="0" fontId="26" fillId="0" borderId="0" xfId="0" applyFont="1" applyFill="1" applyBorder="1" applyAlignment="1"/>
    <xf numFmtId="3" fontId="13" fillId="0" borderId="0" xfId="0" applyNumberFormat="1" applyFont="1" applyFill="1" applyBorder="1" applyAlignment="1">
      <alignment horizontal="right"/>
    </xf>
    <xf numFmtId="3" fontId="13" fillId="0" borderId="34" xfId="0" applyNumberFormat="1" applyFont="1" applyFill="1" applyBorder="1" applyAlignment="1">
      <alignment horizontal="right" vertical="center"/>
    </xf>
    <xf numFmtId="3" fontId="13" fillId="0" borderId="9" xfId="0" applyNumberFormat="1" applyFont="1" applyFill="1" applyBorder="1" applyAlignment="1">
      <alignment horizontal="right" vertical="center"/>
    </xf>
    <xf numFmtId="3" fontId="13" fillId="0" borderId="0" xfId="0" applyNumberFormat="1" applyFont="1" applyFill="1" applyBorder="1" applyAlignment="1">
      <alignment horizontal="right" vertical="center"/>
    </xf>
    <xf numFmtId="3" fontId="13" fillId="0" borderId="35" xfId="0" applyNumberFormat="1" applyFont="1" applyFill="1" applyBorder="1" applyAlignment="1">
      <alignment horizontal="right" vertical="center"/>
    </xf>
    <xf numFmtId="3" fontId="26" fillId="0" borderId="11" xfId="17" applyNumberFormat="1" applyFont="1" applyFill="1" applyBorder="1" applyAlignment="1">
      <alignment horizontal="right" wrapText="1"/>
    </xf>
    <xf numFmtId="3" fontId="26" fillId="0" borderId="0" xfId="17" applyNumberFormat="1" applyFont="1" applyFill="1" applyBorder="1" applyAlignment="1">
      <alignment horizontal="right" wrapText="1"/>
    </xf>
    <xf numFmtId="3" fontId="13" fillId="0" borderId="8" xfId="17" applyNumberFormat="1" applyFont="1" applyFill="1" applyBorder="1" applyAlignment="1">
      <alignment horizontal="right" wrapText="1"/>
    </xf>
    <xf numFmtId="3" fontId="13" fillId="0" borderId="85" xfId="17" applyNumberFormat="1" applyFont="1" applyFill="1" applyBorder="1"/>
    <xf numFmtId="3" fontId="11" fillId="0" borderId="88" xfId="17" applyNumberFormat="1" applyFont="1" applyFill="1" applyBorder="1"/>
    <xf numFmtId="3" fontId="13" fillId="0" borderId="90" xfId="17" applyNumberFormat="1" applyFont="1" applyFill="1" applyBorder="1"/>
    <xf numFmtId="3" fontId="13" fillId="0" borderId="88" xfId="17" applyNumberFormat="1" applyFont="1" applyFill="1" applyBorder="1"/>
    <xf numFmtId="3" fontId="14" fillId="0" borderId="88" xfId="17" applyNumberFormat="1" applyFont="1" applyFill="1" applyBorder="1"/>
    <xf numFmtId="3" fontId="11" fillId="0" borderId="88" xfId="17" applyNumberFormat="1" applyFont="1" applyFill="1" applyBorder="1" applyAlignment="1">
      <alignment vertical="center"/>
    </xf>
    <xf numFmtId="3" fontId="13" fillId="0" borderId="88" xfId="17" applyNumberFormat="1" applyFont="1" applyFill="1" applyBorder="1" applyAlignment="1">
      <alignment vertical="center"/>
    </xf>
    <xf numFmtId="3" fontId="11" fillId="0" borderId="88" xfId="17" applyNumberFormat="1" applyFont="1" applyFill="1" applyBorder="1" applyAlignment="1"/>
    <xf numFmtId="3" fontId="13" fillId="0" borderId="223" xfId="17" applyNumberFormat="1" applyFont="1" applyFill="1" applyBorder="1" applyAlignment="1">
      <alignment vertical="center"/>
    </xf>
    <xf numFmtId="3" fontId="11" fillId="0" borderId="88" xfId="17" applyNumberFormat="1" applyFont="1" applyFill="1" applyBorder="1" applyAlignment="1">
      <alignment vertical="top"/>
    </xf>
    <xf numFmtId="3" fontId="13" fillId="0" borderId="179" xfId="17" applyNumberFormat="1" applyFont="1" applyFill="1" applyBorder="1"/>
    <xf numFmtId="3" fontId="11" fillId="0" borderId="19" xfId="17" applyNumberFormat="1" applyFont="1" applyFill="1" applyBorder="1"/>
    <xf numFmtId="3" fontId="13" fillId="0" borderId="180" xfId="17" applyNumberFormat="1" applyFont="1" applyFill="1" applyBorder="1"/>
    <xf numFmtId="3" fontId="13" fillId="0" borderId="19" xfId="17" applyNumberFormat="1" applyFont="1" applyFill="1" applyBorder="1"/>
    <xf numFmtId="3" fontId="14" fillId="0" borderId="19" xfId="17" applyNumberFormat="1" applyFont="1" applyFill="1" applyBorder="1"/>
    <xf numFmtId="3" fontId="13" fillId="0" borderId="32" xfId="17" applyNumberFormat="1" applyFont="1" applyFill="1" applyBorder="1" applyAlignment="1">
      <alignment vertical="center"/>
    </xf>
    <xf numFmtId="3" fontId="21" fillId="0" borderId="24" xfId="18" applyNumberFormat="1" applyFont="1" applyFill="1" applyBorder="1" applyAlignment="1">
      <alignment wrapText="1"/>
    </xf>
    <xf numFmtId="3" fontId="22" fillId="0" borderId="24" xfId="0" applyNumberFormat="1" applyFont="1" applyFill="1" applyBorder="1" applyAlignment="1">
      <alignment horizontal="right" wrapText="1"/>
    </xf>
    <xf numFmtId="3" fontId="22" fillId="0" borderId="25" xfId="0" applyNumberFormat="1" applyFont="1" applyFill="1" applyBorder="1" applyAlignment="1">
      <alignment horizontal="right" wrapText="1"/>
    </xf>
    <xf numFmtId="3" fontId="21" fillId="0" borderId="114" xfId="18" applyNumberFormat="1" applyFont="1" applyFill="1" applyBorder="1" applyAlignment="1">
      <alignment horizontal="right"/>
    </xf>
    <xf numFmtId="3" fontId="25" fillId="0" borderId="17" xfId="0" applyNumberFormat="1" applyFont="1" applyFill="1" applyBorder="1" applyAlignment="1">
      <alignment horizontal="right" wrapText="1"/>
    </xf>
    <xf numFmtId="3" fontId="25" fillId="0" borderId="18" xfId="0" applyNumberFormat="1" applyFont="1" applyFill="1" applyBorder="1" applyAlignment="1">
      <alignment horizontal="right" wrapText="1"/>
    </xf>
    <xf numFmtId="3" fontId="25" fillId="0" borderId="24" xfId="18" applyNumberFormat="1" applyFont="1" applyFill="1" applyBorder="1" applyAlignment="1">
      <alignment horizontal="left" wrapText="1" indent="4"/>
    </xf>
    <xf numFmtId="3" fontId="21" fillId="0" borderId="24" xfId="18" applyNumberFormat="1" applyFont="1" applyFill="1" applyBorder="1" applyAlignment="1">
      <alignment horizontal="left" wrapText="1" indent="4"/>
    </xf>
    <xf numFmtId="3" fontId="41" fillId="0" borderId="114" xfId="18" applyNumberFormat="1" applyFont="1" applyFill="1" applyBorder="1" applyAlignment="1">
      <alignment horizontal="center"/>
    </xf>
    <xf numFmtId="3" fontId="22" fillId="0" borderId="17" xfId="0" applyNumberFormat="1" applyFont="1" applyFill="1" applyBorder="1" applyAlignment="1">
      <alignment horizontal="right" vertical="center" wrapText="1"/>
    </xf>
    <xf numFmtId="3" fontId="21" fillId="0" borderId="24" xfId="18" applyNumberFormat="1" applyFont="1" applyFill="1" applyBorder="1" applyAlignment="1">
      <alignment horizontal="left" wrapText="1" indent="2"/>
    </xf>
    <xf numFmtId="3" fontId="22" fillId="0" borderId="24" xfId="18" applyNumberFormat="1" applyFont="1" applyFill="1" applyBorder="1" applyAlignment="1">
      <alignment horizontal="left" wrapText="1" indent="2"/>
    </xf>
    <xf numFmtId="3" fontId="25" fillId="0" borderId="24" xfId="0" applyNumberFormat="1" applyFont="1" applyFill="1" applyBorder="1" applyAlignment="1">
      <alignment horizontal="right" wrapText="1"/>
    </xf>
    <xf numFmtId="3" fontId="25" fillId="0" borderId="25" xfId="0" applyNumberFormat="1" applyFont="1" applyFill="1" applyBorder="1" applyAlignment="1">
      <alignment horizontal="right" wrapText="1"/>
    </xf>
    <xf numFmtId="3" fontId="19" fillId="0" borderId="50" xfId="18" applyNumberFormat="1" applyFont="1" applyFill="1" applyBorder="1" applyAlignment="1">
      <alignment horizontal="center" vertical="center"/>
    </xf>
    <xf numFmtId="3" fontId="19" fillId="0" borderId="45" xfId="18" applyNumberFormat="1" applyFont="1" applyFill="1" applyBorder="1" applyAlignment="1">
      <alignment horizontal="center"/>
    </xf>
    <xf numFmtId="3" fontId="19" fillId="0" borderId="21" xfId="18" applyNumberFormat="1" applyFont="1" applyFill="1" applyBorder="1" applyAlignment="1">
      <alignment horizontal="center"/>
    </xf>
    <xf numFmtId="3" fontId="19" fillId="0" borderId="45" xfId="0" applyNumberFormat="1" applyFont="1" applyFill="1" applyBorder="1" applyAlignment="1">
      <alignment horizontal="right" vertical="center" wrapText="1"/>
    </xf>
    <xf numFmtId="3" fontId="19" fillId="0" borderId="46" xfId="0" applyNumberFormat="1" applyFont="1" applyFill="1" applyBorder="1" applyAlignment="1">
      <alignment horizontal="right" vertical="center" wrapText="1"/>
    </xf>
    <xf numFmtId="3" fontId="40" fillId="0" borderId="128" xfId="18" applyNumberFormat="1" applyFont="1" applyFill="1" applyBorder="1" applyAlignment="1">
      <alignment horizontal="right"/>
    </xf>
    <xf numFmtId="3" fontId="40" fillId="0" borderId="45" xfId="0" applyNumberFormat="1" applyFont="1" applyFill="1" applyBorder="1" applyAlignment="1">
      <alignment horizontal="right" vertical="center" wrapText="1"/>
    </xf>
    <xf numFmtId="3" fontId="22" fillId="0" borderId="45" xfId="0" applyNumberFormat="1" applyFont="1" applyFill="1" applyBorder="1" applyAlignment="1">
      <alignment horizontal="right" vertical="center" wrapText="1"/>
    </xf>
    <xf numFmtId="3" fontId="19" fillId="0" borderId="51" xfId="18" applyNumberFormat="1" applyFont="1" applyFill="1" applyBorder="1" applyAlignment="1">
      <alignment horizontal="center" vertical="center" wrapText="1"/>
    </xf>
    <xf numFmtId="3" fontId="19" fillId="0" borderId="17" xfId="18" applyNumberFormat="1" applyFont="1" applyFill="1" applyBorder="1" applyAlignment="1">
      <alignment horizontal="center" vertical="center" wrapText="1"/>
    </xf>
    <xf numFmtId="3" fontId="22" fillId="0" borderId="114" xfId="0" applyNumberFormat="1" applyFont="1" applyFill="1" applyBorder="1" applyAlignment="1">
      <alignment vertical="center"/>
    </xf>
    <xf numFmtId="3" fontId="19" fillId="0" borderId="50" xfId="0" applyNumberFormat="1" applyFont="1" applyFill="1" applyBorder="1" applyAlignment="1">
      <alignment horizontal="center" wrapText="1"/>
    </xf>
    <xf numFmtId="3" fontId="19" fillId="0" borderId="45" xfId="0" applyNumberFormat="1" applyFont="1" applyFill="1" applyBorder="1" applyAlignment="1">
      <alignment horizontal="center" wrapText="1"/>
    </xf>
    <xf numFmtId="3" fontId="19" fillId="0" borderId="21" xfId="0" applyNumberFormat="1" applyFont="1" applyFill="1" applyBorder="1" applyAlignment="1">
      <alignment horizontal="center" wrapText="1"/>
    </xf>
    <xf numFmtId="3" fontId="19" fillId="0" borderId="45" xfId="0" applyNumberFormat="1" applyFont="1" applyFill="1" applyBorder="1" applyAlignment="1">
      <alignment horizontal="right" wrapText="1"/>
    </xf>
    <xf numFmtId="3" fontId="22" fillId="0" borderId="48" xfId="18" applyNumberFormat="1" applyFont="1" applyFill="1" applyBorder="1" applyAlignment="1">
      <alignment horizontal="right"/>
    </xf>
    <xf numFmtId="3" fontId="40" fillId="0" borderId="108" xfId="18" applyNumberFormat="1" applyFont="1" applyFill="1" applyBorder="1" applyAlignment="1">
      <alignment wrapText="1"/>
    </xf>
    <xf numFmtId="3" fontId="40" fillId="0" borderId="137" xfId="18" applyNumberFormat="1" applyFont="1" applyFill="1" applyBorder="1" applyAlignment="1">
      <alignment horizontal="right"/>
    </xf>
    <xf numFmtId="3" fontId="40" fillId="0" borderId="108" xfId="18" applyNumberFormat="1" applyFont="1" applyFill="1" applyBorder="1" applyAlignment="1">
      <alignment horizontal="right"/>
    </xf>
    <xf numFmtId="3" fontId="11" fillId="0" borderId="24" xfId="18" applyNumberFormat="1" applyFont="1" applyFill="1" applyBorder="1" applyAlignment="1">
      <alignment horizontal="center" vertical="center"/>
    </xf>
    <xf numFmtId="3" fontId="11" fillId="0" borderId="23" xfId="18" applyNumberFormat="1" applyFont="1" applyFill="1" applyBorder="1" applyAlignment="1">
      <alignment horizontal="center" vertical="center"/>
    </xf>
    <xf numFmtId="3" fontId="21" fillId="0" borderId="16" xfId="0" applyNumberFormat="1" applyFont="1" applyFill="1" applyBorder="1" applyAlignment="1">
      <alignment horizontal="center" vertical="center"/>
    </xf>
    <xf numFmtId="3" fontId="21" fillId="0" borderId="36" xfId="0" applyNumberFormat="1" applyFont="1" applyFill="1" applyBorder="1" applyAlignment="1">
      <alignment horizontal="center"/>
    </xf>
    <xf numFmtId="3" fontId="21" fillId="0" borderId="114" xfId="28" applyNumberFormat="1" applyFont="1" applyFill="1" applyBorder="1" applyAlignment="1"/>
    <xf numFmtId="3" fontId="22" fillId="0" borderId="17" xfId="0" applyNumberFormat="1" applyFont="1" applyFill="1" applyBorder="1" applyAlignment="1">
      <alignment horizontal="center"/>
    </xf>
    <xf numFmtId="3" fontId="22" fillId="0" borderId="36" xfId="0" applyNumberFormat="1" applyFont="1" applyFill="1" applyBorder="1" applyAlignment="1">
      <alignment horizontal="center"/>
    </xf>
    <xf numFmtId="3" fontId="22" fillId="0" borderId="17" xfId="0" applyNumberFormat="1" applyFont="1" applyFill="1" applyBorder="1" applyAlignment="1"/>
    <xf numFmtId="3" fontId="25" fillId="0" borderId="17" xfId="0" applyNumberFormat="1" applyFont="1" applyFill="1" applyBorder="1" applyAlignment="1"/>
    <xf numFmtId="3" fontId="22" fillId="0" borderId="108" xfId="0" applyNumberFormat="1" applyFont="1" applyFill="1" applyBorder="1" applyAlignment="1">
      <alignment horizontal="center"/>
    </xf>
    <xf numFmtId="3" fontId="22" fillId="0" borderId="188" xfId="0" applyNumberFormat="1" applyFont="1" applyFill="1" applyBorder="1" applyAlignment="1">
      <alignment horizontal="center"/>
    </xf>
    <xf numFmtId="3" fontId="22" fillId="0" borderId="132" xfId="28" applyNumberFormat="1" applyFont="1" applyFill="1" applyBorder="1" applyAlignment="1"/>
    <xf numFmtId="3" fontId="22" fillId="0" borderId="108" xfId="0" applyNumberFormat="1" applyFont="1" applyFill="1" applyBorder="1" applyAlignment="1"/>
    <xf numFmtId="3" fontId="22" fillId="0" borderId="134" xfId="0" applyNumberFormat="1" applyFont="1" applyFill="1" applyBorder="1" applyAlignment="1"/>
    <xf numFmtId="3" fontId="22" fillId="0" borderId="47" xfId="0" applyNumberFormat="1" applyFont="1" applyFill="1" applyBorder="1" applyAlignment="1">
      <alignment horizontal="center" vertical="center"/>
    </xf>
    <xf numFmtId="3" fontId="22" fillId="0" borderId="48" xfId="0" applyNumberFormat="1" applyFont="1" applyFill="1" applyBorder="1" applyAlignment="1">
      <alignment horizontal="center"/>
    </xf>
    <xf numFmtId="3" fontId="22" fillId="0" borderId="171" xfId="0" applyNumberFormat="1" applyFont="1" applyFill="1" applyBorder="1" applyAlignment="1">
      <alignment horizontal="center"/>
    </xf>
    <xf numFmtId="3" fontId="22" fillId="0" borderId="115" xfId="28" applyNumberFormat="1" applyFont="1" applyFill="1" applyBorder="1" applyAlignment="1"/>
    <xf numFmtId="3" fontId="22" fillId="0" borderId="48" xfId="0" applyNumberFormat="1" applyFont="1" applyFill="1" applyBorder="1" applyAlignment="1"/>
    <xf numFmtId="3" fontId="22" fillId="0" borderId="49" xfId="0" applyNumberFormat="1" applyFont="1" applyFill="1" applyBorder="1" applyAlignment="1"/>
    <xf numFmtId="3" fontId="22" fillId="0" borderId="26" xfId="28" applyNumberFormat="1" applyFont="1" applyFill="1" applyBorder="1" applyAlignment="1"/>
    <xf numFmtId="3" fontId="22" fillId="0" borderId="26" xfId="28" applyNumberFormat="1" applyFont="1" applyFill="1" applyBorder="1" applyAlignment="1">
      <alignment wrapText="1"/>
    </xf>
    <xf numFmtId="3" fontId="22" fillId="0" borderId="121" xfId="28" applyNumberFormat="1" applyFont="1" applyFill="1" applyBorder="1" applyAlignment="1">
      <alignment wrapText="1"/>
    </xf>
    <xf numFmtId="0" fontId="23" fillId="0" borderId="0" xfId="0" applyFont="1" applyFill="1" applyAlignment="1">
      <alignment horizontal="right" vertical="center"/>
    </xf>
    <xf numFmtId="0" fontId="0" fillId="0" borderId="0" xfId="0" applyFont="1" applyFill="1" applyAlignment="1">
      <alignment horizontal="right"/>
    </xf>
    <xf numFmtId="3" fontId="0" fillId="0" borderId="0" xfId="0" applyNumberFormat="1" applyFont="1" applyFill="1" applyAlignment="1">
      <alignment horizontal="right"/>
    </xf>
    <xf numFmtId="0" fontId="30" fillId="0" borderId="0" xfId="0" applyFont="1" applyFill="1" applyAlignment="1">
      <alignment horizontal="right"/>
    </xf>
    <xf numFmtId="0" fontId="29" fillId="0" borderId="0" xfId="0" applyFont="1" applyFill="1" applyAlignment="1">
      <alignment horizontal="right"/>
    </xf>
    <xf numFmtId="49" fontId="0" fillId="0" borderId="0" xfId="0" applyNumberFormat="1" applyFont="1" applyFill="1" applyAlignment="1">
      <alignment horizontal="right"/>
    </xf>
    <xf numFmtId="3" fontId="21" fillId="0" borderId="114" xfId="0" applyNumberFormat="1" applyFont="1" applyFill="1" applyBorder="1" applyAlignment="1">
      <alignment horizontal="center" vertical="center"/>
    </xf>
    <xf numFmtId="3" fontId="21" fillId="0" borderId="17" xfId="28" applyNumberFormat="1" applyFont="1" applyFill="1" applyBorder="1" applyAlignment="1"/>
    <xf numFmtId="3" fontId="21" fillId="0" borderId="23" xfId="0" applyNumberFormat="1" applyFont="1" applyFill="1" applyBorder="1" applyAlignment="1">
      <alignment vertical="center"/>
    </xf>
    <xf numFmtId="3" fontId="21" fillId="0" borderId="57" xfId="0" applyNumberFormat="1" applyFont="1" applyFill="1" applyBorder="1" applyAlignment="1"/>
    <xf numFmtId="3" fontId="22" fillId="0" borderId="114" xfId="0" applyNumberFormat="1" applyFont="1" applyFill="1" applyBorder="1" applyAlignment="1">
      <alignment horizontal="center" vertical="center"/>
    </xf>
    <xf numFmtId="3" fontId="22" fillId="0" borderId="17" xfId="0" applyNumberFormat="1" applyFont="1" applyFill="1" applyBorder="1" applyAlignment="1">
      <alignment vertical="center"/>
    </xf>
    <xf numFmtId="3" fontId="22" fillId="0" borderId="23" xfId="0" applyNumberFormat="1" applyFont="1" applyFill="1" applyBorder="1" applyAlignment="1">
      <alignment vertical="center"/>
    </xf>
    <xf numFmtId="3" fontId="22" fillId="0" borderId="17" xfId="0" applyNumberFormat="1" applyFont="1" applyFill="1" applyBorder="1" applyAlignment="1">
      <alignment horizontal="right"/>
    </xf>
    <xf numFmtId="3" fontId="22" fillId="0" borderId="18" xfId="0" applyNumberFormat="1" applyFont="1" applyFill="1" applyBorder="1" applyAlignment="1">
      <alignment horizontal="right"/>
    </xf>
    <xf numFmtId="3" fontId="40" fillId="0" borderId="45" xfId="0" applyNumberFormat="1" applyFont="1" applyFill="1" applyBorder="1" applyAlignment="1">
      <alignment horizontal="center" vertical="center"/>
    </xf>
    <xf numFmtId="3" fontId="21" fillId="0" borderId="17" xfId="0" applyNumberFormat="1" applyFont="1" applyFill="1" applyBorder="1" applyAlignment="1">
      <alignment horizontal="center" vertical="center"/>
    </xf>
    <xf numFmtId="3" fontId="22" fillId="0" borderId="108" xfId="0" applyNumberFormat="1" applyFont="1" applyFill="1" applyBorder="1" applyAlignment="1">
      <alignment horizontal="center" vertical="center"/>
    </xf>
    <xf numFmtId="3" fontId="22" fillId="0" borderId="132" xfId="0" applyNumberFormat="1" applyFont="1" applyFill="1" applyBorder="1" applyAlignment="1">
      <alignment horizontal="center" vertical="center"/>
    </xf>
    <xf numFmtId="3" fontId="22" fillId="0" borderId="108" xfId="28" applyNumberFormat="1" applyFont="1" applyFill="1" applyBorder="1" applyAlignment="1"/>
    <xf numFmtId="3" fontId="22" fillId="0" borderId="108" xfId="0" applyNumberFormat="1" applyFont="1" applyFill="1" applyBorder="1" applyAlignment="1">
      <alignment vertical="center"/>
    </xf>
    <xf numFmtId="3" fontId="22" fillId="0" borderId="137" xfId="0" applyNumberFormat="1" applyFont="1" applyFill="1" applyBorder="1" applyAlignment="1">
      <alignment vertical="center"/>
    </xf>
    <xf numFmtId="3" fontId="22" fillId="0" borderId="131" xfId="0" applyNumberFormat="1" applyFont="1" applyFill="1" applyBorder="1" applyAlignment="1"/>
    <xf numFmtId="3" fontId="22" fillId="0" borderId="108" xfId="0" applyNumberFormat="1" applyFont="1" applyFill="1" applyBorder="1" applyAlignment="1">
      <alignment horizontal="right"/>
    </xf>
    <xf numFmtId="3" fontId="22" fillId="0" borderId="134" xfId="0" applyNumberFormat="1" applyFont="1" applyFill="1" applyBorder="1" applyAlignment="1">
      <alignment horizontal="right"/>
    </xf>
    <xf numFmtId="3" fontId="21" fillId="0" borderId="17" xfId="28" applyNumberFormat="1" applyFont="1" applyFill="1" applyBorder="1" applyAlignment="1">
      <alignment horizontal="left" indent="1"/>
    </xf>
    <xf numFmtId="3" fontId="25" fillId="0" borderId="114" xfId="0" applyNumberFormat="1" applyFont="1" applyFill="1" applyBorder="1" applyAlignment="1">
      <alignment horizontal="center" vertical="center"/>
    </xf>
    <xf numFmtId="3" fontId="25" fillId="0" borderId="17" xfId="28" applyNumberFormat="1" applyFont="1" applyFill="1" applyBorder="1" applyAlignment="1">
      <alignment horizontal="left" indent="1"/>
    </xf>
    <xf numFmtId="3" fontId="25" fillId="0" borderId="17" xfId="0" applyNumberFormat="1" applyFont="1" applyFill="1" applyBorder="1" applyAlignment="1">
      <alignment vertical="center"/>
    </xf>
    <xf numFmtId="3" fontId="25" fillId="0" borderId="17" xfId="0" applyNumberFormat="1" applyFont="1" applyFill="1" applyBorder="1" applyAlignment="1">
      <alignment horizontal="right"/>
    </xf>
    <xf numFmtId="3" fontId="25" fillId="0" borderId="18" xfId="0" applyNumberFormat="1" applyFont="1" applyFill="1" applyBorder="1" applyAlignment="1">
      <alignment horizontal="right"/>
    </xf>
    <xf numFmtId="3" fontId="22" fillId="0" borderId="48" xfId="0" applyNumberFormat="1" applyFont="1" applyFill="1" applyBorder="1" applyAlignment="1">
      <alignment horizontal="center" vertical="center"/>
    </xf>
    <xf numFmtId="3" fontId="22" fillId="0" borderId="115" xfId="0" applyNumberFormat="1" applyFont="1" applyFill="1" applyBorder="1" applyAlignment="1">
      <alignment horizontal="center" vertical="center"/>
    </xf>
    <xf numFmtId="3" fontId="22" fillId="0" borderId="48" xfId="28" applyNumberFormat="1" applyFont="1" applyFill="1" applyBorder="1" applyAlignment="1"/>
    <xf numFmtId="3" fontId="22" fillId="0" borderId="48" xfId="0" applyNumberFormat="1" applyFont="1" applyFill="1" applyBorder="1" applyAlignment="1">
      <alignment vertical="center"/>
    </xf>
    <xf numFmtId="3" fontId="22" fillId="0" borderId="61" xfId="0" applyNumberFormat="1" applyFont="1" applyFill="1" applyBorder="1" applyAlignment="1"/>
    <xf numFmtId="3" fontId="22" fillId="0" borderId="48" xfId="0" applyNumberFormat="1" applyFont="1" applyFill="1" applyBorder="1" applyAlignment="1">
      <alignment horizontal="right"/>
    </xf>
    <xf numFmtId="3" fontId="22" fillId="0" borderId="26" xfId="0" applyNumberFormat="1" applyFont="1" applyFill="1" applyBorder="1" applyAlignment="1"/>
    <xf numFmtId="3" fontId="22" fillId="0" borderId="24" xfId="0" applyNumberFormat="1" applyFont="1" applyFill="1" applyBorder="1" applyAlignment="1">
      <alignment horizontal="right"/>
    </xf>
    <xf numFmtId="3" fontId="22" fillId="0" borderId="77" xfId="0" applyNumberFormat="1" applyFont="1" applyFill="1" applyBorder="1" applyAlignment="1">
      <alignment horizontal="right"/>
    </xf>
    <xf numFmtId="3" fontId="22" fillId="0" borderId="25" xfId="0" applyNumberFormat="1" applyFont="1" applyFill="1" applyBorder="1" applyAlignment="1">
      <alignment horizontal="right"/>
    </xf>
    <xf numFmtId="3" fontId="40" fillId="0" borderId="58" xfId="28" applyNumberFormat="1" applyFont="1" applyFill="1" applyBorder="1" applyAlignment="1"/>
    <xf numFmtId="3" fontId="40" fillId="0" borderId="45" xfId="28" applyNumberFormat="1" applyFont="1" applyFill="1" applyBorder="1" applyAlignment="1">
      <alignment horizontal="center"/>
    </xf>
    <xf numFmtId="3" fontId="40" fillId="0" borderId="45" xfId="0" applyNumberFormat="1" applyFont="1" applyFill="1" applyBorder="1" applyAlignment="1">
      <alignment horizontal="right" vertical="center"/>
    </xf>
    <xf numFmtId="3" fontId="40" fillId="0" borderId="46" xfId="0" applyNumberFormat="1" applyFont="1" applyFill="1" applyBorder="1" applyAlignment="1">
      <alignment horizontal="right" vertical="center"/>
    </xf>
    <xf numFmtId="3" fontId="22" fillId="0" borderId="50" xfId="0" applyNumberFormat="1" applyFont="1" applyFill="1" applyBorder="1" applyAlignment="1">
      <alignment horizontal="center" vertical="center"/>
    </xf>
    <xf numFmtId="3" fontId="22" fillId="0" borderId="45" xfId="0" applyNumberFormat="1" applyFont="1" applyFill="1" applyBorder="1" applyAlignment="1">
      <alignment horizontal="center" vertical="center"/>
    </xf>
    <xf numFmtId="3" fontId="22" fillId="0" borderId="128" xfId="0" applyNumberFormat="1" applyFont="1" applyFill="1" applyBorder="1" applyAlignment="1">
      <alignment horizontal="center" vertical="center"/>
    </xf>
    <xf numFmtId="3" fontId="22" fillId="0" borderId="45" xfId="28" applyNumberFormat="1" applyFont="1" applyFill="1" applyBorder="1" applyAlignment="1"/>
    <xf numFmtId="3" fontId="22" fillId="0" borderId="45" xfId="0" applyNumberFormat="1" applyFont="1" applyFill="1" applyBorder="1" applyAlignment="1">
      <alignment vertical="center"/>
    </xf>
    <xf numFmtId="3" fontId="22" fillId="0" borderId="21" xfId="0" applyNumberFormat="1" applyFont="1" applyFill="1" applyBorder="1" applyAlignment="1"/>
    <xf numFmtId="3" fontId="22" fillId="0" borderId="45" xfId="0" applyNumberFormat="1" applyFont="1" applyFill="1" applyBorder="1" applyAlignment="1">
      <alignment horizontal="right"/>
    </xf>
    <xf numFmtId="3" fontId="22" fillId="0" borderId="46" xfId="0" applyNumberFormat="1" applyFont="1" applyFill="1" applyBorder="1" applyAlignment="1">
      <alignment horizontal="right"/>
    </xf>
    <xf numFmtId="3" fontId="41" fillId="0" borderId="50" xfId="0" applyNumberFormat="1" applyFont="1" applyFill="1" applyBorder="1" applyAlignment="1">
      <alignment horizontal="left" vertical="center" wrapText="1"/>
    </xf>
    <xf numFmtId="3" fontId="41" fillId="0" borderId="128" xfId="0" applyNumberFormat="1" applyFont="1" applyFill="1" applyBorder="1" applyAlignment="1">
      <alignment horizontal="left" vertical="center" wrapText="1"/>
    </xf>
    <xf numFmtId="3" fontId="41" fillId="0" borderId="45" xfId="0" applyNumberFormat="1" applyFont="1" applyFill="1" applyBorder="1" applyAlignment="1">
      <alignment horizontal="left" vertical="center" wrapText="1"/>
    </xf>
    <xf numFmtId="3" fontId="41" fillId="0" borderId="45" xfId="0" applyNumberFormat="1" applyFont="1" applyFill="1" applyBorder="1" applyAlignment="1">
      <alignment horizontal="right" vertical="center"/>
    </xf>
    <xf numFmtId="3" fontId="40" fillId="0" borderId="21" xfId="0" applyNumberFormat="1" applyFont="1" applyFill="1" applyBorder="1" applyAlignment="1">
      <alignment horizontal="right" vertical="center"/>
    </xf>
    <xf numFmtId="0" fontId="11" fillId="0" borderId="0" xfId="47" applyFont="1" applyFill="1" applyBorder="1" applyAlignment="1" applyProtection="1">
      <alignment horizontal="center" vertical="center"/>
      <protection locked="0"/>
    </xf>
    <xf numFmtId="0" fontId="11" fillId="0" borderId="0" xfId="47" applyFont="1" applyFill="1" applyBorder="1" applyProtection="1">
      <protection locked="0"/>
    </xf>
    <xf numFmtId="3" fontId="19" fillId="3" borderId="0" xfId="31" applyNumberFormat="1" applyFont="1" applyFill="1" applyBorder="1" applyAlignment="1" applyProtection="1">
      <alignment horizontal="right"/>
      <protection locked="0"/>
    </xf>
    <xf numFmtId="3" fontId="19" fillId="0" borderId="24" xfId="31" applyNumberFormat="1" applyFont="1" applyFill="1" applyBorder="1" applyAlignment="1" applyProtection="1">
      <alignment horizontal="left"/>
      <protection locked="0"/>
    </xf>
    <xf numFmtId="3" fontId="22" fillId="0" borderId="231" xfId="31" applyNumberFormat="1" applyFont="1" applyFill="1" applyBorder="1" applyAlignment="1" applyProtection="1">
      <alignment horizontal="right" vertical="center"/>
      <protection locked="0"/>
    </xf>
    <xf numFmtId="3" fontId="22" fillId="0" borderId="32" xfId="31" applyNumberFormat="1" applyFont="1" applyFill="1" applyBorder="1" applyAlignment="1" applyProtection="1">
      <alignment horizontal="right" vertical="center"/>
      <protection locked="0"/>
    </xf>
    <xf numFmtId="3" fontId="19" fillId="0" borderId="0" xfId="47" applyNumberFormat="1" applyFont="1" applyFill="1" applyBorder="1" applyAlignment="1" applyProtection="1">
      <alignment horizontal="left" vertical="top"/>
      <protection locked="0"/>
    </xf>
    <xf numFmtId="3" fontId="19" fillId="0" borderId="0" xfId="47" applyNumberFormat="1" applyFont="1" applyFill="1" applyBorder="1" applyAlignment="1" applyProtection="1">
      <alignment horizontal="center" vertical="top"/>
      <protection locked="0"/>
    </xf>
    <xf numFmtId="3" fontId="19" fillId="0" borderId="0" xfId="47" applyNumberFormat="1" applyFont="1" applyFill="1" applyBorder="1" applyAlignment="1" applyProtection="1">
      <alignment horizontal="center" vertical="center"/>
      <protection locked="0"/>
    </xf>
    <xf numFmtId="3" fontId="19" fillId="0" borderId="0" xfId="47" applyNumberFormat="1" applyFont="1" applyFill="1" applyBorder="1" applyAlignment="1" applyProtection="1">
      <protection locked="0"/>
    </xf>
    <xf numFmtId="0" fontId="15" fillId="0" borderId="0" xfId="48" applyFont="1" applyFill="1" applyBorder="1" applyAlignment="1">
      <alignment horizontal="center" vertical="center"/>
    </xf>
    <xf numFmtId="0" fontId="11" fillId="0" borderId="0" xfId="48" applyFont="1" applyFill="1" applyBorder="1"/>
    <xf numFmtId="3" fontId="19" fillId="0" borderId="36" xfId="31" applyNumberFormat="1" applyFont="1" applyFill="1" applyBorder="1" applyAlignment="1"/>
    <xf numFmtId="0" fontId="40" fillId="0" borderId="16" xfId="31" applyFont="1" applyFill="1" applyBorder="1" applyAlignment="1">
      <alignment horizontal="center" vertical="center"/>
    </xf>
    <xf numFmtId="0" fontId="40" fillId="0" borderId="17" xfId="31" applyFont="1" applyFill="1" applyBorder="1" applyAlignment="1">
      <alignment horizontal="center"/>
    </xf>
    <xf numFmtId="0" fontId="40" fillId="0" borderId="17" xfId="31" applyFont="1" applyFill="1" applyBorder="1" applyAlignment="1">
      <alignment wrapText="1"/>
    </xf>
    <xf numFmtId="3" fontId="40" fillId="0" borderId="17" xfId="31" applyNumberFormat="1" applyFont="1" applyFill="1" applyBorder="1" applyAlignment="1">
      <alignment horizontal="right" vertical="center"/>
    </xf>
    <xf numFmtId="3" fontId="40" fillId="0" borderId="17" xfId="21" applyNumberFormat="1" applyFont="1" applyFill="1" applyBorder="1" applyAlignment="1">
      <alignment horizontal="right" vertical="center"/>
    </xf>
    <xf numFmtId="0" fontId="40" fillId="0" borderId="57" xfId="31" applyFont="1" applyFill="1" applyBorder="1" applyAlignment="1">
      <alignment horizontal="center" vertical="center" wrapText="1"/>
    </xf>
    <xf numFmtId="3" fontId="40" fillId="0" borderId="114" xfId="21" applyNumberFormat="1" applyFont="1" applyFill="1" applyBorder="1" applyAlignment="1">
      <alignment horizontal="right" vertical="center" wrapText="1"/>
    </xf>
    <xf numFmtId="3" fontId="40" fillId="0" borderId="36" xfId="31" applyNumberFormat="1" applyFont="1" applyFill="1" applyBorder="1" applyAlignment="1"/>
    <xf numFmtId="3" fontId="40" fillId="0" borderId="186" xfId="21" applyNumberFormat="1" applyFont="1" applyFill="1" applyBorder="1" applyAlignment="1">
      <alignment horizontal="right" vertical="center" wrapText="1"/>
    </xf>
    <xf numFmtId="3" fontId="40" fillId="0" borderId="82" xfId="31" applyNumberFormat="1" applyFont="1" applyFill="1" applyBorder="1" applyAlignment="1">
      <alignment horizontal="right" vertical="center"/>
    </xf>
    <xf numFmtId="0" fontId="40" fillId="0" borderId="0" xfId="31" applyFont="1" applyFill="1" applyBorder="1"/>
    <xf numFmtId="0" fontId="21" fillId="0" borderId="16" xfId="31" applyFont="1" applyFill="1" applyBorder="1" applyAlignment="1">
      <alignment horizontal="center" vertical="center"/>
    </xf>
    <xf numFmtId="0" fontId="21" fillId="0" borderId="17" xfId="31" applyFont="1" applyFill="1" applyBorder="1" applyAlignment="1">
      <alignment horizontal="center"/>
    </xf>
    <xf numFmtId="0" fontId="55" fillId="0" borderId="17" xfId="31" applyFont="1" applyFill="1" applyBorder="1" applyAlignment="1">
      <alignment wrapText="1"/>
    </xf>
    <xf numFmtId="3" fontId="21" fillId="0" borderId="17" xfId="31" applyNumberFormat="1" applyFont="1" applyFill="1" applyBorder="1" applyAlignment="1">
      <alignment horizontal="right" vertical="center"/>
    </xf>
    <xf numFmtId="3" fontId="21" fillId="0" borderId="17" xfId="21" applyNumberFormat="1" applyFont="1" applyFill="1" applyBorder="1" applyAlignment="1">
      <alignment horizontal="right" vertical="center"/>
    </xf>
    <xf numFmtId="0" fontId="21" fillId="0" borderId="57" xfId="31" applyFont="1" applyFill="1" applyBorder="1" applyAlignment="1">
      <alignment horizontal="center" vertical="center" wrapText="1"/>
    </xf>
    <xf numFmtId="3" fontId="21" fillId="0" borderId="114" xfId="21" applyNumberFormat="1" applyFont="1" applyFill="1" applyBorder="1" applyAlignment="1">
      <alignment horizontal="right" vertical="center" wrapText="1"/>
    </xf>
    <xf numFmtId="3" fontId="21" fillId="0" borderId="36" xfId="31" applyNumberFormat="1" applyFont="1" applyFill="1" applyBorder="1" applyAlignment="1"/>
    <xf numFmtId="3" fontId="21" fillId="0" borderId="186" xfId="21" applyNumberFormat="1" applyFont="1" applyFill="1" applyBorder="1" applyAlignment="1">
      <alignment horizontal="right" vertical="center" wrapText="1"/>
    </xf>
    <xf numFmtId="3" fontId="21" fillId="0" borderId="82" xfId="31" applyNumberFormat="1" applyFont="1" applyFill="1" applyBorder="1" applyAlignment="1">
      <alignment horizontal="right" vertical="center"/>
    </xf>
    <xf numFmtId="0" fontId="21" fillId="0" borderId="0" xfId="31" applyFont="1" applyFill="1" applyBorder="1"/>
    <xf numFmtId="0" fontId="22" fillId="0" borderId="16" xfId="31" applyFont="1" applyFill="1" applyBorder="1" applyAlignment="1">
      <alignment horizontal="center" vertical="center"/>
    </xf>
    <xf numFmtId="0" fontId="22" fillId="0" borderId="17" xfId="31" applyFont="1" applyFill="1" applyBorder="1" applyAlignment="1">
      <alignment horizontal="center"/>
    </xf>
    <xf numFmtId="0" fontId="56" fillId="0" borderId="17" xfId="31" applyFont="1" applyFill="1" applyBorder="1" applyAlignment="1">
      <alignment wrapText="1"/>
    </xf>
    <xf numFmtId="3" fontId="22" fillId="0" borderId="17" xfId="31" applyNumberFormat="1" applyFont="1" applyFill="1" applyBorder="1" applyAlignment="1">
      <alignment horizontal="right" vertical="center"/>
    </xf>
    <xf numFmtId="3" fontId="22" fillId="0" borderId="17" xfId="21" applyNumberFormat="1" applyFont="1" applyFill="1" applyBorder="1" applyAlignment="1">
      <alignment horizontal="right" vertical="center"/>
    </xf>
    <xf numFmtId="0" fontId="22" fillId="0" borderId="57" xfId="31" applyFont="1" applyFill="1" applyBorder="1" applyAlignment="1">
      <alignment horizontal="center" vertical="center" wrapText="1"/>
    </xf>
    <xf numFmtId="3" fontId="22" fillId="0" borderId="114" xfId="21" applyNumberFormat="1" applyFont="1" applyFill="1" applyBorder="1" applyAlignment="1">
      <alignment horizontal="right" vertical="center" wrapText="1"/>
    </xf>
    <xf numFmtId="3" fontId="22" fillId="0" borderId="36" xfId="31" applyNumberFormat="1" applyFont="1" applyFill="1" applyBorder="1" applyAlignment="1"/>
    <xf numFmtId="3" fontId="22" fillId="0" borderId="186" xfId="21" applyNumberFormat="1" applyFont="1" applyFill="1" applyBorder="1" applyAlignment="1">
      <alignment horizontal="right" vertical="center" wrapText="1"/>
    </xf>
    <xf numFmtId="3" fontId="22" fillId="0" borderId="82" xfId="31" applyNumberFormat="1" applyFont="1" applyFill="1" applyBorder="1" applyAlignment="1">
      <alignment horizontal="right" vertical="center"/>
    </xf>
    <xf numFmtId="0" fontId="22" fillId="0" borderId="0" xfId="31" applyFont="1" applyFill="1" applyBorder="1"/>
    <xf numFmtId="0" fontId="40" fillId="0" borderId="17" xfId="31" applyFont="1" applyFill="1" applyBorder="1" applyAlignment="1">
      <alignment horizontal="left" wrapText="1" indent="1"/>
    </xf>
    <xf numFmtId="0" fontId="55" fillId="0" borderId="17" xfId="31" applyFont="1" applyFill="1" applyBorder="1" applyAlignment="1">
      <alignment horizontal="left" wrapText="1" indent="1"/>
    </xf>
    <xf numFmtId="0" fontId="56" fillId="0" borderId="17" xfId="31" applyFont="1" applyFill="1" applyBorder="1" applyAlignment="1">
      <alignment horizontal="left" wrapText="1" indent="1"/>
    </xf>
    <xf numFmtId="3" fontId="22" fillId="0" borderId="216" xfId="21" applyNumberFormat="1" applyFont="1" applyFill="1" applyBorder="1" applyAlignment="1">
      <alignment horizontal="right" vertical="center" wrapText="1"/>
    </xf>
    <xf numFmtId="3" fontId="22" fillId="0" borderId="118" xfId="21" applyNumberFormat="1" applyFont="1" applyFill="1" applyBorder="1" applyAlignment="1">
      <alignment horizontal="right" vertical="center" wrapText="1"/>
    </xf>
    <xf numFmtId="3" fontId="22" fillId="0" borderId="187" xfId="21" applyNumberFormat="1" applyFont="1" applyFill="1" applyBorder="1" applyAlignment="1">
      <alignment horizontal="right" vertical="center" wrapText="1"/>
    </xf>
    <xf numFmtId="3" fontId="22" fillId="0" borderId="145" xfId="21" applyNumberFormat="1" applyFont="1" applyFill="1" applyBorder="1" applyAlignment="1">
      <alignment horizontal="right" vertical="center" wrapText="1"/>
    </xf>
    <xf numFmtId="0" fontId="22" fillId="0" borderId="47" xfId="31" applyFont="1" applyFill="1" applyBorder="1" applyAlignment="1">
      <alignment horizontal="center" vertical="center"/>
    </xf>
    <xf numFmtId="0" fontId="22" fillId="0" borderId="48" xfId="31" applyFont="1" applyFill="1" applyBorder="1" applyAlignment="1">
      <alignment horizontal="center"/>
    </xf>
    <xf numFmtId="0" fontId="56" fillId="0" borderId="48" xfId="31" applyFont="1" applyFill="1" applyBorder="1" applyAlignment="1">
      <alignment wrapText="1"/>
    </xf>
    <xf numFmtId="3" fontId="22" fillId="0" borderId="48" xfId="31" applyNumberFormat="1" applyFont="1" applyFill="1" applyBorder="1" applyAlignment="1">
      <alignment horizontal="right" vertical="center"/>
    </xf>
    <xf numFmtId="3" fontId="22" fillId="0" borderId="48" xfId="21" applyNumberFormat="1" applyFont="1" applyFill="1" applyBorder="1" applyAlignment="1">
      <alignment horizontal="right" vertical="center"/>
    </xf>
    <xf numFmtId="0" fontId="22" fillId="0" borderId="61" xfId="31" applyFont="1" applyFill="1" applyBorder="1" applyAlignment="1">
      <alignment horizontal="center" vertical="center" wrapText="1"/>
    </xf>
    <xf numFmtId="3" fontId="22" fillId="0" borderId="115" xfId="21" applyNumberFormat="1" applyFont="1" applyFill="1" applyBorder="1" applyAlignment="1">
      <alignment horizontal="right" vertical="center" wrapText="1"/>
    </xf>
    <xf numFmtId="3" fontId="22" fillId="0" borderId="171" xfId="31" applyNumberFormat="1" applyFont="1" applyFill="1" applyBorder="1" applyAlignment="1"/>
    <xf numFmtId="3" fontId="22" fillId="0" borderId="219" xfId="21" applyNumberFormat="1" applyFont="1" applyFill="1" applyBorder="1" applyAlignment="1">
      <alignment horizontal="right" vertical="center" wrapText="1"/>
    </xf>
    <xf numFmtId="3" fontId="22" fillId="0" borderId="232" xfId="31" applyNumberFormat="1" applyFont="1" applyFill="1" applyBorder="1" applyAlignment="1">
      <alignment horizontal="right" vertical="center"/>
    </xf>
    <xf numFmtId="3" fontId="19" fillId="0" borderId="0" xfId="48" applyNumberFormat="1" applyFont="1" applyFill="1" applyBorder="1" applyAlignment="1">
      <alignment horizontal="left" vertical="top"/>
    </xf>
    <xf numFmtId="3" fontId="19" fillId="0" borderId="0" xfId="48" applyNumberFormat="1" applyFont="1" applyFill="1" applyBorder="1" applyAlignment="1">
      <alignment horizontal="center" vertical="center"/>
    </xf>
    <xf numFmtId="3" fontId="19" fillId="0" borderId="0" xfId="48" applyNumberFormat="1" applyFont="1" applyFill="1" applyBorder="1" applyAlignment="1">
      <alignment horizontal="right"/>
    </xf>
    <xf numFmtId="0" fontId="11" fillId="0" borderId="218" xfId="31" applyFont="1" applyFill="1" applyBorder="1" applyAlignment="1">
      <alignment horizontal="center" wrapText="1"/>
    </xf>
    <xf numFmtId="3" fontId="11" fillId="0" borderId="233" xfId="31" applyNumberFormat="1" applyFont="1" applyFill="1" applyBorder="1" applyAlignment="1">
      <alignment horizontal="right"/>
    </xf>
    <xf numFmtId="0" fontId="13" fillId="0" borderId="47" xfId="31" applyFont="1" applyFill="1" applyBorder="1" applyAlignment="1">
      <alignment horizontal="center"/>
    </xf>
    <xf numFmtId="0" fontId="11" fillId="0" borderId="48" xfId="31" applyFont="1" applyFill="1" applyBorder="1" applyAlignment="1">
      <alignment horizontal="center" vertical="top"/>
    </xf>
    <xf numFmtId="3" fontId="11" fillId="0" borderId="48" xfId="31" applyNumberFormat="1" applyFont="1" applyFill="1" applyBorder="1" applyAlignment="1">
      <alignment horizontal="right"/>
    </xf>
    <xf numFmtId="3" fontId="11" fillId="0" borderId="48" xfId="21" applyNumberFormat="1" applyFont="1" applyFill="1" applyBorder="1" applyAlignment="1">
      <alignment horizontal="right"/>
    </xf>
    <xf numFmtId="3" fontId="11" fillId="0" borderId="59" xfId="31" applyNumberFormat="1" applyFont="1" applyFill="1" applyBorder="1" applyAlignment="1">
      <alignment horizontal="right"/>
    </xf>
    <xf numFmtId="0" fontId="11" fillId="0" borderId="61" xfId="31" applyFont="1" applyFill="1" applyBorder="1" applyAlignment="1">
      <alignment horizontal="center" wrapText="1"/>
    </xf>
    <xf numFmtId="3" fontId="13" fillId="0" borderId="60" xfId="21" applyNumberFormat="1" applyFont="1" applyFill="1" applyBorder="1" applyAlignment="1">
      <alignment horizontal="right" vertical="center" wrapText="1"/>
    </xf>
    <xf numFmtId="3" fontId="13" fillId="0" borderId="57" xfId="21" applyNumberFormat="1" applyFont="1" applyFill="1" applyBorder="1" applyAlignment="1">
      <alignment horizontal="right" vertical="center" wrapText="1"/>
    </xf>
    <xf numFmtId="3" fontId="13" fillId="0" borderId="61" xfId="21" applyNumberFormat="1" applyFont="1" applyFill="1" applyBorder="1" applyAlignment="1">
      <alignment horizontal="right" vertical="center" wrapText="1"/>
    </xf>
    <xf numFmtId="3" fontId="13" fillId="0" borderId="48" xfId="21" applyNumberFormat="1" applyFont="1" applyFill="1" applyBorder="1" applyAlignment="1">
      <alignment horizontal="right" vertical="center" wrapText="1"/>
    </xf>
    <xf numFmtId="3" fontId="13" fillId="0" borderId="16" xfId="21" applyNumberFormat="1" applyFont="1" applyFill="1" applyBorder="1" applyAlignment="1">
      <alignment horizontal="center" vertical="center" wrapText="1"/>
    </xf>
    <xf numFmtId="3" fontId="13" fillId="0" borderId="17" xfId="21" applyNumberFormat="1" applyFont="1" applyFill="1" applyBorder="1" applyAlignment="1">
      <alignment horizontal="center" vertical="center" wrapText="1"/>
    </xf>
    <xf numFmtId="3" fontId="13" fillId="0" borderId="47" xfId="21" applyNumberFormat="1" applyFont="1" applyFill="1" applyBorder="1" applyAlignment="1">
      <alignment horizontal="center" vertical="center" wrapText="1"/>
    </xf>
    <xf numFmtId="3" fontId="13" fillId="0" borderId="48" xfId="21" applyNumberFormat="1" applyFont="1" applyFill="1" applyBorder="1" applyAlignment="1">
      <alignment horizontal="center" vertical="center" wrapText="1"/>
    </xf>
    <xf numFmtId="3" fontId="13" fillId="0" borderId="234" xfId="21" applyNumberFormat="1" applyFont="1" applyFill="1" applyBorder="1" applyAlignment="1">
      <alignment horizontal="right" vertical="center" wrapText="1"/>
    </xf>
    <xf numFmtId="3" fontId="13" fillId="0" borderId="235" xfId="21" applyNumberFormat="1" applyFont="1" applyFill="1" applyBorder="1" applyAlignment="1">
      <alignment horizontal="right" vertical="center" wrapText="1"/>
    </xf>
    <xf numFmtId="3" fontId="13" fillId="0" borderId="186" xfId="21" applyNumberFormat="1" applyFont="1" applyFill="1" applyBorder="1" applyAlignment="1">
      <alignment horizontal="right" vertical="center" wrapText="1"/>
    </xf>
    <xf numFmtId="3" fontId="13" fillId="0" borderId="219" xfId="21" applyNumberFormat="1" applyFont="1" applyFill="1" applyBorder="1" applyAlignment="1">
      <alignment horizontal="right" vertical="center" wrapText="1"/>
    </xf>
    <xf numFmtId="0" fontId="11" fillId="0" borderId="51" xfId="31" applyFont="1" applyFill="1" applyBorder="1" applyAlignment="1">
      <alignment horizontal="center"/>
    </xf>
    <xf numFmtId="3" fontId="11" fillId="0" borderId="51" xfId="31" applyNumberFormat="1" applyFont="1" applyFill="1" applyBorder="1" applyAlignment="1">
      <alignment horizontal="right"/>
    </xf>
    <xf numFmtId="3" fontId="45" fillId="0" borderId="51" xfId="21" applyNumberFormat="1" applyFont="1" applyFill="1" applyBorder="1" applyAlignment="1">
      <alignment horizontal="right"/>
    </xf>
    <xf numFmtId="3" fontId="11" fillId="0" borderId="122" xfId="31" applyNumberFormat="1" applyFont="1" applyFill="1" applyBorder="1" applyAlignment="1">
      <alignment horizontal="right"/>
    </xf>
    <xf numFmtId="0" fontId="44" fillId="0" borderId="218" xfId="31" applyFont="1" applyFill="1" applyBorder="1" applyAlignment="1">
      <alignment horizontal="center" wrapText="1"/>
    </xf>
    <xf numFmtId="3" fontId="44" fillId="0" borderId="233" xfId="31" applyNumberFormat="1" applyFont="1" applyFill="1" applyBorder="1" applyAlignment="1">
      <alignment horizontal="right"/>
    </xf>
    <xf numFmtId="3" fontId="13" fillId="0" borderId="17" xfId="21" applyNumberFormat="1" applyFont="1" applyFill="1" applyBorder="1" applyAlignment="1">
      <alignment horizontal="right" wrapText="1"/>
    </xf>
    <xf numFmtId="3" fontId="13" fillId="0" borderId="114" xfId="21" applyNumberFormat="1" applyFont="1" applyFill="1" applyBorder="1" applyAlignment="1">
      <alignment horizontal="right" wrapText="1"/>
    </xf>
    <xf numFmtId="3" fontId="13" fillId="0" borderId="78" xfId="21" applyNumberFormat="1" applyFont="1" applyFill="1" applyBorder="1" applyAlignment="1">
      <alignment horizontal="right" wrapText="1"/>
    </xf>
    <xf numFmtId="3" fontId="11" fillId="0" borderId="78" xfId="21" applyNumberFormat="1" applyFont="1" applyFill="1" applyBorder="1" applyAlignment="1">
      <alignment horizontal="right" wrapText="1"/>
    </xf>
    <xf numFmtId="3" fontId="11" fillId="0" borderId="51" xfId="21" applyNumberFormat="1" applyFont="1" applyFill="1" applyBorder="1" applyAlignment="1">
      <alignment horizontal="right"/>
    </xf>
    <xf numFmtId="3" fontId="11" fillId="0" borderId="15" xfId="21" applyNumberFormat="1" applyFont="1" applyFill="1" applyBorder="1" applyAlignment="1">
      <alignment horizontal="right"/>
    </xf>
    <xf numFmtId="3" fontId="13" fillId="0" borderId="15" xfId="21" applyNumberFormat="1" applyFont="1" applyFill="1" applyBorder="1" applyAlignment="1">
      <alignment horizontal="right" wrapText="1"/>
    </xf>
    <xf numFmtId="3" fontId="11" fillId="0" borderId="113" xfId="21" applyNumberFormat="1" applyFont="1" applyFill="1" applyBorder="1" applyAlignment="1">
      <alignment horizontal="right"/>
    </xf>
    <xf numFmtId="3" fontId="11" fillId="0" borderId="23" xfId="21" applyNumberFormat="1" applyFont="1" applyFill="1" applyBorder="1" applyAlignment="1">
      <alignment horizontal="right"/>
    </xf>
    <xf numFmtId="0" fontId="13" fillId="0" borderId="119" xfId="31" applyFont="1" applyFill="1" applyBorder="1" applyAlignment="1">
      <alignment horizontal="center" wrapText="1"/>
    </xf>
    <xf numFmtId="0" fontId="13" fillId="0" borderId="57" xfId="31" applyFont="1" applyFill="1" applyBorder="1" applyAlignment="1">
      <alignment horizontal="center" wrapText="1"/>
    </xf>
    <xf numFmtId="3" fontId="44" fillId="0" borderId="236" xfId="31" applyNumberFormat="1" applyFont="1" applyFill="1" applyBorder="1" applyAlignment="1">
      <alignment horizontal="right"/>
    </xf>
    <xf numFmtId="3" fontId="44" fillId="0" borderId="234" xfId="31" applyNumberFormat="1" applyFont="1" applyFill="1" applyBorder="1" applyAlignment="1">
      <alignment horizontal="right"/>
    </xf>
    <xf numFmtId="3" fontId="13" fillId="0" borderId="190" xfId="21" applyNumberFormat="1" applyFont="1" applyFill="1" applyBorder="1" applyAlignment="1">
      <alignment horizontal="right" wrapText="1"/>
    </xf>
    <xf numFmtId="0" fontId="11" fillId="0" borderId="48" xfId="31" applyFont="1" applyFill="1" applyBorder="1" applyAlignment="1">
      <alignment horizontal="center"/>
    </xf>
    <xf numFmtId="3" fontId="11" fillId="0" borderId="59" xfId="21" applyNumberFormat="1" applyFont="1" applyFill="1" applyBorder="1" applyAlignment="1">
      <alignment horizontal="right"/>
    </xf>
    <xf numFmtId="0" fontId="13" fillId="0" borderId="61" xfId="31" applyFont="1" applyFill="1" applyBorder="1" applyAlignment="1">
      <alignment horizontal="center" wrapText="1"/>
    </xf>
    <xf numFmtId="3" fontId="13" fillId="0" borderId="48" xfId="21" applyNumberFormat="1" applyFont="1" applyFill="1" applyBorder="1" applyAlignment="1">
      <alignment horizontal="right" wrapText="1"/>
    </xf>
    <xf numFmtId="3" fontId="13" fillId="0" borderId="219" xfId="21" applyNumberFormat="1" applyFont="1" applyFill="1" applyBorder="1" applyAlignment="1">
      <alignment horizontal="right" wrapText="1"/>
    </xf>
    <xf numFmtId="3" fontId="44" fillId="0" borderId="235" xfId="31" applyNumberFormat="1" applyFont="1" applyFill="1" applyBorder="1" applyAlignment="1">
      <alignment horizontal="right"/>
    </xf>
    <xf numFmtId="0" fontId="57" fillId="0" borderId="207" xfId="21" applyFont="1" applyFill="1" applyBorder="1" applyAlignment="1">
      <alignment horizontal="left"/>
    </xf>
    <xf numFmtId="0" fontId="57" fillId="0" borderId="55" xfId="21" applyFont="1" applyFill="1" applyBorder="1" applyAlignment="1">
      <alignment horizontal="left"/>
    </xf>
    <xf numFmtId="0" fontId="11" fillId="0" borderId="23" xfId="31" applyFont="1" applyFill="1" applyBorder="1" applyAlignment="1">
      <alignment horizontal="center"/>
    </xf>
    <xf numFmtId="3" fontId="13" fillId="0" borderId="206" xfId="21" applyNumberFormat="1" applyFont="1" applyFill="1" applyBorder="1" applyAlignment="1">
      <alignment horizontal="right" wrapText="1"/>
    </xf>
    <xf numFmtId="0" fontId="11" fillId="0" borderId="24" xfId="31" applyFont="1" applyFill="1" applyBorder="1" applyAlignment="1">
      <alignment horizontal="center" vertical="top"/>
    </xf>
    <xf numFmtId="3" fontId="13" fillId="0" borderId="48" xfId="31" applyNumberFormat="1" applyFont="1" applyFill="1" applyBorder="1" applyAlignment="1">
      <alignment horizontal="right"/>
    </xf>
    <xf numFmtId="0" fontId="11" fillId="0" borderId="60" xfId="31" applyFont="1" applyFill="1" applyBorder="1" applyAlignment="1">
      <alignment horizontal="center" wrapText="1"/>
    </xf>
    <xf numFmtId="3" fontId="11" fillId="0" borderId="230" xfId="31" applyNumberFormat="1" applyFont="1" applyFill="1" applyBorder="1" applyAlignment="1">
      <alignment horizontal="right"/>
    </xf>
    <xf numFmtId="3" fontId="11" fillId="0" borderId="234" xfId="31" applyNumberFormat="1" applyFont="1" applyFill="1" applyBorder="1" applyAlignment="1">
      <alignment horizontal="right"/>
    </xf>
    <xf numFmtId="3" fontId="11" fillId="0" borderId="235" xfId="31" applyNumberFormat="1" applyFont="1" applyFill="1" applyBorder="1" applyAlignment="1">
      <alignment horizontal="right"/>
    </xf>
    <xf numFmtId="3" fontId="13" fillId="0" borderId="219" xfId="31" applyNumberFormat="1" applyFont="1" applyFill="1" applyBorder="1" applyAlignment="1">
      <alignment horizontal="right"/>
    </xf>
    <xf numFmtId="3" fontId="13" fillId="0" borderId="23" xfId="21" applyNumberFormat="1" applyFont="1" applyFill="1" applyBorder="1" applyAlignment="1">
      <alignment horizontal="center" vertical="center" wrapText="1"/>
    </xf>
    <xf numFmtId="3" fontId="11" fillId="0" borderId="60" xfId="21" applyNumberFormat="1" applyFont="1" applyFill="1" applyBorder="1" applyAlignment="1">
      <alignment horizontal="right" vertical="center" wrapText="1"/>
    </xf>
    <xf numFmtId="3" fontId="11" fillId="0" borderId="57" xfId="21" applyNumberFormat="1" applyFont="1" applyFill="1" applyBorder="1" applyAlignment="1">
      <alignment horizontal="right" vertical="center" wrapText="1"/>
    </xf>
    <xf numFmtId="3" fontId="13" fillId="0" borderId="237" xfId="21" applyNumberFormat="1" applyFont="1" applyFill="1" applyBorder="1" applyAlignment="1">
      <alignment horizontal="right" vertical="center" wrapText="1"/>
    </xf>
    <xf numFmtId="3" fontId="13" fillId="0" borderId="82" xfId="21" applyNumberFormat="1" applyFont="1" applyFill="1" applyBorder="1" applyAlignment="1">
      <alignment horizontal="right" vertical="center" wrapText="1"/>
    </xf>
    <xf numFmtId="3" fontId="13" fillId="0" borderId="59" xfId="21" applyNumberFormat="1" applyFont="1" applyFill="1" applyBorder="1" applyAlignment="1">
      <alignment horizontal="center" vertical="center" wrapText="1"/>
    </xf>
    <xf numFmtId="3" fontId="11" fillId="0" borderId="61" xfId="21" applyNumberFormat="1" applyFont="1" applyFill="1" applyBorder="1" applyAlignment="1">
      <alignment horizontal="right" vertical="center" wrapText="1"/>
    </xf>
    <xf numFmtId="3" fontId="13" fillId="0" borderId="232" xfId="21" applyNumberFormat="1" applyFont="1" applyFill="1" applyBorder="1" applyAlignment="1">
      <alignment horizontal="right" vertical="center" wrapText="1"/>
    </xf>
    <xf numFmtId="3" fontId="14" fillId="0" borderId="17" xfId="31" applyNumberFormat="1" applyFont="1" applyFill="1" applyBorder="1" applyAlignment="1">
      <alignment horizontal="right"/>
    </xf>
    <xf numFmtId="3" fontId="44" fillId="0" borderId="24" xfId="31" applyNumberFormat="1" applyFont="1" applyFill="1" applyBorder="1" applyAlignment="1">
      <alignment horizontal="right"/>
    </xf>
    <xf numFmtId="3" fontId="44" fillId="0" borderId="178" xfId="31" applyNumberFormat="1" applyFont="1" applyFill="1" applyBorder="1" applyAlignment="1">
      <alignment horizontal="right"/>
    </xf>
    <xf numFmtId="3" fontId="14" fillId="0" borderId="17" xfId="21" applyNumberFormat="1" applyFont="1" applyFill="1" applyBorder="1" applyAlignment="1">
      <alignment horizontal="right" vertical="center" wrapText="1"/>
    </xf>
    <xf numFmtId="0" fontId="11" fillId="0" borderId="0" xfId="49" applyFont="1" applyFill="1" applyBorder="1"/>
    <xf numFmtId="0" fontId="40" fillId="0" borderId="17" xfId="31" applyFont="1" applyFill="1" applyBorder="1" applyAlignment="1">
      <alignment horizontal="center" vertical="top"/>
    </xf>
    <xf numFmtId="0" fontId="40" fillId="0" borderId="17" xfId="21" applyFont="1" applyFill="1" applyBorder="1" applyAlignment="1">
      <alignment vertical="top" wrapText="1"/>
    </xf>
    <xf numFmtId="3" fontId="40" fillId="0" borderId="17" xfId="21" applyNumberFormat="1" applyFont="1" applyFill="1" applyBorder="1" applyAlignment="1">
      <alignment horizontal="right" vertical="center" wrapText="1"/>
    </xf>
    <xf numFmtId="0" fontId="21" fillId="0" borderId="17" xfId="31" applyFont="1" applyFill="1" applyBorder="1" applyAlignment="1">
      <alignment horizontal="center" vertical="top"/>
    </xf>
    <xf numFmtId="0" fontId="21" fillId="0" borderId="17" xfId="21" applyFont="1" applyFill="1" applyBorder="1" applyAlignment="1">
      <alignment vertical="top" wrapText="1"/>
    </xf>
    <xf numFmtId="3" fontId="21" fillId="0" borderId="17" xfId="21" applyNumberFormat="1" applyFont="1" applyFill="1" applyBorder="1" applyAlignment="1">
      <alignment horizontal="right" vertical="center" wrapText="1"/>
    </xf>
    <xf numFmtId="0" fontId="22" fillId="0" borderId="17" xfId="31" applyFont="1" applyFill="1" applyBorder="1" applyAlignment="1">
      <alignment horizontal="center" vertical="top"/>
    </xf>
    <xf numFmtId="0" fontId="22" fillId="0" borderId="17" xfId="21" applyFont="1" applyFill="1" applyBorder="1" applyAlignment="1">
      <alignment vertical="top" wrapText="1"/>
    </xf>
    <xf numFmtId="0" fontId="22" fillId="0" borderId="48" xfId="31" applyFont="1" applyFill="1" applyBorder="1" applyAlignment="1">
      <alignment horizontal="center" vertical="top"/>
    </xf>
    <xf numFmtId="0" fontId="22" fillId="0" borderId="48" xfId="21" applyFont="1" applyFill="1" applyBorder="1" applyAlignment="1">
      <alignment vertical="top" wrapText="1"/>
    </xf>
    <xf numFmtId="3" fontId="19" fillId="0" borderId="0" xfId="49" applyNumberFormat="1" applyFont="1" applyFill="1" applyBorder="1" applyAlignment="1">
      <alignment horizontal="left" vertical="top"/>
    </xf>
    <xf numFmtId="3" fontId="19" fillId="0" borderId="0" xfId="49" applyNumberFormat="1" applyFont="1" applyFill="1" applyBorder="1" applyAlignment="1">
      <alignment horizontal="center" vertical="center"/>
    </xf>
    <xf numFmtId="3" fontId="19" fillId="0" borderId="0" xfId="49" applyNumberFormat="1" applyFont="1" applyFill="1" applyBorder="1" applyAlignment="1">
      <alignment horizontal="right"/>
    </xf>
    <xf numFmtId="3" fontId="11" fillId="0" borderId="157" xfId="0" applyNumberFormat="1" applyFont="1" applyFill="1" applyBorder="1" applyAlignment="1">
      <alignment horizontal="right"/>
    </xf>
    <xf numFmtId="3" fontId="13" fillId="0" borderId="153" xfId="0" applyNumberFormat="1" applyFont="1" applyFill="1" applyBorder="1" applyAlignment="1">
      <alignment horizontal="right" vertical="center"/>
    </xf>
    <xf numFmtId="3" fontId="11" fillId="0" borderId="157" xfId="0" applyNumberFormat="1" applyFont="1" applyFill="1" applyBorder="1" applyAlignment="1">
      <alignment horizontal="right" vertical="center" textRotation="180"/>
    </xf>
    <xf numFmtId="3" fontId="11" fillId="0" borderId="19" xfId="0" applyNumberFormat="1" applyFont="1" applyFill="1" applyBorder="1" applyAlignment="1">
      <alignment horizontal="right" vertical="center" textRotation="180"/>
    </xf>
    <xf numFmtId="3" fontId="13" fillId="0" borderId="238" xfId="0" applyNumberFormat="1" applyFont="1" applyFill="1" applyBorder="1" applyAlignment="1">
      <alignment horizontal="right" vertical="center"/>
    </xf>
    <xf numFmtId="3" fontId="13" fillId="0" borderId="239" xfId="0" applyNumberFormat="1" applyFont="1" applyFill="1" applyBorder="1" applyAlignment="1">
      <alignment horizontal="right" vertical="center"/>
    </xf>
    <xf numFmtId="3" fontId="13" fillId="0" borderId="240" xfId="0" applyNumberFormat="1" applyFont="1" applyFill="1" applyBorder="1" applyAlignment="1">
      <alignment horizontal="right" vertical="center"/>
    </xf>
    <xf numFmtId="3" fontId="13" fillId="0" borderId="126" xfId="0" applyNumberFormat="1" applyFont="1" applyFill="1" applyBorder="1" applyAlignment="1">
      <alignment horizontal="right" vertical="center"/>
    </xf>
    <xf numFmtId="3" fontId="11" fillId="0" borderId="157" xfId="0" applyNumberFormat="1" applyFont="1" applyFill="1" applyBorder="1" applyAlignment="1">
      <alignment horizontal="right" vertical="center"/>
    </xf>
    <xf numFmtId="3" fontId="11" fillId="0" borderId="19" xfId="0" applyNumberFormat="1" applyFont="1" applyFill="1" applyBorder="1" applyAlignment="1">
      <alignment horizontal="right" vertical="center"/>
    </xf>
    <xf numFmtId="3" fontId="11" fillId="0" borderId="238" xfId="0" applyNumberFormat="1" applyFont="1" applyFill="1" applyBorder="1" applyAlignment="1">
      <alignment horizontal="right" vertical="center"/>
    </xf>
    <xf numFmtId="3" fontId="11" fillId="0" borderId="239" xfId="0" applyNumberFormat="1" applyFont="1" applyFill="1" applyBorder="1" applyAlignment="1">
      <alignment horizontal="right" vertical="center"/>
    </xf>
    <xf numFmtId="3" fontId="11" fillId="0" borderId="241" xfId="0" applyNumberFormat="1" applyFont="1" applyFill="1" applyBorder="1" applyAlignment="1">
      <alignment horizontal="right" vertical="center"/>
    </xf>
    <xf numFmtId="3" fontId="11" fillId="0" borderId="62" xfId="0" applyNumberFormat="1" applyFont="1" applyFill="1" applyBorder="1" applyAlignment="1">
      <alignment horizontal="right" vertical="center"/>
    </xf>
    <xf numFmtId="165" fontId="11" fillId="0" borderId="157" xfId="34" applyNumberFormat="1" applyFont="1" applyFill="1" applyBorder="1" applyAlignment="1">
      <alignment horizontal="right"/>
    </xf>
    <xf numFmtId="165" fontId="11" fillId="0" borderId="19" xfId="34" applyNumberFormat="1" applyFont="1" applyFill="1" applyBorder="1" applyAlignment="1">
      <alignment horizontal="right"/>
    </xf>
    <xf numFmtId="165" fontId="11" fillId="0" borderId="141" xfId="34" applyNumberFormat="1" applyFont="1" applyFill="1" applyBorder="1" applyAlignment="1">
      <alignment horizontal="right"/>
    </xf>
    <xf numFmtId="165" fontId="11" fillId="0" borderId="20" xfId="34" applyNumberFormat="1" applyFont="1" applyFill="1" applyBorder="1" applyAlignment="1">
      <alignment horizontal="right"/>
    </xf>
    <xf numFmtId="3" fontId="14" fillId="0" borderId="186" xfId="21" applyNumberFormat="1" applyFont="1" applyFill="1" applyBorder="1" applyAlignment="1">
      <alignment horizontal="right" wrapText="1"/>
    </xf>
    <xf numFmtId="0" fontId="18" fillId="0" borderId="0" xfId="0" applyFont="1" applyFill="1" applyAlignment="1">
      <alignment horizontal="center" vertical="top"/>
    </xf>
    <xf numFmtId="0" fontId="11" fillId="0" borderId="0" xfId="0" applyFont="1" applyFill="1" applyAlignment="1">
      <alignment wrapText="1"/>
    </xf>
    <xf numFmtId="0" fontId="13" fillId="0" borderId="12" xfId="0" applyFont="1" applyFill="1" applyBorder="1" applyAlignment="1">
      <alignment vertical="center"/>
    </xf>
    <xf numFmtId="0" fontId="13" fillId="0" borderId="13" xfId="0" applyFont="1" applyFill="1" applyBorder="1" applyAlignment="1">
      <alignment horizontal="center" vertical="top"/>
    </xf>
    <xf numFmtId="0" fontId="13" fillId="0" borderId="13" xfId="0" applyFont="1" applyFill="1" applyBorder="1" applyAlignment="1">
      <alignment horizontal="center" vertical="center" wrapText="1"/>
    </xf>
    <xf numFmtId="0" fontId="13" fillId="0" borderId="0" xfId="0" applyFont="1" applyFill="1" applyAlignment="1">
      <alignment vertical="top"/>
    </xf>
    <xf numFmtId="0" fontId="13" fillId="0" borderId="0" xfId="0" applyFont="1" applyFill="1" applyAlignment="1">
      <alignment wrapText="1"/>
    </xf>
    <xf numFmtId="0" fontId="26" fillId="0" borderId="0" xfId="0" applyFont="1" applyFill="1" applyAlignment="1"/>
    <xf numFmtId="0" fontId="25" fillId="0" borderId="0" xfId="0" applyFont="1" applyFill="1" applyAlignment="1">
      <alignment wrapText="1"/>
    </xf>
    <xf numFmtId="3" fontId="14" fillId="0" borderId="0" xfId="0" applyNumberFormat="1" applyFont="1" applyFill="1" applyAlignment="1"/>
    <xf numFmtId="0" fontId="11" fillId="0" borderId="0" xfId="0" applyFont="1" applyFill="1" applyAlignment="1">
      <alignment horizontal="left" wrapText="1" indent="2"/>
    </xf>
    <xf numFmtId="3" fontId="11" fillId="0" borderId="0" xfId="0" applyNumberFormat="1" applyFont="1" applyFill="1" applyBorder="1" applyAlignment="1">
      <alignment vertical="top"/>
    </xf>
    <xf numFmtId="3" fontId="11" fillId="0" borderId="10" xfId="0" applyNumberFormat="1" applyFont="1" applyFill="1" applyBorder="1" applyAlignment="1">
      <alignment vertical="top"/>
    </xf>
    <xf numFmtId="3" fontId="26" fillId="0" borderId="0" xfId="0" applyNumberFormat="1" applyFont="1" applyFill="1" applyBorder="1"/>
    <xf numFmtId="0" fontId="26" fillId="0" borderId="0" xfId="0" applyFont="1" applyFill="1" applyAlignment="1">
      <alignment wrapText="1"/>
    </xf>
    <xf numFmtId="3" fontId="11" fillId="0" borderId="0" xfId="0" applyNumberFormat="1" applyFont="1" applyFill="1" applyAlignment="1"/>
    <xf numFmtId="3" fontId="11" fillId="0" borderId="0" xfId="0" applyNumberFormat="1" applyFont="1" applyFill="1" applyAlignment="1">
      <alignment vertical="top"/>
    </xf>
    <xf numFmtId="0" fontId="11" fillId="0" borderId="0" xfId="0" applyFont="1" applyFill="1" applyAlignment="1">
      <alignment horizontal="left" indent="2" shrinkToFit="1"/>
    </xf>
    <xf numFmtId="3" fontId="26" fillId="0" borderId="0" xfId="0" applyNumberFormat="1" applyFont="1" applyFill="1" applyAlignment="1">
      <alignment vertical="top"/>
    </xf>
    <xf numFmtId="3" fontId="14" fillId="0" borderId="0" xfId="0" applyNumberFormat="1" applyFont="1" applyFill="1" applyAlignment="1">
      <alignment vertical="top"/>
    </xf>
    <xf numFmtId="3" fontId="11" fillId="0" borderId="0" xfId="28" applyNumberFormat="1" applyFont="1" applyFill="1" applyBorder="1" applyAlignment="1">
      <alignment wrapText="1"/>
    </xf>
    <xf numFmtId="3" fontId="26" fillId="0" borderId="0" xfId="28" applyNumberFormat="1" applyFont="1" applyFill="1" applyBorder="1" applyAlignment="1">
      <alignment wrapText="1"/>
    </xf>
    <xf numFmtId="3" fontId="14" fillId="0" borderId="0" xfId="28" applyNumberFormat="1" applyFont="1" applyFill="1" applyBorder="1" applyAlignment="1">
      <alignment wrapText="1"/>
    </xf>
    <xf numFmtId="0" fontId="26" fillId="0" borderId="0" xfId="0" applyFont="1" applyFill="1" applyAlignment="1">
      <alignment horizontal="right" wrapText="1"/>
    </xf>
    <xf numFmtId="0" fontId="14" fillId="0" borderId="0" xfId="0" applyFont="1" applyFill="1" applyAlignment="1">
      <alignment vertical="top"/>
    </xf>
    <xf numFmtId="0" fontId="13" fillId="0" borderId="13" xfId="0" applyFont="1" applyFill="1" applyBorder="1" applyAlignment="1">
      <alignment vertical="top"/>
    </xf>
    <xf numFmtId="0" fontId="13" fillId="0" borderId="13" xfId="0" applyFont="1" applyFill="1" applyBorder="1" applyAlignment="1">
      <alignment vertical="center" wrapText="1"/>
    </xf>
    <xf numFmtId="3" fontId="13" fillId="0" borderId="32" xfId="0" applyNumberFormat="1" applyFont="1" applyFill="1" applyBorder="1" applyAlignment="1">
      <alignment vertical="center"/>
    </xf>
    <xf numFmtId="0" fontId="35" fillId="0" borderId="0" xfId="0" applyFont="1" applyFill="1" applyAlignment="1">
      <alignment wrapText="1"/>
    </xf>
    <xf numFmtId="0" fontId="26" fillId="0" borderId="0" xfId="0" applyFont="1" applyFill="1" applyAlignment="1">
      <alignment horizontal="right"/>
    </xf>
    <xf numFmtId="3" fontId="13" fillId="0" borderId="0" xfId="0" applyNumberFormat="1" applyFont="1" applyFill="1"/>
    <xf numFmtId="0" fontId="14" fillId="0" borderId="34" xfId="0" applyFont="1" applyFill="1" applyBorder="1" applyAlignment="1">
      <alignment vertical="center"/>
    </xf>
    <xf numFmtId="0" fontId="26" fillId="0" borderId="34" xfId="0" applyFont="1" applyFill="1" applyBorder="1" applyAlignment="1">
      <alignment horizontal="right" vertical="center"/>
    </xf>
    <xf numFmtId="3" fontId="26" fillId="0" borderId="34" xfId="0" applyNumberFormat="1" applyFont="1" applyFill="1" applyBorder="1" applyAlignment="1">
      <alignment vertical="center"/>
    </xf>
    <xf numFmtId="0" fontId="14" fillId="0" borderId="0" xfId="0" applyFont="1" applyFill="1" applyAlignment="1">
      <alignment vertical="center"/>
    </xf>
    <xf numFmtId="0" fontId="14" fillId="0" borderId="0" xfId="0" applyFont="1" applyFill="1" applyAlignment="1"/>
    <xf numFmtId="0" fontId="59" fillId="0" borderId="0" xfId="0" applyFont="1" applyFill="1" applyAlignment="1">
      <alignment wrapText="1"/>
    </xf>
    <xf numFmtId="3" fontId="11" fillId="0" borderId="0" xfId="33" applyNumberFormat="1" applyFont="1" applyFill="1" applyBorder="1"/>
    <xf numFmtId="0" fontId="26" fillId="0" borderId="0" xfId="0" applyFont="1" applyFill="1"/>
    <xf numFmtId="0" fontId="14" fillId="0" borderId="0" xfId="0" applyFont="1" applyFill="1" applyBorder="1" applyAlignment="1"/>
    <xf numFmtId="3" fontId="26" fillId="0" borderId="0" xfId="0" applyNumberFormat="1" applyFont="1" applyFill="1" applyAlignment="1">
      <alignment vertical="center"/>
    </xf>
    <xf numFmtId="0" fontId="14" fillId="0" borderId="0" xfId="0" applyFont="1" applyFill="1" applyBorder="1" applyAlignment="1">
      <alignment vertical="top"/>
    </xf>
    <xf numFmtId="0" fontId="59" fillId="0" borderId="0" xfId="0" applyFont="1" applyFill="1" applyBorder="1" applyAlignment="1">
      <alignment wrapText="1"/>
    </xf>
    <xf numFmtId="0" fontId="35" fillId="0" borderId="0" xfId="0" applyFont="1" applyFill="1"/>
    <xf numFmtId="0" fontId="26" fillId="0" borderId="34" xfId="0" applyFont="1" applyFill="1" applyBorder="1" applyAlignment="1">
      <alignment vertical="center"/>
    </xf>
    <xf numFmtId="0" fontId="26" fillId="0" borderId="34" xfId="0" applyFont="1" applyFill="1" applyBorder="1" applyAlignment="1">
      <alignment horizontal="right" vertical="center" wrapText="1"/>
    </xf>
    <xf numFmtId="0" fontId="14" fillId="0" borderId="0" xfId="0" applyFont="1" applyFill="1" applyBorder="1" applyAlignment="1">
      <alignment vertical="center"/>
    </xf>
    <xf numFmtId="3" fontId="14" fillId="0" borderId="0" xfId="0" applyNumberFormat="1" applyFont="1" applyFill="1"/>
    <xf numFmtId="0" fontId="13" fillId="0" borderId="0" xfId="0" applyFont="1" applyFill="1" applyBorder="1" applyAlignment="1">
      <alignment vertical="center" wrapText="1"/>
    </xf>
    <xf numFmtId="0" fontId="13" fillId="0" borderId="0" xfId="0" applyFont="1" applyFill="1" applyBorder="1"/>
    <xf numFmtId="0" fontId="13" fillId="0" borderId="0" xfId="0" applyFont="1" applyFill="1" applyBorder="1" applyAlignment="1">
      <alignment vertical="top"/>
    </xf>
    <xf numFmtId="0" fontId="13" fillId="0" borderId="0" xfId="0" applyFont="1" applyFill="1" applyBorder="1" applyAlignment="1">
      <alignment wrapText="1"/>
    </xf>
    <xf numFmtId="0" fontId="11" fillId="0" borderId="0" xfId="0" applyFont="1" applyFill="1" applyBorder="1" applyAlignment="1">
      <alignment horizontal="center" wrapText="1"/>
    </xf>
    <xf numFmtId="3" fontId="11" fillId="0" borderId="0" xfId="0" applyNumberFormat="1" applyFont="1" applyFill="1" applyBorder="1" applyAlignment="1">
      <alignment horizontal="right"/>
    </xf>
    <xf numFmtId="3" fontId="11" fillId="0" borderId="0" xfId="0" applyNumberFormat="1" applyFont="1" applyFill="1" applyBorder="1" applyAlignment="1">
      <alignment horizontal="center"/>
    </xf>
    <xf numFmtId="0" fontId="36" fillId="0" borderId="0" xfId="0" applyFont="1" applyFill="1" applyBorder="1" applyAlignment="1">
      <alignment wrapText="1"/>
    </xf>
    <xf numFmtId="0" fontId="14" fillId="0" borderId="0" xfId="0" applyFont="1" applyFill="1" applyBorder="1" applyAlignment="1">
      <alignment wrapText="1"/>
    </xf>
    <xf numFmtId="3" fontId="14" fillId="0" borderId="0" xfId="0" applyNumberFormat="1" applyFont="1" applyFill="1" applyBorder="1"/>
    <xf numFmtId="3" fontId="36" fillId="0" borderId="0" xfId="0" applyNumberFormat="1" applyFont="1" applyFill="1" applyBorder="1"/>
    <xf numFmtId="0" fontId="36" fillId="0" borderId="0" xfId="0" applyFont="1" applyFill="1" applyAlignment="1">
      <alignment wrapText="1"/>
    </xf>
    <xf numFmtId="3" fontId="36" fillId="0" borderId="0" xfId="0" applyNumberFormat="1" applyFont="1" applyFill="1"/>
    <xf numFmtId="0" fontId="14" fillId="0" borderId="0" xfId="0" applyFont="1" applyFill="1" applyAlignment="1">
      <alignment wrapText="1"/>
    </xf>
    <xf numFmtId="3" fontId="11" fillId="0" borderId="0" xfId="0" applyNumberFormat="1" applyFont="1" applyFill="1" applyBorder="1" applyAlignment="1"/>
    <xf numFmtId="0" fontId="59" fillId="0" borderId="0" xfId="0" applyFont="1" applyFill="1" applyAlignment="1"/>
    <xf numFmtId="3" fontId="22" fillId="0" borderId="36" xfId="0" applyNumberFormat="1" applyFont="1" applyFill="1" applyBorder="1" applyAlignment="1">
      <alignment horizontal="center" vertical="center"/>
    </xf>
    <xf numFmtId="3" fontId="26" fillId="0" borderId="0" xfId="0" applyNumberFormat="1" applyFont="1" applyFill="1" applyBorder="1" applyAlignment="1"/>
    <xf numFmtId="3" fontId="19" fillId="0" borderId="24" xfId="28" applyNumberFormat="1" applyFont="1" applyFill="1" applyBorder="1" applyAlignment="1" applyProtection="1">
      <alignment horizontal="center"/>
      <protection locked="0"/>
    </xf>
    <xf numFmtId="0" fontId="11" fillId="0" borderId="0" xfId="0" applyFont="1" applyFill="1" applyAlignment="1">
      <alignment horizontal="left" wrapText="1" indent="2" shrinkToFit="1"/>
    </xf>
    <xf numFmtId="0" fontId="19" fillId="0" borderId="24" xfId="32" applyFont="1" applyFill="1" applyBorder="1" applyAlignment="1" applyProtection="1">
      <alignment horizontal="left"/>
      <protection locked="0"/>
    </xf>
    <xf numFmtId="3" fontId="19" fillId="0" borderId="24" xfId="32" applyNumberFormat="1" applyFont="1" applyFill="1" applyBorder="1" applyAlignment="1" applyProtection="1">
      <alignment horizontal="left"/>
      <protection locked="0"/>
    </xf>
    <xf numFmtId="3" fontId="11" fillId="0" borderId="13" xfId="17" applyNumberFormat="1" applyFont="1" applyFill="1" applyBorder="1" applyAlignment="1">
      <alignment horizontal="center" vertical="center" wrapText="1"/>
    </xf>
    <xf numFmtId="3" fontId="22" fillId="0" borderId="128" xfId="18" applyNumberFormat="1" applyFont="1" applyFill="1" applyBorder="1" applyAlignment="1">
      <alignment horizontal="right"/>
    </xf>
    <xf numFmtId="3" fontId="21" fillId="0" borderId="45" xfId="0" applyNumberFormat="1" applyFont="1" applyFill="1" applyBorder="1" applyAlignment="1">
      <alignment horizontal="right" vertical="center" wrapText="1"/>
    </xf>
    <xf numFmtId="0" fontId="59" fillId="0" borderId="0" xfId="0" applyFont="1" applyFill="1" applyBorder="1" applyAlignment="1"/>
    <xf numFmtId="3" fontId="19" fillId="0" borderId="58" xfId="18" applyNumberFormat="1" applyFont="1" applyFill="1" applyBorder="1" applyAlignment="1">
      <alignment horizontal="right"/>
    </xf>
    <xf numFmtId="3" fontId="19" fillId="0" borderId="45" xfId="18" applyNumberFormat="1" applyFont="1" applyFill="1" applyBorder="1" applyAlignment="1">
      <alignment horizontal="right"/>
    </xf>
    <xf numFmtId="3" fontId="22" fillId="0" borderId="46" xfId="0" applyNumberFormat="1" applyFont="1" applyFill="1" applyBorder="1" applyAlignment="1">
      <alignment horizontal="right" vertical="center" wrapText="1"/>
    </xf>
    <xf numFmtId="3" fontId="21" fillId="0" borderId="46" xfId="0" applyNumberFormat="1" applyFont="1" applyFill="1" applyBorder="1" applyAlignment="1">
      <alignment horizontal="right" vertical="center" wrapText="1"/>
    </xf>
    <xf numFmtId="3" fontId="19" fillId="0" borderId="119" xfId="18" applyNumberFormat="1" applyFont="1" applyFill="1" applyBorder="1" applyAlignment="1">
      <alignment horizontal="center"/>
    </xf>
    <xf numFmtId="3" fontId="22" fillId="0" borderId="116" xfId="0" applyNumberFormat="1" applyFont="1" applyFill="1" applyBorder="1" applyAlignment="1">
      <alignment vertical="center"/>
    </xf>
    <xf numFmtId="3" fontId="22" fillId="0" borderId="236" xfId="0" applyNumberFormat="1" applyFont="1" applyFill="1" applyBorder="1" applyAlignment="1">
      <alignment vertical="center"/>
    </xf>
    <xf numFmtId="3" fontId="21" fillId="0" borderId="79" xfId="0" applyNumberFormat="1" applyFont="1" applyFill="1" applyBorder="1" applyAlignment="1">
      <alignment vertical="center"/>
    </xf>
    <xf numFmtId="3" fontId="11" fillId="0" borderId="52" xfId="0" applyNumberFormat="1" applyFont="1" applyFill="1" applyBorder="1" applyAlignment="1">
      <alignment horizontal="right" vertical="center" wrapText="1"/>
    </xf>
    <xf numFmtId="3" fontId="11" fillId="0" borderId="54" xfId="18" applyNumberFormat="1" applyFont="1" applyFill="1" applyBorder="1" applyAlignment="1">
      <alignment vertical="center" shrinkToFit="1"/>
    </xf>
    <xf numFmtId="3" fontId="11" fillId="0" borderId="0" xfId="22" applyNumberFormat="1" applyFont="1" applyBorder="1" applyAlignment="1">
      <alignment horizontal="right" vertical="center" wrapText="1"/>
    </xf>
    <xf numFmtId="3" fontId="19" fillId="0" borderId="4" xfId="18" applyNumberFormat="1" applyFont="1" applyFill="1" applyBorder="1" applyAlignment="1" applyProtection="1">
      <alignment horizontal="center" vertical="center" textRotation="90"/>
      <protection locked="0"/>
    </xf>
    <xf numFmtId="0" fontId="19" fillId="0" borderId="43" xfId="31" applyFont="1" applyFill="1" applyBorder="1" applyAlignment="1" applyProtection="1">
      <alignment horizontal="center" vertical="center" textRotation="90" wrapText="1"/>
      <protection locked="0"/>
    </xf>
    <xf numFmtId="3" fontId="19" fillId="0" borderId="43" xfId="31" applyNumberFormat="1" applyFont="1" applyFill="1" applyBorder="1" applyAlignment="1" applyProtection="1">
      <alignment horizontal="center" vertical="center" wrapText="1"/>
      <protection locked="0"/>
    </xf>
    <xf numFmtId="3" fontId="22" fillId="0" borderId="44" xfId="31" applyNumberFormat="1" applyFont="1" applyFill="1" applyBorder="1" applyAlignment="1" applyProtection="1">
      <alignment horizontal="center" vertical="center" wrapText="1"/>
      <protection locked="0"/>
    </xf>
    <xf numFmtId="3" fontId="22" fillId="0" borderId="127" xfId="31" applyNumberFormat="1" applyFont="1" applyFill="1" applyBorder="1" applyAlignment="1" applyProtection="1">
      <alignment horizontal="center" vertical="center" wrapText="1"/>
      <protection locked="0"/>
    </xf>
    <xf numFmtId="3" fontId="22" fillId="0" borderId="43" xfId="32" applyNumberFormat="1" applyFont="1" applyFill="1" applyBorder="1" applyAlignment="1" applyProtection="1">
      <alignment vertical="center"/>
      <protection locked="0"/>
    </xf>
    <xf numFmtId="3" fontId="22" fillId="0" borderId="43" xfId="31" applyNumberFormat="1" applyFont="1" applyFill="1" applyBorder="1" applyAlignment="1" applyProtection="1">
      <alignment vertical="center"/>
      <protection locked="0"/>
    </xf>
    <xf numFmtId="3" fontId="22" fillId="0" borderId="17" xfId="32" applyNumberFormat="1" applyFont="1" applyFill="1" applyBorder="1" applyAlignment="1" applyProtection="1">
      <alignment vertical="center"/>
      <protection locked="0"/>
    </xf>
    <xf numFmtId="3" fontId="22" fillId="0" borderId="17" xfId="31" applyNumberFormat="1" applyFont="1" applyFill="1" applyBorder="1" applyAlignment="1" applyProtection="1">
      <alignment vertical="center"/>
      <protection locked="0"/>
    </xf>
    <xf numFmtId="3" fontId="22" fillId="0" borderId="127" xfId="31" applyNumberFormat="1" applyFont="1" applyFill="1" applyBorder="1" applyAlignment="1" applyProtection="1">
      <alignment horizontal="right" vertical="center"/>
      <protection locked="0"/>
    </xf>
    <xf numFmtId="3" fontId="22" fillId="0" borderId="114" xfId="31" applyNumberFormat="1" applyFont="1" applyFill="1" applyBorder="1" applyAlignment="1" applyProtection="1">
      <alignment horizontal="right" vertical="center"/>
      <protection locked="0"/>
    </xf>
    <xf numFmtId="3" fontId="22" fillId="0" borderId="45" xfId="32" applyNumberFormat="1" applyFont="1" applyFill="1" applyBorder="1" applyAlignment="1" applyProtection="1">
      <alignment vertical="center"/>
      <protection locked="0"/>
    </xf>
    <xf numFmtId="3" fontId="19" fillId="0" borderId="45" xfId="31" applyNumberFormat="1" applyFont="1" applyFill="1" applyBorder="1" applyAlignment="1" applyProtection="1">
      <alignment vertical="center"/>
      <protection locked="0"/>
    </xf>
    <xf numFmtId="3" fontId="22" fillId="0" borderId="128" xfId="31" applyNumberFormat="1" applyFont="1" applyFill="1" applyBorder="1" applyAlignment="1" applyProtection="1">
      <alignment horizontal="right" vertical="center"/>
      <protection locked="0"/>
    </xf>
    <xf numFmtId="3" fontId="19" fillId="0" borderId="53" xfId="31" applyNumberFormat="1" applyFont="1" applyFill="1" applyBorder="1" applyAlignment="1" applyProtection="1">
      <alignment vertical="center"/>
      <protection locked="0"/>
    </xf>
    <xf numFmtId="3" fontId="22" fillId="0" borderId="130" xfId="31" applyNumberFormat="1" applyFont="1" applyFill="1" applyBorder="1" applyAlignment="1" applyProtection="1">
      <alignment horizontal="right" vertical="center"/>
      <protection locked="0"/>
    </xf>
    <xf numFmtId="0" fontId="22" fillId="0" borderId="42" xfId="32" applyFont="1" applyFill="1" applyBorder="1" applyAlignment="1" applyProtection="1">
      <alignment horizontal="center" vertical="center"/>
      <protection locked="0"/>
    </xf>
    <xf numFmtId="3" fontId="22" fillId="0" borderId="44" xfId="31" applyNumberFormat="1" applyFont="1" applyFill="1" applyBorder="1" applyAlignment="1" applyProtection="1">
      <alignment horizontal="right" vertical="center"/>
      <protection locked="0"/>
    </xf>
    <xf numFmtId="3" fontId="22" fillId="0" borderId="18" xfId="31" applyNumberFormat="1" applyFont="1" applyFill="1" applyBorder="1" applyAlignment="1" applyProtection="1">
      <alignment horizontal="right" vertical="center"/>
      <protection locked="0"/>
    </xf>
    <xf numFmtId="3" fontId="22" fillId="0" borderId="46" xfId="31" applyNumberFormat="1" applyFont="1" applyFill="1" applyBorder="1" applyAlignment="1" applyProtection="1">
      <alignment horizontal="right" vertical="center"/>
      <protection locked="0"/>
    </xf>
    <xf numFmtId="3" fontId="22" fillId="0" borderId="29" xfId="31" applyNumberFormat="1" applyFont="1" applyFill="1" applyBorder="1" applyAlignment="1" applyProtection="1">
      <alignment horizontal="right" vertical="center"/>
      <protection locked="0"/>
    </xf>
    <xf numFmtId="3" fontId="19" fillId="0" borderId="26" xfId="31" applyNumberFormat="1" applyFont="1" applyFill="1" applyBorder="1" applyAlignment="1" applyProtection="1">
      <alignment horizontal="right"/>
      <protection locked="0"/>
    </xf>
    <xf numFmtId="3" fontId="19" fillId="0" borderId="26" xfId="31" applyNumberFormat="1" applyFont="1" applyFill="1" applyBorder="1" applyAlignment="1" applyProtection="1">
      <alignment horizontal="right" vertical="center"/>
      <protection locked="0"/>
    </xf>
    <xf numFmtId="3" fontId="19" fillId="0" borderId="26" xfId="31" applyNumberFormat="1" applyFont="1" applyFill="1" applyBorder="1" applyAlignment="1" applyProtection="1">
      <alignment horizontal="left"/>
      <protection locked="0"/>
    </xf>
    <xf numFmtId="3" fontId="19" fillId="0" borderId="26" xfId="31" applyNumberFormat="1" applyFont="1" applyFill="1" applyBorder="1" applyAlignment="1" applyProtection="1">
      <alignment vertical="center"/>
      <protection locked="0"/>
    </xf>
    <xf numFmtId="3" fontId="22" fillId="0" borderId="203" xfId="31" applyNumberFormat="1" applyFont="1" applyFill="1" applyBorder="1" applyAlignment="1" applyProtection="1">
      <alignment horizontal="right" vertical="center"/>
      <protection locked="0"/>
    </xf>
    <xf numFmtId="3" fontId="22" fillId="0" borderId="74" xfId="31" applyNumberFormat="1" applyFont="1" applyFill="1" applyBorder="1" applyAlignment="1" applyProtection="1">
      <alignment horizontal="right" vertical="center"/>
      <protection locked="0"/>
    </xf>
    <xf numFmtId="3" fontId="19" fillId="3" borderId="0" xfId="0" applyNumberFormat="1" applyFont="1" applyFill="1" applyAlignment="1">
      <alignment horizontal="right"/>
    </xf>
    <xf numFmtId="3" fontId="21" fillId="0" borderId="23" xfId="0" applyNumberFormat="1" applyFont="1" applyFill="1" applyBorder="1" applyAlignment="1">
      <alignment vertical="top"/>
    </xf>
    <xf numFmtId="3" fontId="41" fillId="0" borderId="23" xfId="0" applyNumberFormat="1" applyFont="1" applyFill="1" applyBorder="1" applyAlignment="1">
      <alignment vertical="center"/>
    </xf>
    <xf numFmtId="3" fontId="25" fillId="0" borderId="23" xfId="0" applyNumberFormat="1" applyFont="1" applyFill="1" applyBorder="1" applyAlignment="1">
      <alignment vertical="center"/>
    </xf>
    <xf numFmtId="3" fontId="19" fillId="0" borderId="23" xfId="0" applyNumberFormat="1" applyFont="1" applyFill="1" applyBorder="1" applyAlignment="1">
      <alignment vertical="top"/>
    </xf>
    <xf numFmtId="3" fontId="25" fillId="0" borderId="190" xfId="0" applyNumberFormat="1" applyFont="1" applyFill="1" applyBorder="1" applyAlignment="1">
      <alignment vertical="center"/>
    </xf>
    <xf numFmtId="3" fontId="22" fillId="0" borderId="80" xfId="0" applyNumberFormat="1" applyFont="1" applyFill="1" applyBorder="1" applyAlignment="1">
      <alignment vertical="center"/>
    </xf>
    <xf numFmtId="3" fontId="22" fillId="0" borderId="59" xfId="0" applyNumberFormat="1" applyFont="1" applyFill="1" applyBorder="1" applyAlignment="1">
      <alignment vertical="center"/>
    </xf>
    <xf numFmtId="3" fontId="22" fillId="0" borderId="26" xfId="0" applyNumberFormat="1" applyFont="1" applyFill="1" applyBorder="1" applyAlignment="1">
      <alignment horizontal="right"/>
    </xf>
    <xf numFmtId="3" fontId="21" fillId="0" borderId="23" xfId="0" applyNumberFormat="1" applyFont="1" applyFill="1" applyBorder="1" applyAlignment="1"/>
    <xf numFmtId="3" fontId="19" fillId="0" borderId="23" xfId="0" applyNumberFormat="1" applyFont="1" applyFill="1" applyBorder="1" applyAlignment="1">
      <alignment vertical="center"/>
    </xf>
    <xf numFmtId="3" fontId="19" fillId="0" borderId="114" xfId="0" applyNumberFormat="1" applyFont="1" applyFill="1" applyBorder="1" applyAlignment="1">
      <alignment horizontal="center" vertical="center"/>
    </xf>
    <xf numFmtId="3" fontId="25" fillId="0" borderId="80" xfId="0" applyNumberFormat="1" applyFont="1" applyFill="1" applyBorder="1" applyAlignment="1">
      <alignment vertical="center"/>
    </xf>
    <xf numFmtId="3" fontId="22" fillId="0" borderId="80" xfId="0" applyNumberFormat="1" applyFont="1" applyFill="1" applyBorder="1" applyAlignment="1">
      <alignment horizontal="right" vertical="center"/>
    </xf>
    <xf numFmtId="3" fontId="19" fillId="0" borderId="23" xfId="0" applyNumberFormat="1" applyFont="1" applyFill="1" applyBorder="1" applyAlignment="1">
      <alignment horizontal="right" vertical="center"/>
    </xf>
    <xf numFmtId="3" fontId="41" fillId="0" borderId="186" xfId="0" applyNumberFormat="1" applyFont="1" applyFill="1" applyBorder="1" applyAlignment="1">
      <alignment horizontal="right" vertical="center"/>
    </xf>
    <xf numFmtId="3" fontId="22" fillId="0" borderId="58" xfId="0" applyNumberFormat="1" applyFont="1" applyFill="1" applyBorder="1" applyAlignment="1">
      <alignment vertical="center"/>
    </xf>
    <xf numFmtId="3" fontId="41" fillId="0" borderId="23" xfId="0" applyNumberFormat="1" applyFont="1" applyFill="1" applyBorder="1" applyAlignment="1">
      <alignment horizontal="right" vertical="center"/>
    </xf>
    <xf numFmtId="3" fontId="19" fillId="0" borderId="23" xfId="0" applyNumberFormat="1" applyFont="1" applyFill="1" applyBorder="1" applyAlignment="1">
      <alignment horizontal="right" vertical="top"/>
    </xf>
    <xf numFmtId="3" fontId="41" fillId="0" borderId="58" xfId="0" applyNumberFormat="1" applyFont="1" applyFill="1" applyBorder="1" applyAlignment="1">
      <alignment horizontal="right" vertical="center"/>
    </xf>
    <xf numFmtId="3" fontId="21" fillId="0" borderId="0" xfId="0" applyNumberFormat="1" applyFont="1" applyFill="1"/>
    <xf numFmtId="3" fontId="14" fillId="0" borderId="8" xfId="0" applyNumberFormat="1" applyFont="1" applyFill="1" applyBorder="1"/>
    <xf numFmtId="3" fontId="26" fillId="0" borderId="0" xfId="0" applyNumberFormat="1" applyFont="1" applyFill="1" applyBorder="1" applyAlignment="1">
      <alignment vertical="center"/>
    </xf>
    <xf numFmtId="3" fontId="14" fillId="0" borderId="10" xfId="0" applyNumberFormat="1" applyFont="1" applyFill="1" applyBorder="1"/>
    <xf numFmtId="0" fontId="26" fillId="0" borderId="0" xfId="0" applyFont="1" applyFill="1" applyBorder="1" applyAlignment="1">
      <alignment horizontal="right" vertical="center"/>
    </xf>
    <xf numFmtId="3" fontId="22" fillId="0" borderId="17" xfId="21" applyNumberFormat="1" applyFont="1" applyFill="1" applyBorder="1" applyAlignment="1">
      <alignment horizontal="right" vertical="center" wrapText="1"/>
    </xf>
    <xf numFmtId="0" fontId="22" fillId="0" borderId="114" xfId="31" applyFont="1" applyFill="1" applyBorder="1" applyAlignment="1">
      <alignment horizontal="center" vertical="center" wrapText="1"/>
    </xf>
    <xf numFmtId="3" fontId="22" fillId="0" borderId="234" xfId="31" applyNumberFormat="1" applyFont="1" applyFill="1" applyBorder="1" applyAlignment="1">
      <alignment horizontal="right" vertical="center"/>
    </xf>
    <xf numFmtId="3" fontId="11" fillId="0" borderId="16" xfId="22" applyNumberFormat="1" applyFont="1" applyFill="1" applyBorder="1" applyAlignment="1">
      <alignment horizontal="center" vertical="center" wrapText="1"/>
    </xf>
    <xf numFmtId="3" fontId="26" fillId="0" borderId="186" xfId="21" applyNumberFormat="1" applyFont="1" applyFill="1" applyBorder="1" applyAlignment="1">
      <alignment horizontal="right" wrapText="1"/>
    </xf>
    <xf numFmtId="0" fontId="58" fillId="0" borderId="0" xfId="0" applyFont="1" applyFill="1" applyAlignment="1">
      <alignment shrinkToFit="1"/>
    </xf>
    <xf numFmtId="3" fontId="19" fillId="0" borderId="0" xfId="18" applyNumberFormat="1" applyFont="1" applyFill="1" applyAlignment="1"/>
    <xf numFmtId="3" fontId="19" fillId="0" borderId="178" xfId="18" applyNumberFormat="1" applyFont="1" applyFill="1" applyBorder="1" applyAlignment="1">
      <alignment horizontal="center" vertical="center" wrapText="1"/>
    </xf>
    <xf numFmtId="3" fontId="19" fillId="0" borderId="26" xfId="18" applyNumberFormat="1" applyFont="1" applyFill="1" applyBorder="1" applyAlignment="1">
      <alignment horizontal="right"/>
    </xf>
    <xf numFmtId="3" fontId="19" fillId="0" borderId="23" xfId="18" applyNumberFormat="1" applyFont="1" applyFill="1" applyBorder="1" applyAlignment="1">
      <alignment horizontal="right"/>
    </xf>
    <xf numFmtId="3" fontId="11" fillId="0" borderId="186" xfId="18" applyNumberFormat="1" applyFont="1" applyFill="1" applyBorder="1" applyAlignment="1">
      <alignment horizontal="center" vertical="center"/>
    </xf>
    <xf numFmtId="3" fontId="40" fillId="0" borderId="23" xfId="18" applyNumberFormat="1" applyFont="1" applyFill="1" applyBorder="1" applyAlignment="1">
      <alignment horizontal="right"/>
    </xf>
    <xf numFmtId="3" fontId="21" fillId="0" borderId="23" xfId="18" applyNumberFormat="1" applyFont="1" applyFill="1" applyBorder="1" applyAlignment="1">
      <alignment horizontal="right"/>
    </xf>
    <xf numFmtId="3" fontId="11" fillId="0" borderId="221" xfId="18" applyNumberFormat="1" applyFont="1" applyFill="1" applyBorder="1" applyAlignment="1">
      <alignment horizontal="center" vertical="center"/>
    </xf>
    <xf numFmtId="3" fontId="40" fillId="0" borderId="26" xfId="18" applyNumberFormat="1" applyFont="1" applyFill="1" applyBorder="1" applyAlignment="1">
      <alignment horizontal="right"/>
    </xf>
    <xf numFmtId="3" fontId="41" fillId="0" borderId="23" xfId="18" applyNumberFormat="1" applyFont="1" applyFill="1" applyBorder="1" applyAlignment="1">
      <alignment horizontal="right"/>
    </xf>
    <xf numFmtId="3" fontId="53" fillId="0" borderId="186" xfId="18" applyNumberFormat="1" applyFont="1" applyFill="1" applyBorder="1" applyAlignment="1">
      <alignment horizontal="center" vertical="center"/>
    </xf>
    <xf numFmtId="3" fontId="19" fillId="0" borderId="23" xfId="18" applyNumberFormat="1" applyFont="1" applyFill="1" applyBorder="1" applyAlignment="1"/>
    <xf numFmtId="3" fontId="41" fillId="0" borderId="26" xfId="18" applyNumberFormat="1" applyFont="1" applyFill="1" applyBorder="1" applyAlignment="1">
      <alignment horizontal="right"/>
    </xf>
    <xf numFmtId="3" fontId="21" fillId="0" borderId="26" xfId="18" applyNumberFormat="1" applyFont="1" applyFill="1" applyBorder="1" applyAlignment="1">
      <alignment horizontal="right"/>
    </xf>
    <xf numFmtId="3" fontId="19" fillId="0" borderId="170" xfId="18" applyNumberFormat="1" applyFont="1" applyFill="1" applyBorder="1" applyAlignment="1">
      <alignment horizontal="right"/>
    </xf>
    <xf numFmtId="3" fontId="22" fillId="0" borderId="18" xfId="0" applyNumberFormat="1" applyFont="1" applyFill="1" applyBorder="1" applyAlignment="1">
      <alignment horizontal="right" vertical="center" wrapText="1"/>
    </xf>
    <xf numFmtId="3" fontId="19" fillId="0" borderId="26" xfId="31" applyNumberFormat="1" applyFont="1" applyFill="1" applyBorder="1" applyAlignment="1">
      <alignment horizontal="right" vertical="center"/>
    </xf>
    <xf numFmtId="3" fontId="19" fillId="0" borderId="23" xfId="31" applyNumberFormat="1" applyFont="1" applyFill="1" applyBorder="1" applyAlignment="1">
      <alignment horizontal="right" vertical="center"/>
    </xf>
    <xf numFmtId="3" fontId="21" fillId="0" borderId="23" xfId="31" applyNumberFormat="1" applyFont="1" applyFill="1" applyBorder="1" applyAlignment="1">
      <alignment horizontal="right" vertical="center"/>
    </xf>
    <xf numFmtId="3" fontId="22" fillId="0" borderId="23" xfId="31" applyNumberFormat="1" applyFont="1" applyFill="1" applyBorder="1" applyAlignment="1">
      <alignment horizontal="right" vertical="center"/>
    </xf>
    <xf numFmtId="3" fontId="40" fillId="0" borderId="23" xfId="31" applyNumberFormat="1" applyFont="1" applyFill="1" applyBorder="1" applyAlignment="1">
      <alignment horizontal="right" vertical="center"/>
    </xf>
    <xf numFmtId="3" fontId="22" fillId="0" borderId="186" xfId="31" applyNumberFormat="1" applyFont="1" applyFill="1" applyBorder="1" applyAlignment="1">
      <alignment horizontal="right" vertical="center"/>
    </xf>
    <xf numFmtId="3" fontId="22" fillId="0" borderId="59" xfId="31" applyNumberFormat="1" applyFont="1" applyFill="1" applyBorder="1" applyAlignment="1">
      <alignment horizontal="right" vertical="center"/>
    </xf>
    <xf numFmtId="3" fontId="19" fillId="0" borderId="121" xfId="22" applyNumberFormat="1" applyFont="1" applyFill="1" applyBorder="1" applyAlignment="1">
      <alignment horizontal="left" vertical="center" wrapText="1"/>
    </xf>
    <xf numFmtId="3" fontId="26" fillId="0" borderId="0" xfId="0" applyNumberFormat="1" applyFont="1" applyFill="1" applyBorder="1" applyAlignment="1">
      <alignment horizontal="right"/>
    </xf>
    <xf numFmtId="3" fontId="14" fillId="0" borderId="0" xfId="0" applyNumberFormat="1" applyFont="1" applyFill="1" applyBorder="1" applyAlignment="1"/>
    <xf numFmtId="3" fontId="21" fillId="0" borderId="36" xfId="31" applyNumberFormat="1" applyFont="1" applyFill="1" applyBorder="1" applyAlignment="1">
      <alignment vertical="center"/>
    </xf>
    <xf numFmtId="3" fontId="22" fillId="0" borderId="36" xfId="31" applyNumberFormat="1" applyFont="1" applyFill="1" applyBorder="1" applyAlignment="1">
      <alignment horizontal="right" vertical="center"/>
    </xf>
    <xf numFmtId="3" fontId="14" fillId="0" borderId="17" xfId="21" applyNumberFormat="1" applyFont="1" applyFill="1" applyBorder="1" applyAlignment="1">
      <alignment horizontal="right" wrapText="1"/>
    </xf>
    <xf numFmtId="3" fontId="26" fillId="0" borderId="0" xfId="21" applyNumberFormat="1" applyFont="1" applyFill="1" applyBorder="1" applyAlignment="1">
      <alignment wrapText="1"/>
    </xf>
    <xf numFmtId="3" fontId="14" fillId="0" borderId="114" xfId="31" applyNumberFormat="1" applyFont="1" applyFill="1" applyBorder="1" applyAlignment="1">
      <alignment horizontal="right"/>
    </xf>
    <xf numFmtId="3" fontId="21" fillId="0" borderId="24" xfId="18" applyNumberFormat="1" applyFont="1" applyFill="1" applyBorder="1" applyAlignment="1">
      <alignment shrinkToFit="1"/>
    </xf>
    <xf numFmtId="3" fontId="14" fillId="0" borderId="114" xfId="21" applyNumberFormat="1" applyFont="1" applyFill="1" applyBorder="1" applyAlignment="1">
      <alignment horizontal="right" wrapText="1"/>
    </xf>
    <xf numFmtId="3" fontId="11" fillId="0" borderId="10" xfId="28" applyNumberFormat="1" applyFont="1" applyFill="1" applyBorder="1" applyAlignment="1">
      <alignment wrapText="1"/>
    </xf>
    <xf numFmtId="3" fontId="22" fillId="0" borderId="48" xfId="0" applyNumberFormat="1" applyFont="1" applyFill="1" applyBorder="1" applyAlignment="1">
      <alignment horizontal="right" wrapText="1"/>
    </xf>
    <xf numFmtId="3" fontId="40" fillId="0" borderId="45" xfId="0" applyNumberFormat="1" applyFont="1" applyFill="1" applyBorder="1" applyAlignment="1">
      <alignment horizontal="right" wrapText="1"/>
    </xf>
    <xf numFmtId="3" fontId="40" fillId="0" borderId="46" xfId="0" applyNumberFormat="1" applyFont="1" applyFill="1" applyBorder="1" applyAlignment="1">
      <alignment horizontal="right" wrapText="1"/>
    </xf>
    <xf numFmtId="3" fontId="26" fillId="0" borderId="0" xfId="28" applyNumberFormat="1" applyFont="1" applyFill="1" applyBorder="1" applyAlignment="1">
      <alignment vertical="top" wrapText="1"/>
    </xf>
    <xf numFmtId="3" fontId="14" fillId="0" borderId="0" xfId="0" applyNumberFormat="1" applyFont="1" applyFill="1" applyBorder="1" applyAlignment="1">
      <alignment horizontal="right"/>
    </xf>
    <xf numFmtId="3" fontId="22" fillId="0" borderId="17" xfId="18" applyNumberFormat="1" applyFont="1" applyFill="1" applyBorder="1" applyAlignment="1">
      <alignment shrinkToFit="1"/>
    </xf>
    <xf numFmtId="3" fontId="40" fillId="0" borderId="188" xfId="18" applyNumberFormat="1" applyFont="1" applyFill="1" applyBorder="1" applyAlignment="1">
      <alignment horizontal="right"/>
    </xf>
    <xf numFmtId="3" fontId="19" fillId="0" borderId="122" xfId="18" applyNumberFormat="1" applyFont="1" applyFill="1" applyBorder="1" applyAlignment="1">
      <alignment horizontal="right"/>
    </xf>
    <xf numFmtId="3" fontId="21" fillId="0" borderId="24" xfId="18" applyNumberFormat="1" applyFont="1" applyFill="1" applyBorder="1" applyAlignment="1">
      <alignment horizontal="left" vertical="top" wrapText="1" indent="4"/>
    </xf>
    <xf numFmtId="164" fontId="14" fillId="0" borderId="19" xfId="0" applyNumberFormat="1" applyFont="1" applyFill="1" applyBorder="1" applyAlignment="1">
      <alignment horizontal="left" vertical="top" wrapText="1" indent="2"/>
    </xf>
    <xf numFmtId="0" fontId="19" fillId="0" borderId="16" xfId="32" applyFont="1" applyFill="1" applyBorder="1" applyAlignment="1" applyProtection="1">
      <alignment horizontal="center"/>
      <protection locked="0"/>
    </xf>
    <xf numFmtId="3" fontId="13" fillId="0" borderId="179" xfId="17" applyNumberFormat="1" applyFont="1" applyFill="1" applyBorder="1" applyAlignment="1">
      <alignment horizontal="right" wrapText="1"/>
    </xf>
    <xf numFmtId="3" fontId="13" fillId="0" borderId="19" xfId="17" applyNumberFormat="1" applyFont="1" applyFill="1" applyBorder="1" applyAlignment="1">
      <alignment horizontal="right" wrapText="1"/>
    </xf>
    <xf numFmtId="3" fontId="13" fillId="0" borderId="180" xfId="17" applyNumberFormat="1" applyFont="1" applyFill="1" applyBorder="1" applyAlignment="1">
      <alignment horizontal="right" wrapText="1"/>
    </xf>
    <xf numFmtId="3" fontId="13" fillId="0" borderId="231" xfId="0" applyNumberFormat="1" applyFont="1" applyFill="1" applyBorder="1" applyAlignment="1">
      <alignment horizontal="right" vertical="center"/>
    </xf>
    <xf numFmtId="3" fontId="13" fillId="0" borderId="181" xfId="0" applyNumberFormat="1" applyFont="1" applyFill="1" applyBorder="1" applyAlignment="1">
      <alignment horizontal="right" vertical="center"/>
    </xf>
    <xf numFmtId="3" fontId="11" fillId="0" borderId="19" xfId="17" applyNumberFormat="1" applyFont="1" applyFill="1" applyBorder="1" applyAlignment="1"/>
    <xf numFmtId="3" fontId="11" fillId="0" borderId="19" xfId="17" applyNumberFormat="1" applyFont="1" applyFill="1" applyBorder="1" applyAlignment="1">
      <alignment vertical="top"/>
    </xf>
    <xf numFmtId="3" fontId="11" fillId="0" borderId="16" xfId="18" applyNumberFormat="1" applyFont="1" applyFill="1" applyBorder="1" applyAlignment="1">
      <alignment vertical="center" shrinkToFit="1"/>
    </xf>
    <xf numFmtId="3" fontId="13" fillId="0" borderId="19" xfId="17" applyNumberFormat="1" applyFont="1" applyFill="1" applyBorder="1" applyAlignment="1">
      <alignment vertical="center"/>
    </xf>
    <xf numFmtId="3" fontId="22" fillId="0" borderId="45" xfId="0" applyNumberFormat="1" applyFont="1" applyFill="1" applyBorder="1" applyAlignment="1">
      <alignment vertical="top"/>
    </xf>
    <xf numFmtId="3" fontId="25" fillId="0" borderId="45" xfId="0" applyNumberFormat="1" applyFont="1" applyFill="1" applyBorder="1" applyAlignment="1">
      <alignment vertical="top"/>
    </xf>
    <xf numFmtId="3" fontId="22" fillId="0" borderId="46" xfId="0" applyNumberFormat="1" applyFont="1" applyFill="1" applyBorder="1" applyAlignment="1">
      <alignment vertical="top"/>
    </xf>
    <xf numFmtId="3" fontId="25" fillId="0" borderId="45" xfId="0" applyNumberFormat="1" applyFont="1" applyFill="1" applyBorder="1" applyAlignment="1">
      <alignment vertical="center"/>
    </xf>
    <xf numFmtId="3" fontId="22" fillId="0" borderId="46" xfId="0" applyNumberFormat="1" applyFont="1" applyFill="1" applyBorder="1" applyAlignment="1">
      <alignment vertical="center"/>
    </xf>
    <xf numFmtId="3" fontId="22" fillId="0" borderId="17" xfId="0" applyNumberFormat="1" applyFont="1" applyFill="1" applyBorder="1" applyAlignment="1">
      <alignment vertical="top"/>
    </xf>
    <xf numFmtId="3" fontId="25" fillId="0" borderId="17" xfId="0" applyNumberFormat="1" applyFont="1" applyFill="1" applyBorder="1" applyAlignment="1">
      <alignment vertical="top"/>
    </xf>
    <xf numFmtId="3" fontId="40" fillId="0" borderId="114" xfId="0" applyNumberFormat="1" applyFont="1" applyFill="1" applyBorder="1" applyAlignment="1">
      <alignment horizontal="center"/>
    </xf>
    <xf numFmtId="3" fontId="41" fillId="0" borderId="114" xfId="0" applyNumberFormat="1" applyFont="1" applyFill="1" applyBorder="1" applyAlignment="1">
      <alignment horizontal="center"/>
    </xf>
    <xf numFmtId="3" fontId="19" fillId="0" borderId="36" xfId="28" applyNumberFormat="1" applyFont="1" applyFill="1" applyBorder="1" applyAlignment="1"/>
    <xf numFmtId="3" fontId="21" fillId="0" borderId="77" xfId="0" applyNumberFormat="1" applyFont="1" applyFill="1" applyBorder="1" applyAlignment="1"/>
    <xf numFmtId="3" fontId="22" fillId="0" borderId="45" xfId="0" applyNumberFormat="1" applyFont="1" applyFill="1" applyBorder="1" applyAlignment="1">
      <alignment horizontal="right" vertical="center"/>
    </xf>
    <xf numFmtId="3" fontId="22" fillId="0" borderId="46" xfId="0" applyNumberFormat="1" applyFont="1" applyFill="1" applyBorder="1" applyAlignment="1">
      <alignment horizontal="right" vertical="center"/>
    </xf>
    <xf numFmtId="3" fontId="22" fillId="0" borderId="21" xfId="0" applyNumberFormat="1" applyFont="1" applyFill="1" applyBorder="1" applyAlignment="1">
      <alignment horizontal="right" vertical="center"/>
    </xf>
    <xf numFmtId="0" fontId="22" fillId="0" borderId="17" xfId="31" applyFont="1" applyFill="1" applyBorder="1" applyAlignment="1">
      <alignment wrapText="1"/>
    </xf>
    <xf numFmtId="3" fontId="40" fillId="0" borderId="114" xfId="21" applyNumberFormat="1" applyFont="1" applyFill="1" applyBorder="1" applyAlignment="1">
      <alignment horizontal="right" wrapText="1"/>
    </xf>
    <xf numFmtId="3" fontId="11" fillId="0" borderId="26" xfId="21" applyNumberFormat="1" applyFont="1" applyFill="1" applyBorder="1" applyAlignment="1">
      <alignment horizontal="right"/>
    </xf>
    <xf numFmtId="0" fontId="13" fillId="0" borderId="77" xfId="31" applyFont="1" applyFill="1" applyBorder="1" applyAlignment="1">
      <alignment horizontal="center" wrapText="1"/>
    </xf>
    <xf numFmtId="3" fontId="13" fillId="0" borderId="24" xfId="21" applyNumberFormat="1" applyFont="1" applyFill="1" applyBorder="1" applyAlignment="1">
      <alignment horizontal="right" wrapText="1"/>
    </xf>
    <xf numFmtId="3" fontId="44" fillId="0" borderId="230" xfId="31" applyNumberFormat="1" applyFont="1" applyFill="1" applyBorder="1" applyAlignment="1">
      <alignment horizontal="right"/>
    </xf>
    <xf numFmtId="0" fontId="11" fillId="0" borderId="15" xfId="31" applyFont="1" applyFill="1" applyBorder="1" applyAlignment="1">
      <alignment horizontal="center"/>
    </xf>
    <xf numFmtId="3" fontId="13" fillId="0" borderId="128" xfId="21" applyNumberFormat="1" applyFont="1" applyFill="1" applyBorder="1" applyAlignment="1">
      <alignment horizontal="right" wrapText="1"/>
    </xf>
    <xf numFmtId="0" fontId="11" fillId="0" borderId="58" xfId="31" applyFont="1" applyFill="1" applyBorder="1" applyAlignment="1">
      <alignment horizontal="center"/>
    </xf>
    <xf numFmtId="3" fontId="13" fillId="0" borderId="27" xfId="21" applyNumberFormat="1" applyFont="1" applyFill="1" applyBorder="1" applyAlignment="1">
      <alignment horizontal="center" vertical="center" wrapText="1"/>
    </xf>
    <xf numFmtId="3" fontId="13" fillId="0" borderId="24" xfId="21" applyNumberFormat="1" applyFont="1" applyFill="1" applyBorder="1" applyAlignment="1">
      <alignment horizontal="center" vertical="center" wrapText="1"/>
    </xf>
    <xf numFmtId="3" fontId="13" fillId="0" borderId="26" xfId="21" applyNumberFormat="1" applyFont="1" applyFill="1" applyBorder="1" applyAlignment="1">
      <alignment horizontal="center" vertical="center" wrapText="1"/>
    </xf>
    <xf numFmtId="3" fontId="11" fillId="0" borderId="77" xfId="21" applyNumberFormat="1" applyFont="1" applyFill="1" applyBorder="1" applyAlignment="1">
      <alignment horizontal="right" vertical="center" wrapText="1"/>
    </xf>
    <xf numFmtId="3" fontId="13" fillId="0" borderId="81" xfId="21" applyNumberFormat="1" applyFont="1" applyFill="1" applyBorder="1" applyAlignment="1">
      <alignment horizontal="right" vertical="center" wrapText="1"/>
    </xf>
    <xf numFmtId="3" fontId="13" fillId="0" borderId="17" xfId="31" applyNumberFormat="1" applyFont="1" applyFill="1" applyBorder="1" applyAlignment="1">
      <alignment horizontal="right"/>
    </xf>
    <xf numFmtId="3" fontId="13" fillId="0" borderId="24" xfId="31" applyNumberFormat="1" applyFont="1" applyFill="1" applyBorder="1" applyAlignment="1">
      <alignment horizontal="right"/>
    </xf>
    <xf numFmtId="3" fontId="13" fillId="0" borderId="24" xfId="21" applyNumberFormat="1" applyFont="1" applyFill="1" applyBorder="1" applyAlignment="1">
      <alignment horizontal="right" vertical="center" wrapText="1"/>
    </xf>
    <xf numFmtId="3" fontId="13" fillId="0" borderId="77" xfId="21" applyNumberFormat="1" applyFont="1" applyFill="1" applyBorder="1" applyAlignment="1">
      <alignment horizontal="right" vertical="center" wrapText="1"/>
    </xf>
    <xf numFmtId="3" fontId="44" fillId="0" borderId="230" xfId="21" applyNumberFormat="1" applyFont="1" applyFill="1" applyBorder="1" applyAlignment="1">
      <alignment horizontal="right" vertical="center" wrapText="1"/>
    </xf>
    <xf numFmtId="3" fontId="22" fillId="0" borderId="23" xfId="18" applyNumberFormat="1" applyFont="1" applyFill="1" applyBorder="1" applyAlignment="1">
      <alignment wrapText="1"/>
    </xf>
    <xf numFmtId="3" fontId="13" fillId="0" borderId="51" xfId="21" applyNumberFormat="1" applyFont="1" applyFill="1" applyBorder="1" applyAlignment="1">
      <alignment horizontal="right" vertical="center" wrapText="1"/>
    </xf>
    <xf numFmtId="3" fontId="19" fillId="0" borderId="36" xfId="18" applyNumberFormat="1" applyFont="1" applyFill="1" applyBorder="1" applyAlignment="1">
      <alignment horizontal="right"/>
    </xf>
    <xf numFmtId="0" fontId="44" fillId="0" borderId="17" xfId="21" applyFont="1" applyFill="1" applyBorder="1" applyAlignment="1"/>
    <xf numFmtId="3" fontId="21" fillId="0" borderId="170" xfId="18" applyNumberFormat="1" applyFont="1" applyFill="1" applyBorder="1" applyAlignment="1">
      <alignment horizontal="right"/>
    </xf>
    <xf numFmtId="3" fontId="22" fillId="0" borderId="45" xfId="0" applyNumberFormat="1" applyFont="1" applyFill="1" applyBorder="1" applyAlignment="1">
      <alignment horizontal="right" wrapText="1"/>
    </xf>
    <xf numFmtId="3" fontId="22" fillId="0" borderId="121" xfId="0" applyNumberFormat="1" applyFont="1" applyFill="1" applyBorder="1" applyAlignment="1"/>
    <xf numFmtId="3" fontId="11" fillId="0" borderId="18" xfId="0" applyNumberFormat="1" applyFont="1" applyFill="1" applyBorder="1" applyAlignment="1">
      <alignment horizontal="right" vertical="top" wrapText="1"/>
    </xf>
    <xf numFmtId="0" fontId="22" fillId="0" borderId="50" xfId="31" applyFont="1" applyFill="1" applyBorder="1" applyAlignment="1">
      <alignment horizontal="center" vertical="center"/>
    </xf>
    <xf numFmtId="0" fontId="22" fillId="0" borderId="45" xfId="31" applyFont="1" applyFill="1" applyBorder="1" applyAlignment="1">
      <alignment horizontal="center" vertical="top"/>
    </xf>
    <xf numFmtId="0" fontId="22" fillId="0" borderId="45" xfId="21" applyFont="1" applyFill="1" applyBorder="1" applyAlignment="1">
      <alignment vertical="top" wrapText="1"/>
    </xf>
    <xf numFmtId="3" fontId="22" fillId="0" borderId="45" xfId="31" applyNumberFormat="1" applyFont="1" applyFill="1" applyBorder="1" applyAlignment="1">
      <alignment horizontal="right" vertical="center"/>
    </xf>
    <xf numFmtId="3" fontId="22" fillId="0" borderId="45" xfId="21" applyNumberFormat="1" applyFont="1" applyFill="1" applyBorder="1" applyAlignment="1">
      <alignment horizontal="right" vertical="center"/>
    </xf>
    <xf numFmtId="3" fontId="22" fillId="0" borderId="206" xfId="31" applyNumberFormat="1" applyFont="1" applyFill="1" applyBorder="1" applyAlignment="1">
      <alignment horizontal="right" vertical="center"/>
    </xf>
    <xf numFmtId="0" fontId="22" fillId="0" borderId="128" xfId="31" applyFont="1" applyFill="1" applyBorder="1" applyAlignment="1">
      <alignment horizontal="center" vertical="center" wrapText="1"/>
    </xf>
    <xf numFmtId="3" fontId="22" fillId="0" borderId="128" xfId="21" applyNumberFormat="1" applyFont="1" applyFill="1" applyBorder="1" applyAlignment="1">
      <alignment horizontal="right" vertical="center" wrapText="1"/>
    </xf>
    <xf numFmtId="3" fontId="22" fillId="0" borderId="244" xfId="31" applyNumberFormat="1" applyFont="1" applyFill="1" applyBorder="1" applyAlignment="1">
      <alignment horizontal="right" vertical="center"/>
    </xf>
    <xf numFmtId="3" fontId="22" fillId="0" borderId="48" xfId="21" applyNumberFormat="1" applyFont="1" applyFill="1" applyBorder="1" applyAlignment="1">
      <alignment horizontal="right" vertical="center" wrapText="1"/>
    </xf>
    <xf numFmtId="0" fontId="19" fillId="0" borderId="17" xfId="32" applyFont="1" applyFill="1" applyBorder="1" applyAlignment="1" applyProtection="1">
      <alignment horizontal="center" vertical="top"/>
      <protection locked="0"/>
    </xf>
    <xf numFmtId="3" fontId="22" fillId="0" borderId="9" xfId="31" applyNumberFormat="1" applyFont="1" applyFill="1" applyBorder="1" applyAlignment="1" applyProtection="1">
      <alignment horizontal="right" vertical="center"/>
      <protection locked="0"/>
    </xf>
    <xf numFmtId="3" fontId="22" fillId="0" borderId="13" xfId="31" applyNumberFormat="1" applyFont="1" applyFill="1" applyBorder="1" applyAlignment="1" applyProtection="1">
      <alignment horizontal="right" vertical="center"/>
      <protection locked="0"/>
    </xf>
    <xf numFmtId="3" fontId="19" fillId="0" borderId="80" xfId="31" applyNumberFormat="1" applyFont="1" applyFill="1" applyBorder="1" applyAlignment="1" applyProtection="1">
      <alignment horizontal="center" vertical="center" wrapText="1"/>
      <protection locked="0"/>
    </xf>
    <xf numFmtId="3" fontId="22" fillId="0" borderId="80" xfId="31" applyNumberFormat="1" applyFont="1" applyFill="1" applyBorder="1" applyAlignment="1" applyProtection="1">
      <alignment horizontal="right" vertical="center"/>
      <protection locked="0"/>
    </xf>
    <xf numFmtId="3" fontId="22" fillId="0" borderId="23" xfId="31" applyNumberFormat="1" applyFont="1" applyFill="1" applyBorder="1" applyAlignment="1" applyProtection="1">
      <alignment horizontal="right" vertical="center"/>
      <protection locked="0"/>
    </xf>
    <xf numFmtId="3" fontId="22" fillId="0" borderId="58" xfId="31" applyNumberFormat="1" applyFont="1" applyFill="1" applyBorder="1" applyAlignment="1" applyProtection="1">
      <alignment horizontal="right" vertical="center"/>
      <protection locked="0"/>
    </xf>
    <xf numFmtId="3" fontId="22" fillId="0" borderId="74" xfId="32" applyNumberFormat="1" applyFont="1" applyFill="1" applyBorder="1" applyAlignment="1" applyProtection="1">
      <alignment vertical="center"/>
      <protection locked="0"/>
    </xf>
    <xf numFmtId="3" fontId="19" fillId="0" borderId="60" xfId="31" applyNumberFormat="1" applyFont="1" applyFill="1" applyBorder="1" applyAlignment="1" applyProtection="1">
      <alignment horizontal="center" vertical="center" wrapText="1"/>
      <protection locked="0"/>
    </xf>
    <xf numFmtId="3" fontId="19" fillId="0" borderId="77" xfId="31" applyNumberFormat="1" applyFont="1" applyFill="1" applyBorder="1" applyAlignment="1" applyProtection="1">
      <alignment horizontal="right"/>
      <protection locked="0"/>
    </xf>
    <xf numFmtId="3" fontId="19" fillId="0" borderId="77" xfId="31" applyNumberFormat="1" applyFont="1" applyFill="1" applyBorder="1" applyAlignment="1" applyProtection="1">
      <alignment horizontal="right" vertical="center"/>
      <protection locked="0"/>
    </xf>
    <xf numFmtId="3" fontId="19" fillId="0" borderId="77" xfId="31" applyNumberFormat="1" applyFont="1" applyFill="1" applyBorder="1" applyAlignment="1" applyProtection="1">
      <alignment horizontal="left"/>
      <protection locked="0"/>
    </xf>
    <xf numFmtId="3" fontId="19" fillId="0" borderId="77" xfId="31" applyNumberFormat="1" applyFont="1" applyFill="1" applyBorder="1" applyAlignment="1" applyProtection="1">
      <alignment vertical="center"/>
      <protection locked="0"/>
    </xf>
    <xf numFmtId="3" fontId="22" fillId="0" borderId="211" xfId="31" applyNumberFormat="1" applyFont="1" applyFill="1" applyBorder="1" applyAlignment="1" applyProtection="1">
      <alignment horizontal="right" vertical="center"/>
      <protection locked="0"/>
    </xf>
    <xf numFmtId="3" fontId="22" fillId="0" borderId="176" xfId="31" applyNumberFormat="1" applyFont="1" applyFill="1" applyBorder="1" applyAlignment="1" applyProtection="1">
      <alignment horizontal="right" vertical="center"/>
      <protection locked="0"/>
    </xf>
    <xf numFmtId="3" fontId="22" fillId="0" borderId="60" xfId="31" applyNumberFormat="1" applyFont="1" applyFill="1" applyBorder="1" applyAlignment="1" applyProtection="1">
      <alignment horizontal="right" vertical="center"/>
      <protection locked="0"/>
    </xf>
    <xf numFmtId="3" fontId="22" fillId="0" borderId="57" xfId="31" applyNumberFormat="1" applyFont="1" applyFill="1" applyBorder="1" applyAlignment="1" applyProtection="1">
      <alignment horizontal="right" vertical="center"/>
      <protection locked="0"/>
    </xf>
    <xf numFmtId="3" fontId="22" fillId="0" borderId="21" xfId="31" applyNumberFormat="1" applyFont="1" applyFill="1" applyBorder="1" applyAlignment="1" applyProtection="1">
      <alignment horizontal="right" vertical="center"/>
      <protection locked="0"/>
    </xf>
    <xf numFmtId="3" fontId="19" fillId="0" borderId="218" xfId="31" applyNumberFormat="1" applyFont="1" applyFill="1" applyBorder="1" applyAlignment="1" applyProtection="1">
      <alignment horizontal="left"/>
      <protection locked="0"/>
    </xf>
    <xf numFmtId="3" fontId="13" fillId="0" borderId="13" xfId="17" applyNumberFormat="1" applyFont="1" applyFill="1" applyBorder="1" applyAlignment="1">
      <alignment horizontal="center" vertical="center" wrapText="1"/>
    </xf>
    <xf numFmtId="3" fontId="13" fillId="0" borderId="10" xfId="0" applyNumberFormat="1" applyFont="1" applyFill="1" applyBorder="1" applyAlignment="1">
      <alignment horizontal="right"/>
    </xf>
    <xf numFmtId="3" fontId="11" fillId="0" borderId="10" xfId="0" applyNumberFormat="1" applyFont="1" applyFill="1" applyBorder="1" applyAlignment="1">
      <alignment horizontal="right"/>
    </xf>
    <xf numFmtId="3" fontId="13" fillId="0" borderId="245" xfId="17" applyNumberFormat="1" applyFont="1" applyFill="1" applyBorder="1" applyAlignment="1">
      <alignment horizontal="center" vertical="center" wrapText="1"/>
    </xf>
    <xf numFmtId="3" fontId="13" fillId="0" borderId="88" xfId="0" applyNumberFormat="1" applyFont="1" applyFill="1" applyBorder="1"/>
    <xf numFmtId="3" fontId="11" fillId="0" borderId="88" xfId="0" applyNumberFormat="1" applyFont="1" applyFill="1" applyBorder="1"/>
    <xf numFmtId="3" fontId="13" fillId="0" borderId="88" xfId="0" applyNumberFormat="1" applyFont="1" applyFill="1" applyBorder="1" applyAlignment="1"/>
    <xf numFmtId="3" fontId="13" fillId="0" borderId="100" xfId="0" applyNumberFormat="1" applyFont="1" applyFill="1" applyBorder="1"/>
    <xf numFmtId="3" fontId="13" fillId="0" borderId="100" xfId="17" applyNumberFormat="1" applyFont="1" applyFill="1" applyBorder="1" applyAlignment="1">
      <alignment horizontal="right" wrapText="1"/>
    </xf>
    <xf numFmtId="3" fontId="11" fillId="0" borderId="100" xfId="0" applyNumberFormat="1" applyFont="1" applyFill="1" applyBorder="1"/>
    <xf numFmtId="3" fontId="13" fillId="0" borderId="88" xfId="0" applyNumberFormat="1" applyFont="1" applyFill="1" applyBorder="1" applyAlignment="1">
      <alignment vertical="center"/>
    </xf>
    <xf numFmtId="3" fontId="40" fillId="0" borderId="114" xfId="0" applyNumberFormat="1" applyFont="1" applyFill="1" applyBorder="1" applyAlignment="1">
      <alignment vertical="center"/>
    </xf>
    <xf numFmtId="3" fontId="40" fillId="0" borderId="234" xfId="0" applyNumberFormat="1" applyFont="1" applyFill="1" applyBorder="1" applyAlignment="1">
      <alignment vertical="center"/>
    </xf>
    <xf numFmtId="3" fontId="21" fillId="0" borderId="0" xfId="31" applyNumberFormat="1" applyFont="1" applyFill="1" applyBorder="1" applyAlignment="1" applyProtection="1">
      <protection locked="0"/>
    </xf>
    <xf numFmtId="3" fontId="21" fillId="0" borderId="43" xfId="31" applyNumberFormat="1" applyFont="1" applyFill="1" applyBorder="1" applyAlignment="1" applyProtection="1">
      <alignment vertical="center" wrapText="1"/>
      <protection locked="0"/>
    </xf>
    <xf numFmtId="3" fontId="21" fillId="0" borderId="17" xfId="31" applyNumberFormat="1" applyFont="1" applyFill="1" applyBorder="1" applyAlignment="1" applyProtection="1">
      <alignment vertical="center"/>
      <protection locked="0"/>
    </xf>
    <xf numFmtId="3" fontId="21" fillId="0" borderId="45" xfId="31" applyNumberFormat="1" applyFont="1" applyFill="1" applyBorder="1" applyAlignment="1" applyProtection="1">
      <alignment vertical="center"/>
      <protection locked="0"/>
    </xf>
    <xf numFmtId="3" fontId="21" fillId="0" borderId="53" xfId="31" applyNumberFormat="1" applyFont="1" applyFill="1" applyBorder="1" applyAlignment="1" applyProtection="1">
      <alignment vertical="center"/>
      <protection locked="0"/>
    </xf>
    <xf numFmtId="0" fontId="25" fillId="0" borderId="17" xfId="31" applyFont="1" applyFill="1" applyBorder="1" applyAlignment="1" applyProtection="1">
      <alignment horizontal="center" vertical="top"/>
      <protection locked="0"/>
    </xf>
    <xf numFmtId="3" fontId="19" fillId="0" borderId="24" xfId="28" applyNumberFormat="1" applyFont="1" applyFill="1" applyBorder="1" applyAlignment="1" applyProtection="1">
      <alignment horizontal="center" vertical="top"/>
      <protection locked="0"/>
    </xf>
    <xf numFmtId="4" fontId="15" fillId="0" borderId="19" xfId="0" applyNumberFormat="1" applyFont="1" applyFill="1" applyBorder="1" applyAlignment="1">
      <alignment horizontal="center" wrapText="1"/>
    </xf>
    <xf numFmtId="3" fontId="21" fillId="0" borderId="128" xfId="21" applyNumberFormat="1" applyFont="1" applyFill="1" applyBorder="1" applyAlignment="1">
      <alignment horizontal="right" vertical="center" wrapText="1"/>
    </xf>
    <xf numFmtId="3" fontId="22" fillId="0" borderId="23" xfId="21" applyNumberFormat="1" applyFont="1" applyFill="1" applyBorder="1" applyAlignment="1">
      <alignment horizontal="right" vertical="center" wrapText="1"/>
    </xf>
    <xf numFmtId="3" fontId="38" fillId="0" borderId="17" xfId="22" applyNumberFormat="1" applyFont="1" applyBorder="1" applyAlignment="1">
      <alignment horizontal="right" vertical="center" wrapText="1"/>
    </xf>
    <xf numFmtId="0" fontId="11" fillId="0" borderId="45" xfId="31" applyFont="1" applyFill="1" applyBorder="1" applyAlignment="1">
      <alignment horizontal="center" vertical="top"/>
    </xf>
    <xf numFmtId="0" fontId="19" fillId="0" borderId="114" xfId="31" applyFont="1" applyFill="1" applyBorder="1" applyAlignment="1">
      <alignment horizontal="center" vertical="center" wrapText="1"/>
    </xf>
    <xf numFmtId="3" fontId="11" fillId="0" borderId="0" xfId="20" applyNumberFormat="1" applyFont="1" applyFill="1" applyBorder="1" applyAlignment="1">
      <alignment horizontal="right" vertical="center"/>
    </xf>
    <xf numFmtId="3" fontId="22" fillId="0" borderId="49" xfId="0" applyNumberFormat="1" applyFont="1" applyFill="1" applyBorder="1" applyAlignment="1">
      <alignment horizontal="right"/>
    </xf>
    <xf numFmtId="3" fontId="25" fillId="0" borderId="0" xfId="31" applyNumberFormat="1" applyFont="1" applyFill="1" applyBorder="1" applyAlignment="1" applyProtection="1">
      <alignment horizontal="right"/>
      <protection locked="0"/>
    </xf>
    <xf numFmtId="3" fontId="22" fillId="0" borderId="121" xfId="31" applyNumberFormat="1" applyFont="1" applyFill="1" applyBorder="1" applyAlignment="1" applyProtection="1">
      <alignment horizontal="left"/>
      <protection locked="0"/>
    </xf>
    <xf numFmtId="3" fontId="22" fillId="0" borderId="121" xfId="31" applyNumberFormat="1" applyFont="1" applyFill="1" applyBorder="1" applyAlignment="1" applyProtection="1">
      <alignment horizontal="right" vertical="center"/>
      <protection locked="0"/>
    </xf>
    <xf numFmtId="3" fontId="22" fillId="0" borderId="121" xfId="31" applyNumberFormat="1" applyFont="1" applyFill="1" applyBorder="1" applyAlignment="1" applyProtection="1">
      <alignment horizontal="right"/>
      <protection locked="0"/>
    </xf>
    <xf numFmtId="3" fontId="22" fillId="0" borderId="0" xfId="32" applyNumberFormat="1" applyFont="1" applyFill="1" applyBorder="1" applyAlignment="1" applyProtection="1">
      <alignment horizontal="right"/>
      <protection locked="0"/>
    </xf>
    <xf numFmtId="3" fontId="22" fillId="0" borderId="0" xfId="31" applyNumberFormat="1" applyFont="1" applyFill="1" applyBorder="1" applyAlignment="1" applyProtection="1">
      <alignment horizontal="right"/>
      <protection locked="0"/>
    </xf>
    <xf numFmtId="3" fontId="22" fillId="0" borderId="230" xfId="31" applyNumberFormat="1" applyFont="1" applyFill="1" applyBorder="1" applyAlignment="1" applyProtection="1">
      <alignment horizontal="left"/>
      <protection locked="0"/>
    </xf>
    <xf numFmtId="3" fontId="22" fillId="0" borderId="230" xfId="31" applyNumberFormat="1" applyFont="1" applyFill="1" applyBorder="1" applyAlignment="1" applyProtection="1">
      <alignment horizontal="right" vertical="center"/>
      <protection locked="0"/>
    </xf>
    <xf numFmtId="3" fontId="22" fillId="0" borderId="230" xfId="31" applyNumberFormat="1" applyFont="1" applyFill="1" applyBorder="1" applyAlignment="1" applyProtection="1">
      <alignment horizontal="right"/>
      <protection locked="0"/>
    </xf>
    <xf numFmtId="3" fontId="21" fillId="0" borderId="24" xfId="31" applyNumberFormat="1" applyFont="1" applyFill="1" applyBorder="1" applyAlignment="1" applyProtection="1">
      <protection locked="0"/>
    </xf>
    <xf numFmtId="3" fontId="21" fillId="0" borderId="24" xfId="31" applyNumberFormat="1" applyFont="1" applyFill="1" applyBorder="1" applyAlignment="1" applyProtection="1">
      <alignment vertical="center"/>
      <protection locked="0"/>
    </xf>
    <xf numFmtId="3" fontId="21" fillId="0" borderId="24" xfId="31" applyNumberFormat="1" applyFont="1" applyFill="1" applyBorder="1" applyAlignment="1" applyProtection="1">
      <alignment horizontal="right" vertical="center"/>
      <protection locked="0"/>
    </xf>
    <xf numFmtId="3" fontId="25" fillId="0" borderId="55" xfId="31" applyNumberFormat="1" applyFont="1" applyFill="1" applyBorder="1" applyAlignment="1" applyProtection="1">
      <alignment vertical="center"/>
      <protection locked="0"/>
    </xf>
    <xf numFmtId="3" fontId="25" fillId="0" borderId="53" xfId="31" applyNumberFormat="1" applyFont="1" applyFill="1" applyBorder="1" applyAlignment="1" applyProtection="1">
      <alignment vertical="center"/>
      <protection locked="0"/>
    </xf>
    <xf numFmtId="3" fontId="25" fillId="0" borderId="43" xfId="31" applyNumberFormat="1" applyFont="1" applyFill="1" applyBorder="1" applyAlignment="1" applyProtection="1">
      <alignment vertical="center"/>
      <protection locked="0"/>
    </xf>
    <xf numFmtId="3" fontId="21" fillId="0" borderId="0" xfId="32" applyNumberFormat="1" applyFont="1" applyFill="1" applyBorder="1" applyAlignment="1" applyProtection="1">
      <protection locked="0"/>
    </xf>
    <xf numFmtId="3" fontId="26" fillId="0" borderId="17" xfId="21" applyNumberFormat="1" applyFont="1" applyFill="1" applyBorder="1" applyAlignment="1">
      <alignment horizontal="right" wrapText="1"/>
    </xf>
    <xf numFmtId="0" fontId="19" fillId="0" borderId="128" xfId="31" applyFont="1" applyFill="1" applyBorder="1" applyAlignment="1">
      <alignment horizontal="center" vertical="center" wrapText="1"/>
    </xf>
    <xf numFmtId="3" fontId="22" fillId="0" borderId="230" xfId="0" applyNumberFormat="1" applyFont="1" applyFill="1" applyBorder="1" applyAlignment="1">
      <alignment vertical="center"/>
    </xf>
    <xf numFmtId="3" fontId="22" fillId="0" borderId="49" xfId="0" applyNumberFormat="1" applyFont="1" applyFill="1" applyBorder="1" applyAlignment="1">
      <alignment horizontal="right" wrapText="1"/>
    </xf>
    <xf numFmtId="0" fontId="19" fillId="0" borderId="45" xfId="31" applyFont="1" applyFill="1" applyBorder="1" applyAlignment="1">
      <alignment horizontal="center"/>
    </xf>
    <xf numFmtId="3" fontId="44" fillId="0" borderId="24" xfId="21" applyNumberFormat="1" applyFont="1" applyFill="1" applyBorder="1" applyAlignment="1">
      <alignment horizontal="right" vertical="center" wrapText="1"/>
    </xf>
    <xf numFmtId="3" fontId="44" fillId="0" borderId="217" xfId="21" applyNumberFormat="1" applyFont="1" applyFill="1" applyBorder="1" applyAlignment="1">
      <alignment horizontal="right" vertical="center" wrapText="1"/>
    </xf>
    <xf numFmtId="3" fontId="13" fillId="0" borderId="127" xfId="21" applyNumberFormat="1" applyFont="1" applyFill="1" applyBorder="1" applyAlignment="1">
      <alignment horizontal="right" vertical="center" wrapText="1"/>
    </xf>
    <xf numFmtId="3" fontId="44" fillId="0" borderId="204" xfId="21" applyNumberFormat="1" applyFont="1" applyFill="1" applyBorder="1" applyAlignment="1">
      <alignment horizontal="right" vertical="center" wrapText="1"/>
    </xf>
    <xf numFmtId="0" fontId="40" fillId="0" borderId="24" xfId="31" applyFont="1" applyFill="1" applyBorder="1" applyAlignment="1">
      <alignment wrapText="1"/>
    </xf>
    <xf numFmtId="49" fontId="11" fillId="0" borderId="0" xfId="0" applyNumberFormat="1" applyFont="1" applyFill="1"/>
    <xf numFmtId="49" fontId="11" fillId="0" borderId="0" xfId="0" applyNumberFormat="1" applyFont="1" applyFill="1" applyAlignment="1">
      <alignment vertical="top"/>
    </xf>
    <xf numFmtId="49" fontId="11" fillId="0" borderId="0" xfId="0" applyNumberFormat="1" applyFont="1" applyFill="1" applyAlignment="1">
      <alignment vertical="center"/>
    </xf>
    <xf numFmtId="3" fontId="59" fillId="0" borderId="0" xfId="0" applyNumberFormat="1" applyFont="1" applyFill="1" applyAlignment="1"/>
    <xf numFmtId="3" fontId="13" fillId="0" borderId="0" xfId="0" applyNumberFormat="1" applyFont="1" applyFill="1" applyAlignment="1"/>
    <xf numFmtId="3" fontId="13" fillId="0" borderId="72" xfId="0" applyNumberFormat="1" applyFont="1" applyFill="1" applyBorder="1" applyAlignment="1">
      <alignment horizontal="center" vertical="center"/>
    </xf>
    <xf numFmtId="3" fontId="13" fillId="0" borderId="23" xfId="21" applyNumberFormat="1" applyFont="1" applyFill="1" applyBorder="1" applyAlignment="1">
      <alignment horizontal="right" wrapText="1"/>
    </xf>
    <xf numFmtId="3" fontId="26" fillId="0" borderId="204" xfId="21" applyNumberFormat="1" applyFont="1" applyFill="1" applyBorder="1" applyAlignment="1">
      <alignment horizontal="right" wrapText="1"/>
    </xf>
    <xf numFmtId="3" fontId="35" fillId="0" borderId="16" xfId="18" applyNumberFormat="1" applyFont="1" applyFill="1" applyBorder="1" applyAlignment="1">
      <alignment vertical="center" shrinkToFit="1"/>
    </xf>
    <xf numFmtId="0" fontId="61" fillId="0" borderId="4" xfId="0" applyFont="1" applyFill="1" applyBorder="1"/>
    <xf numFmtId="0" fontId="19" fillId="0" borderId="17" xfId="31" applyFont="1" applyFill="1" applyBorder="1" applyAlignment="1" applyProtection="1">
      <alignment horizontal="left" shrinkToFit="1"/>
      <protection locked="0"/>
    </xf>
    <xf numFmtId="14" fontId="11" fillId="0" borderId="204" xfId="22" applyNumberFormat="1" applyFont="1" applyBorder="1" applyAlignment="1">
      <alignment horizontal="center" vertical="center" wrapText="1"/>
    </xf>
    <xf numFmtId="3" fontId="11" fillId="0" borderId="121" xfId="22" applyNumberFormat="1" applyFont="1" applyBorder="1" applyAlignment="1">
      <alignment horizontal="right" vertical="center" wrapText="1"/>
    </xf>
    <xf numFmtId="3" fontId="11" fillId="0" borderId="24" xfId="22" applyNumberFormat="1" applyFont="1" applyBorder="1" applyAlignment="1">
      <alignment horizontal="right" vertical="center" wrapText="1"/>
    </xf>
    <xf numFmtId="3" fontId="22" fillId="0" borderId="19" xfId="31" applyNumberFormat="1" applyFont="1" applyFill="1" applyBorder="1" applyAlignment="1">
      <alignment horizontal="right" vertical="center"/>
    </xf>
    <xf numFmtId="3" fontId="25" fillId="0" borderId="186" xfId="21" applyNumberFormat="1" applyFont="1" applyFill="1" applyBorder="1" applyAlignment="1">
      <alignment horizontal="right" vertical="center" wrapText="1"/>
    </xf>
    <xf numFmtId="3" fontId="22" fillId="0" borderId="17" xfId="31" applyNumberFormat="1" applyFont="1" applyFill="1" applyBorder="1" applyAlignment="1"/>
    <xf numFmtId="3" fontId="62" fillId="0" borderId="17" xfId="21" applyNumberFormat="1" applyFont="1" applyFill="1" applyBorder="1" applyAlignment="1">
      <alignment horizontal="right" wrapText="1"/>
    </xf>
    <xf numFmtId="3" fontId="26" fillId="0" borderId="0" xfId="0" applyNumberFormat="1" applyFont="1" applyFill="1" applyBorder="1" applyAlignment="1">
      <alignment vertical="top"/>
    </xf>
    <xf numFmtId="3" fontId="11" fillId="0" borderId="10" xfId="28" applyNumberFormat="1" applyFont="1" applyFill="1" applyBorder="1" applyAlignment="1">
      <alignment vertical="top" wrapText="1"/>
    </xf>
    <xf numFmtId="0" fontId="26" fillId="0" borderId="0" xfId="0" applyFont="1" applyFill="1" applyBorder="1" applyAlignment="1">
      <alignment vertical="center"/>
    </xf>
    <xf numFmtId="3" fontId="26" fillId="0" borderId="186" xfId="21" applyNumberFormat="1" applyFont="1" applyFill="1" applyBorder="1" applyAlignment="1">
      <alignment horizontal="right" vertical="center" wrapText="1"/>
    </xf>
    <xf numFmtId="3" fontId="22" fillId="0" borderId="0" xfId="0" applyNumberFormat="1" applyFont="1" applyFill="1" applyBorder="1" applyAlignment="1">
      <alignment horizontal="right"/>
    </xf>
    <xf numFmtId="0" fontId="19" fillId="0" borderId="45" xfId="31" applyFont="1" applyFill="1" applyBorder="1" applyAlignment="1">
      <alignment horizontal="center" vertical="top"/>
    </xf>
    <xf numFmtId="3" fontId="21" fillId="0" borderId="186" xfId="21" applyNumberFormat="1" applyFont="1" applyFill="1" applyBorder="1" applyAlignment="1">
      <alignment horizontal="right" wrapText="1"/>
    </xf>
    <xf numFmtId="0" fontId="19" fillId="0" borderId="17" xfId="31" applyFont="1" applyFill="1" applyBorder="1" applyAlignment="1" applyProtection="1">
      <alignment horizontal="center"/>
      <protection locked="0"/>
    </xf>
    <xf numFmtId="3" fontId="21" fillId="0" borderId="36" xfId="28" applyNumberFormat="1" applyFont="1" applyFill="1" applyBorder="1" applyAlignment="1"/>
    <xf numFmtId="3" fontId="25" fillId="0" borderId="204" xfId="21" applyNumberFormat="1" applyFont="1" applyFill="1" applyBorder="1" applyAlignment="1">
      <alignment horizontal="right" vertical="center" wrapText="1"/>
    </xf>
    <xf numFmtId="0" fontId="58" fillId="0" borderId="0" xfId="0" applyFont="1" applyFill="1" applyAlignment="1">
      <alignment horizontal="left" wrapText="1" indent="2" shrinkToFit="1"/>
    </xf>
    <xf numFmtId="0" fontId="19" fillId="0" borderId="4" xfId="32" applyFont="1" applyFill="1" applyBorder="1" applyAlignment="1" applyProtection="1">
      <alignment horizontal="center"/>
      <protection locked="0"/>
    </xf>
    <xf numFmtId="0" fontId="19" fillId="0" borderId="51" xfId="32" applyFont="1" applyFill="1" applyBorder="1" applyAlignment="1" applyProtection="1">
      <alignment horizontal="center"/>
      <protection locked="0"/>
    </xf>
    <xf numFmtId="3" fontId="19" fillId="0" borderId="51" xfId="32" applyNumberFormat="1" applyFont="1" applyFill="1" applyBorder="1" applyAlignment="1" applyProtection="1">
      <protection locked="0"/>
    </xf>
    <xf numFmtId="3" fontId="19" fillId="0" borderId="51" xfId="31" applyNumberFormat="1" applyFont="1" applyFill="1" applyBorder="1" applyAlignment="1" applyProtection="1">
      <protection locked="0"/>
    </xf>
    <xf numFmtId="3" fontId="19" fillId="0" borderId="122" xfId="31" applyNumberFormat="1" applyFont="1" applyFill="1" applyBorder="1" applyAlignment="1" applyProtection="1">
      <alignment horizontal="right"/>
      <protection locked="0"/>
    </xf>
    <xf numFmtId="3" fontId="19" fillId="0" borderId="218" xfId="31" applyNumberFormat="1" applyFont="1" applyFill="1" applyBorder="1" applyAlignment="1" applyProtection="1">
      <alignment horizontal="right"/>
      <protection locked="0"/>
    </xf>
    <xf numFmtId="3" fontId="21" fillId="0" borderId="51" xfId="31" applyNumberFormat="1" applyFont="1" applyFill="1" applyBorder="1" applyAlignment="1" applyProtection="1">
      <alignment vertical="center"/>
      <protection locked="0"/>
    </xf>
    <xf numFmtId="0" fontId="11" fillId="0" borderId="0" xfId="0" applyFont="1" applyFill="1" applyAlignment="1">
      <alignment horizontal="left" vertical="top" wrapText="1" indent="2" shrinkToFit="1"/>
    </xf>
    <xf numFmtId="0" fontId="19" fillId="0" borderId="45" xfId="33" applyFont="1" applyFill="1" applyBorder="1" applyAlignment="1">
      <alignment wrapText="1"/>
    </xf>
    <xf numFmtId="3" fontId="22" fillId="0" borderId="128" xfId="18" applyNumberFormat="1" applyFont="1" applyFill="1" applyBorder="1" applyAlignment="1">
      <alignment horizontal="right" vertical="center"/>
    </xf>
    <xf numFmtId="3" fontId="19" fillId="0" borderId="128" xfId="0" applyNumberFormat="1" applyFont="1" applyFill="1" applyBorder="1" applyAlignment="1">
      <alignment horizontal="right" vertical="center" wrapText="1"/>
    </xf>
    <xf numFmtId="3" fontId="19" fillId="0" borderId="244" xfId="0" applyNumberFormat="1" applyFont="1" applyFill="1" applyBorder="1" applyAlignment="1">
      <alignment horizontal="right" vertical="center" wrapText="1"/>
    </xf>
    <xf numFmtId="3" fontId="40" fillId="0" borderId="186" xfId="21" applyNumberFormat="1" applyFont="1" applyFill="1" applyBorder="1" applyAlignment="1">
      <alignment horizontal="right" wrapText="1"/>
    </xf>
    <xf numFmtId="3" fontId="40" fillId="0" borderId="36" xfId="31" applyNumberFormat="1" applyFont="1" applyFill="1" applyBorder="1" applyAlignment="1">
      <alignment horizontal="right"/>
    </xf>
    <xf numFmtId="0" fontId="11" fillId="0" borderId="0" xfId="0" applyFont="1" applyFill="1" applyAlignment="1">
      <alignment horizontal="center" vertical="center"/>
    </xf>
    <xf numFmtId="0" fontId="11" fillId="0" borderId="0" xfId="0" applyFont="1" applyAlignment="1">
      <alignment horizontal="left"/>
    </xf>
    <xf numFmtId="3" fontId="11" fillId="0" borderId="0" xfId="0" applyNumberFormat="1" applyFont="1" applyFill="1" applyAlignment="1">
      <alignment horizontal="left" vertical="center"/>
    </xf>
    <xf numFmtId="0" fontId="11" fillId="0" borderId="0" xfId="32" applyFont="1" applyFill="1" applyBorder="1" applyAlignment="1">
      <alignment horizontal="left"/>
    </xf>
    <xf numFmtId="3" fontId="11" fillId="0" borderId="0" xfId="0" applyNumberFormat="1" applyFont="1" applyFill="1" applyAlignment="1">
      <alignment horizontal="center" vertical="center"/>
    </xf>
    <xf numFmtId="0" fontId="11" fillId="0" borderId="0" xfId="49" applyFont="1" applyFill="1" applyBorder="1" applyAlignment="1">
      <alignment horizontal="center" vertical="center"/>
    </xf>
    <xf numFmtId="0" fontId="11" fillId="0" borderId="0" xfId="32" applyFont="1" applyFill="1" applyBorder="1" applyAlignment="1">
      <alignment vertical="center"/>
    </xf>
    <xf numFmtId="0" fontId="11" fillId="0" borderId="0" xfId="32" applyFont="1" applyFill="1" applyBorder="1" applyAlignment="1">
      <alignment horizontal="center" vertical="center"/>
    </xf>
    <xf numFmtId="3" fontId="11" fillId="0" borderId="0" xfId="22" applyNumberFormat="1" applyFont="1" applyAlignment="1">
      <alignment horizontal="center" vertical="center"/>
    </xf>
    <xf numFmtId="3" fontId="11" fillId="0" borderId="0" xfId="0" applyNumberFormat="1" applyFont="1" applyFill="1" applyAlignment="1">
      <alignment horizontal="left"/>
    </xf>
    <xf numFmtId="3" fontId="11" fillId="0" borderId="0" xfId="0" applyNumberFormat="1" applyFont="1" applyAlignment="1">
      <alignment horizontal="left"/>
    </xf>
    <xf numFmtId="0" fontId="11" fillId="0" borderId="0" xfId="32" applyFont="1" applyFill="1" applyBorder="1" applyAlignment="1" applyProtection="1">
      <alignment horizontal="left"/>
      <protection locked="0"/>
    </xf>
    <xf numFmtId="3" fontId="11" fillId="0" borderId="0" xfId="18" applyNumberFormat="1" applyFont="1" applyFill="1" applyAlignment="1"/>
    <xf numFmtId="0" fontId="11" fillId="0" borderId="0" xfId="0" applyFont="1" applyBorder="1" applyAlignment="1">
      <alignment horizontal="left"/>
    </xf>
    <xf numFmtId="0" fontId="19" fillId="0" borderId="0" xfId="0" applyFont="1" applyFill="1" applyAlignment="1">
      <alignment horizontal="center" vertical="top"/>
    </xf>
    <xf numFmtId="0" fontId="19" fillId="0" borderId="0" xfId="0" applyFont="1" applyFill="1" applyAlignment="1">
      <alignment vertical="top"/>
    </xf>
    <xf numFmtId="0" fontId="19" fillId="0" borderId="0" xfId="0" applyFont="1" applyFill="1" applyAlignment="1">
      <alignment wrapText="1"/>
    </xf>
    <xf numFmtId="3" fontId="22" fillId="0" borderId="204" xfId="21" applyNumberFormat="1" applyFont="1" applyFill="1" applyBorder="1" applyAlignment="1">
      <alignment horizontal="right" vertical="center" wrapText="1"/>
    </xf>
    <xf numFmtId="0" fontId="11" fillId="0" borderId="0" xfId="32" applyFont="1" applyFill="1" applyBorder="1" applyAlignment="1">
      <alignment horizontal="left"/>
    </xf>
    <xf numFmtId="0" fontId="14" fillId="0" borderId="0" xfId="0" applyFont="1" applyFill="1" applyBorder="1" applyAlignment="1">
      <alignment horizontal="left" wrapText="1" indent="1"/>
    </xf>
    <xf numFmtId="3" fontId="22" fillId="0" borderId="0" xfId="31" applyNumberFormat="1" applyFont="1" applyFill="1" applyBorder="1" applyAlignment="1" applyProtection="1">
      <alignment horizontal="right" vertical="center"/>
      <protection locked="0"/>
    </xf>
    <xf numFmtId="0" fontId="14" fillId="0" borderId="0" xfId="0" applyFont="1" applyFill="1" applyAlignment="1">
      <alignment horizontal="left" wrapText="1" indent="2" shrinkToFit="1"/>
    </xf>
    <xf numFmtId="3" fontId="11" fillId="0" borderId="247" xfId="22" applyNumberFormat="1" applyFont="1" applyBorder="1" applyAlignment="1">
      <alignment horizontal="center" vertical="center" wrapText="1"/>
    </xf>
    <xf numFmtId="3" fontId="11" fillId="0" borderId="45" xfId="22" applyNumberFormat="1" applyFont="1" applyBorder="1" applyAlignment="1">
      <alignment horizontal="left" vertical="center" wrapText="1"/>
    </xf>
    <xf numFmtId="14" fontId="11" fillId="0" borderId="206" xfId="22" applyNumberFormat="1" applyFont="1" applyBorder="1" applyAlignment="1">
      <alignment horizontal="center" vertical="center" wrapText="1"/>
    </xf>
    <xf numFmtId="3" fontId="11" fillId="0" borderId="248" xfId="22" applyNumberFormat="1" applyFont="1" applyBorder="1" applyAlignment="1">
      <alignment horizontal="right" vertical="center" wrapText="1"/>
    </xf>
    <xf numFmtId="3" fontId="11" fillId="0" borderId="21" xfId="22" applyNumberFormat="1" applyFont="1" applyBorder="1" applyAlignment="1">
      <alignment horizontal="right" vertical="center" wrapText="1"/>
    </xf>
    <xf numFmtId="3" fontId="11" fillId="0" borderId="128" xfId="22" applyNumberFormat="1" applyFont="1" applyBorder="1" applyAlignment="1">
      <alignment horizontal="right" vertical="center" wrapText="1"/>
    </xf>
    <xf numFmtId="3" fontId="11" fillId="0" borderId="45" xfId="22" applyNumberFormat="1" applyFont="1" applyBorder="1" applyAlignment="1">
      <alignment horizontal="right" vertical="center" wrapText="1"/>
    </xf>
    <xf numFmtId="3" fontId="11" fillId="0" borderId="206" xfId="22" applyNumberFormat="1" applyFont="1" applyBorder="1" applyAlignment="1">
      <alignment horizontal="right" vertical="center" wrapText="1"/>
    </xf>
    <xf numFmtId="3" fontId="11" fillId="0" borderId="46" xfId="22" applyNumberFormat="1" applyFont="1" applyBorder="1" applyAlignment="1">
      <alignment horizontal="right" vertical="center" wrapText="1"/>
    </xf>
    <xf numFmtId="3" fontId="11" fillId="0" borderId="249" xfId="22" applyNumberFormat="1" applyFont="1" applyBorder="1" applyAlignment="1">
      <alignment horizontal="right" vertical="center" wrapText="1"/>
    </xf>
    <xf numFmtId="3" fontId="11" fillId="0" borderId="48" xfId="22" applyNumberFormat="1" applyFont="1" applyBorder="1" applyAlignment="1">
      <alignment horizontal="right" vertical="center" wrapText="1"/>
    </xf>
    <xf numFmtId="3" fontId="11" fillId="0" borderId="50" xfId="22" applyNumberFormat="1" applyFont="1" applyBorder="1" applyAlignment="1">
      <alignment horizontal="center" vertical="center" wrapText="1"/>
    </xf>
    <xf numFmtId="3" fontId="11" fillId="0" borderId="47" xfId="22" applyNumberFormat="1" applyFont="1" applyBorder="1" applyAlignment="1">
      <alignment horizontal="center" vertical="center" wrapText="1"/>
    </xf>
    <xf numFmtId="3" fontId="11" fillId="0" borderId="48" xfId="22" applyNumberFormat="1" applyFont="1" applyBorder="1" applyAlignment="1">
      <alignment horizontal="center" vertical="center" wrapText="1"/>
    </xf>
    <xf numFmtId="3" fontId="22" fillId="0" borderId="45" xfId="21" applyNumberFormat="1" applyFont="1" applyFill="1" applyBorder="1" applyAlignment="1">
      <alignment horizontal="right" vertical="center" wrapText="1"/>
    </xf>
    <xf numFmtId="3" fontId="22" fillId="0" borderId="206" xfId="21" applyNumberFormat="1" applyFont="1" applyFill="1" applyBorder="1" applyAlignment="1">
      <alignment horizontal="right" vertical="center" wrapText="1"/>
    </xf>
    <xf numFmtId="0" fontId="13" fillId="0" borderId="4" xfId="31" applyFont="1" applyFill="1" applyBorder="1" applyAlignment="1">
      <alignment horizontal="center"/>
    </xf>
    <xf numFmtId="3" fontId="13" fillId="0" borderId="78" xfId="31" applyNumberFormat="1" applyFont="1" applyFill="1" applyBorder="1" applyAlignment="1">
      <alignment horizontal="right"/>
    </xf>
    <xf numFmtId="3" fontId="11" fillId="0" borderId="19" xfId="31" applyNumberFormat="1" applyFont="1" applyFill="1" applyBorder="1" applyAlignment="1">
      <alignment horizontal="right"/>
    </xf>
    <xf numFmtId="0" fontId="13" fillId="0" borderId="123" xfId="31" applyFont="1" applyFill="1" applyBorder="1" applyAlignment="1">
      <alignment horizontal="center"/>
    </xf>
    <xf numFmtId="3" fontId="11" fillId="0" borderId="36" xfId="31" applyNumberFormat="1" applyFont="1" applyFill="1" applyBorder="1" applyAlignment="1">
      <alignment horizontal="right"/>
    </xf>
    <xf numFmtId="3" fontId="13" fillId="0" borderId="114" xfId="31" applyNumberFormat="1" applyFont="1" applyFill="1" applyBorder="1" applyAlignment="1">
      <alignment horizontal="right"/>
    </xf>
    <xf numFmtId="0" fontId="55" fillId="0" borderId="23" xfId="31" applyFont="1" applyFill="1" applyBorder="1" applyAlignment="1">
      <alignment wrapText="1"/>
    </xf>
    <xf numFmtId="0" fontId="56" fillId="0" borderId="76" xfId="31" applyFont="1" applyFill="1" applyBorder="1" applyAlignment="1">
      <alignment wrapText="1"/>
    </xf>
    <xf numFmtId="3" fontId="11" fillId="0" borderId="75" xfId="31" applyNumberFormat="1" applyFont="1" applyFill="1" applyBorder="1" applyAlignment="1">
      <alignment horizontal="right"/>
    </xf>
    <xf numFmtId="0" fontId="11" fillId="0" borderId="75" xfId="31" applyFont="1" applyFill="1" applyBorder="1" applyAlignment="1">
      <alignment horizontal="center" vertical="top"/>
    </xf>
    <xf numFmtId="0" fontId="13" fillId="0" borderId="50" xfId="31" applyFont="1" applyFill="1" applyBorder="1" applyAlignment="1">
      <alignment horizontal="center"/>
    </xf>
    <xf numFmtId="0" fontId="24" fillId="0" borderId="24" xfId="31" applyFont="1" applyFill="1" applyBorder="1" applyAlignment="1" applyProtection="1">
      <alignment horizontal="left" wrapText="1"/>
      <protection locked="0"/>
    </xf>
    <xf numFmtId="3" fontId="22" fillId="0" borderId="51" xfId="18" applyNumberFormat="1" applyFont="1" applyFill="1" applyBorder="1" applyAlignment="1">
      <alignment wrapText="1"/>
    </xf>
    <xf numFmtId="3" fontId="13" fillId="0" borderId="45" xfId="21" applyNumberFormat="1" applyFont="1" applyFill="1" applyBorder="1" applyAlignment="1">
      <alignment horizontal="right" wrapText="1"/>
    </xf>
    <xf numFmtId="3" fontId="13" fillId="0" borderId="36" xfId="21" applyNumberFormat="1" applyFont="1" applyFill="1" applyBorder="1" applyAlignment="1">
      <alignment horizontal="right" wrapText="1"/>
    </xf>
    <xf numFmtId="3" fontId="11" fillId="0" borderId="186" xfId="31" applyNumberFormat="1" applyFont="1" applyFill="1" applyBorder="1" applyAlignment="1">
      <alignment horizontal="right"/>
    </xf>
    <xf numFmtId="3" fontId="22" fillId="0" borderId="58" xfId="31" applyNumberFormat="1" applyFont="1" applyFill="1" applyBorder="1" applyAlignment="1">
      <alignment horizontal="right" vertical="center"/>
    </xf>
    <xf numFmtId="3" fontId="21" fillId="0" borderId="45" xfId="21" applyNumberFormat="1" applyFont="1" applyFill="1" applyBorder="1" applyAlignment="1">
      <alignment horizontal="right" vertical="center" wrapText="1"/>
    </xf>
    <xf numFmtId="0" fontId="22" fillId="0" borderId="21" xfId="31" applyFont="1" applyFill="1" applyBorder="1" applyAlignment="1">
      <alignment horizontal="center" vertical="center" wrapText="1"/>
    </xf>
    <xf numFmtId="3" fontId="25" fillId="0" borderId="206" xfId="21" applyNumberFormat="1" applyFont="1" applyFill="1" applyBorder="1" applyAlignment="1">
      <alignment horizontal="right" vertical="center" wrapText="1"/>
    </xf>
    <xf numFmtId="0" fontId="26" fillId="0" borderId="0" xfId="33" applyFont="1" applyFill="1" applyBorder="1" applyAlignment="1">
      <alignment horizontal="right" vertical="center" wrapText="1"/>
    </xf>
    <xf numFmtId="3" fontId="26" fillId="0" borderId="242" xfId="33" applyNumberFormat="1" applyFont="1" applyFill="1" applyBorder="1" applyAlignment="1">
      <alignment vertical="center"/>
    </xf>
    <xf numFmtId="3" fontId="11" fillId="0" borderId="0" xfId="17" applyNumberFormat="1" applyFont="1" applyFill="1" applyAlignment="1">
      <alignment horizontal="left"/>
    </xf>
    <xf numFmtId="3" fontId="11" fillId="0" borderId="0" xfId="18" applyNumberFormat="1" applyFont="1" applyFill="1" applyAlignment="1">
      <alignment horizontal="left"/>
    </xf>
    <xf numFmtId="3" fontId="13" fillId="0" borderId="0" xfId="18" applyNumberFormat="1" applyFont="1" applyFill="1" applyAlignment="1">
      <alignment horizontal="center"/>
    </xf>
    <xf numFmtId="3" fontId="13" fillId="0" borderId="0" xfId="18" applyNumberFormat="1" applyFont="1" applyFill="1" applyAlignment="1">
      <alignment horizontal="center" vertical="center"/>
    </xf>
    <xf numFmtId="0" fontId="11" fillId="0" borderId="0" xfId="32" applyFont="1" applyFill="1" applyBorder="1" applyAlignment="1">
      <alignment horizontal="left"/>
    </xf>
    <xf numFmtId="0" fontId="11" fillId="0" borderId="0" xfId="0" applyFont="1" applyFill="1" applyBorder="1" applyAlignment="1">
      <alignment horizontal="left" vertical="center"/>
    </xf>
    <xf numFmtId="3" fontId="11" fillId="0" borderId="10" xfId="33" applyNumberFormat="1" applyFont="1" applyFill="1" applyBorder="1"/>
    <xf numFmtId="3" fontId="11" fillId="0" borderId="0" xfId="28" applyNumberFormat="1" applyFont="1" applyFill="1" applyBorder="1" applyAlignment="1">
      <alignment vertical="top" wrapText="1"/>
    </xf>
    <xf numFmtId="0" fontId="11" fillId="0" borderId="250" xfId="0" applyFont="1" applyFill="1" applyBorder="1" applyAlignment="1">
      <alignment vertical="center"/>
    </xf>
    <xf numFmtId="0" fontId="26" fillId="0" borderId="250" xfId="0" applyFont="1" applyFill="1" applyBorder="1" applyAlignment="1">
      <alignment horizontal="right" vertical="center" wrapText="1"/>
    </xf>
    <xf numFmtId="3" fontId="26" fillId="0" borderId="250" xfId="0" applyNumberFormat="1" applyFont="1" applyFill="1" applyBorder="1" applyAlignment="1">
      <alignment vertical="center"/>
    </xf>
    <xf numFmtId="3" fontId="14" fillId="0" borderId="45" xfId="31" applyNumberFormat="1" applyFont="1" applyFill="1" applyBorder="1" applyAlignment="1">
      <alignment horizontal="right"/>
    </xf>
    <xf numFmtId="0" fontId="13" fillId="0" borderId="17" xfId="21" applyFont="1" applyFill="1" applyBorder="1" applyAlignment="1">
      <alignment wrapText="1"/>
    </xf>
    <xf numFmtId="3" fontId="13" fillId="0" borderId="217" xfId="31" applyNumberFormat="1" applyFont="1" applyFill="1" applyBorder="1" applyAlignment="1">
      <alignment horizontal="right"/>
    </xf>
    <xf numFmtId="0" fontId="13" fillId="0" borderId="24" xfId="21" applyFont="1" applyFill="1" applyBorder="1" applyAlignment="1">
      <alignment wrapText="1"/>
    </xf>
    <xf numFmtId="3" fontId="26" fillId="0" borderId="186" xfId="31" applyNumberFormat="1" applyFont="1" applyFill="1" applyBorder="1" applyAlignment="1">
      <alignment horizontal="right"/>
    </xf>
    <xf numFmtId="0" fontId="63" fillId="0" borderId="17" xfId="31" applyFont="1" applyFill="1" applyBorder="1" applyAlignment="1">
      <alignment wrapText="1"/>
    </xf>
    <xf numFmtId="3" fontId="11" fillId="0" borderId="170" xfId="31" applyNumberFormat="1" applyFont="1" applyFill="1" applyBorder="1" applyAlignment="1">
      <alignment horizontal="right"/>
    </xf>
    <xf numFmtId="3" fontId="13" fillId="0" borderId="128" xfId="31" applyNumberFormat="1" applyFont="1" applyFill="1" applyBorder="1" applyAlignment="1">
      <alignment horizontal="right"/>
    </xf>
    <xf numFmtId="3" fontId="13" fillId="0" borderId="206" xfId="31" applyNumberFormat="1" applyFont="1" applyFill="1" applyBorder="1" applyAlignment="1">
      <alignment horizontal="right"/>
    </xf>
    <xf numFmtId="3" fontId="11" fillId="0" borderId="244" xfId="31" applyNumberFormat="1" applyFont="1" applyFill="1" applyBorder="1" applyAlignment="1">
      <alignment horizontal="right"/>
    </xf>
    <xf numFmtId="3" fontId="11" fillId="0" borderId="9" xfId="31" applyNumberFormat="1" applyFont="1" applyFill="1" applyBorder="1" applyAlignment="1">
      <alignment horizontal="right"/>
    </xf>
    <xf numFmtId="3" fontId="13" fillId="0" borderId="251" xfId="31" applyNumberFormat="1" applyFont="1" applyFill="1" applyBorder="1" applyAlignment="1">
      <alignment horizontal="right"/>
    </xf>
    <xf numFmtId="3" fontId="11" fillId="0" borderId="231" xfId="31" applyNumberFormat="1" applyFont="1" applyFill="1" applyBorder="1" applyAlignment="1">
      <alignment horizontal="right"/>
    </xf>
    <xf numFmtId="3" fontId="11" fillId="0" borderId="6" xfId="31" applyNumberFormat="1" applyFont="1" applyFill="1" applyBorder="1" applyAlignment="1">
      <alignment horizontal="right"/>
    </xf>
    <xf numFmtId="0" fontId="11" fillId="0" borderId="252" xfId="31" applyFont="1" applyFill="1" applyBorder="1" applyAlignment="1">
      <alignment horizontal="center" wrapText="1"/>
    </xf>
    <xf numFmtId="3" fontId="13" fillId="0" borderId="148" xfId="31" applyNumberFormat="1" applyFont="1" applyFill="1" applyBorder="1" applyAlignment="1">
      <alignment horizontal="right"/>
    </xf>
    <xf numFmtId="3" fontId="13" fillId="0" borderId="253" xfId="31" applyNumberFormat="1" applyFont="1" applyFill="1" applyBorder="1" applyAlignment="1">
      <alignment horizontal="right"/>
    </xf>
    <xf numFmtId="3" fontId="11" fillId="0" borderId="20" xfId="31" applyNumberFormat="1" applyFont="1" applyFill="1" applyBorder="1" applyAlignment="1">
      <alignment horizontal="right"/>
    </xf>
    <xf numFmtId="0" fontId="35" fillId="0" borderId="17" xfId="21" applyFont="1" applyFill="1" applyBorder="1" applyAlignment="1">
      <alignment horizontal="left"/>
    </xf>
    <xf numFmtId="0" fontId="26" fillId="0" borderId="0" xfId="0" applyFont="1" applyFill="1" applyAlignment="1">
      <alignment horizontal="left" wrapText="1"/>
    </xf>
    <xf numFmtId="3" fontId="40" fillId="0" borderId="36" xfId="18" applyNumberFormat="1" applyFont="1" applyFill="1" applyBorder="1" applyAlignment="1">
      <alignment horizontal="left" wrapText="1"/>
    </xf>
    <xf numFmtId="3" fontId="40" fillId="0" borderId="221" xfId="18" applyNumberFormat="1" applyFont="1" applyFill="1" applyBorder="1" applyAlignment="1">
      <alignment horizontal="left" wrapText="1"/>
    </xf>
    <xf numFmtId="3" fontId="19" fillId="0" borderId="200" xfId="31" applyNumberFormat="1" applyFont="1" applyFill="1" applyBorder="1" applyAlignment="1">
      <alignment horizontal="center" vertical="center" wrapText="1"/>
    </xf>
    <xf numFmtId="3" fontId="21" fillId="0" borderId="230" xfId="0" applyNumberFormat="1" applyFont="1" applyFill="1" applyBorder="1" applyAlignment="1">
      <alignment vertical="center"/>
    </xf>
    <xf numFmtId="3" fontId="19" fillId="0" borderId="46" xfId="0" applyNumberFormat="1" applyFont="1" applyFill="1" applyBorder="1" applyAlignment="1">
      <alignment horizontal="right" wrapText="1"/>
    </xf>
    <xf numFmtId="0" fontId="13" fillId="0" borderId="247" xfId="31" applyFont="1" applyFill="1" applyBorder="1" applyAlignment="1">
      <alignment horizontal="center"/>
    </xf>
    <xf numFmtId="3" fontId="13" fillId="0" borderId="170" xfId="21" applyNumberFormat="1" applyFont="1" applyFill="1" applyBorder="1" applyAlignment="1">
      <alignment horizontal="right" wrapText="1"/>
    </xf>
    <xf numFmtId="3" fontId="21" fillId="0" borderId="26" xfId="18" applyNumberFormat="1" applyFont="1" applyFill="1" applyBorder="1" applyAlignment="1">
      <alignment wrapText="1"/>
    </xf>
    <xf numFmtId="3" fontId="22" fillId="0" borderId="26" xfId="18" applyNumberFormat="1" applyFont="1" applyFill="1" applyBorder="1" applyAlignment="1">
      <alignment wrapText="1"/>
    </xf>
    <xf numFmtId="3" fontId="14" fillId="0" borderId="128" xfId="21" applyNumberFormat="1" applyFont="1" applyFill="1" applyBorder="1" applyAlignment="1">
      <alignment horizontal="right" wrapText="1"/>
    </xf>
    <xf numFmtId="3" fontId="26" fillId="0" borderId="170" xfId="21" applyNumberFormat="1" applyFont="1" applyFill="1" applyBorder="1" applyAlignment="1">
      <alignment horizontal="right" wrapText="1"/>
    </xf>
    <xf numFmtId="49" fontId="11" fillId="0" borderId="0" xfId="0" applyNumberFormat="1" applyFont="1" applyFill="1" applyAlignment="1"/>
    <xf numFmtId="49" fontId="11" fillId="0" borderId="0" xfId="0" applyNumberFormat="1" applyFont="1" applyFill="1" applyBorder="1" applyAlignment="1">
      <alignment horizontal="left"/>
    </xf>
    <xf numFmtId="0" fontId="11" fillId="0" borderId="0" xfId="0" applyFont="1" applyAlignment="1">
      <alignment horizontal="left" vertical="center"/>
    </xf>
    <xf numFmtId="3" fontId="11" fillId="0" borderId="0" xfId="20" applyNumberFormat="1" applyFont="1" applyAlignment="1">
      <alignment horizontal="right" vertical="center"/>
    </xf>
    <xf numFmtId="3" fontId="13" fillId="0" borderId="29" xfId="22" applyNumberFormat="1" applyFont="1" applyBorder="1" applyAlignment="1">
      <alignment horizontal="right" vertical="center"/>
    </xf>
    <xf numFmtId="3" fontId="22" fillId="0" borderId="36" xfId="28" applyNumberFormat="1" applyFont="1" applyFill="1" applyBorder="1" applyAlignment="1">
      <alignment horizontal="left"/>
    </xf>
    <xf numFmtId="3" fontId="21" fillId="0" borderId="36" xfId="28" applyNumberFormat="1" applyFont="1" applyFill="1" applyBorder="1" applyAlignment="1">
      <alignment horizontal="left"/>
    </xf>
    <xf numFmtId="3" fontId="22" fillId="0" borderId="26" xfId="21" applyNumberFormat="1" applyFont="1" applyFill="1" applyBorder="1" applyAlignment="1">
      <alignment horizontal="right" vertical="center" wrapText="1"/>
    </xf>
    <xf numFmtId="3" fontId="22" fillId="0" borderId="186" xfId="21" applyNumberFormat="1" applyFont="1" applyFill="1" applyBorder="1" applyAlignment="1">
      <alignment horizontal="right" wrapText="1"/>
    </xf>
    <xf numFmtId="0" fontId="11" fillId="0" borderId="51" xfId="31" applyFont="1" applyFill="1" applyBorder="1" applyAlignment="1">
      <alignment horizontal="center" vertical="top"/>
    </xf>
    <xf numFmtId="3" fontId="22" fillId="0" borderId="48" xfId="18" applyNumberFormat="1" applyFont="1" applyFill="1" applyBorder="1" applyAlignment="1">
      <alignment wrapText="1"/>
    </xf>
    <xf numFmtId="0" fontId="14" fillId="0" borderId="0" xfId="0" applyFont="1" applyFill="1" applyAlignment="1">
      <alignment horizontal="left" vertical="top" wrapText="1" indent="2" shrinkToFit="1"/>
    </xf>
    <xf numFmtId="0" fontId="64" fillId="0" borderId="0" xfId="0" applyFont="1" applyFill="1" applyAlignment="1">
      <alignment shrinkToFit="1"/>
    </xf>
    <xf numFmtId="0" fontId="11" fillId="0" borderId="0" xfId="0" applyFont="1" applyFill="1" applyAlignment="1">
      <alignment wrapText="1" shrinkToFit="1"/>
    </xf>
    <xf numFmtId="0" fontId="14" fillId="0" borderId="17" xfId="0" applyFont="1" applyFill="1" applyBorder="1" applyAlignment="1">
      <alignment horizontal="left" wrapText="1" indent="2" shrinkToFit="1"/>
    </xf>
    <xf numFmtId="49" fontId="59" fillId="0" borderId="0" xfId="0" applyNumberFormat="1" applyFont="1" applyFill="1" applyAlignment="1"/>
    <xf numFmtId="49" fontId="14" fillId="0" borderId="0" xfId="0" applyNumberFormat="1" applyFont="1" applyFill="1" applyAlignment="1">
      <alignment vertical="center"/>
    </xf>
    <xf numFmtId="49" fontId="11" fillId="0" borderId="0" xfId="0" applyNumberFormat="1" applyFont="1" applyFill="1" applyBorder="1"/>
    <xf numFmtId="49" fontId="13" fillId="0" borderId="0" xfId="0" applyNumberFormat="1" applyFont="1" applyFill="1" applyAlignment="1"/>
    <xf numFmtId="0" fontId="38" fillId="0" borderId="0" xfId="0" applyFont="1" applyFill="1" applyAlignment="1">
      <alignment vertical="top"/>
    </xf>
    <xf numFmtId="49" fontId="38" fillId="0" borderId="0" xfId="0" applyNumberFormat="1" applyFont="1" applyFill="1" applyAlignment="1">
      <alignment vertical="top"/>
    </xf>
    <xf numFmtId="0" fontId="38" fillId="0" borderId="0" xfId="0" applyFont="1" applyFill="1" applyAlignment="1">
      <alignment horizontal="left" vertical="top" shrinkToFit="1"/>
    </xf>
    <xf numFmtId="3" fontId="38" fillId="0" borderId="0" xfId="0" applyNumberFormat="1" applyFont="1" applyFill="1" applyAlignment="1">
      <alignment vertical="top"/>
    </xf>
    <xf numFmtId="0" fontId="38" fillId="0" borderId="0" xfId="0" applyFont="1" applyFill="1" applyAlignment="1"/>
    <xf numFmtId="0" fontId="65" fillId="0" borderId="0" xfId="0" applyFont="1" applyFill="1" applyAlignment="1">
      <alignment vertical="top"/>
    </xf>
    <xf numFmtId="49" fontId="65" fillId="0" borderId="0" xfId="0" applyNumberFormat="1" applyFont="1" applyFill="1" applyAlignment="1">
      <alignment vertical="top"/>
    </xf>
    <xf numFmtId="0" fontId="65" fillId="0" borderId="0" xfId="0" applyFont="1" applyFill="1" applyAlignment="1">
      <alignment horizontal="left" vertical="top" shrinkToFit="1"/>
    </xf>
    <xf numFmtId="3" fontId="65" fillId="0" borderId="0" xfId="0" applyNumberFormat="1" applyFont="1" applyFill="1" applyAlignment="1">
      <alignment vertical="top"/>
    </xf>
    <xf numFmtId="49" fontId="38" fillId="0" borderId="0" xfId="0" applyNumberFormat="1" applyFont="1" applyFill="1" applyAlignment="1"/>
    <xf numFmtId="3" fontId="38" fillId="0" borderId="0" xfId="0" applyNumberFormat="1" applyFont="1" applyFill="1" applyAlignment="1"/>
    <xf numFmtId="3" fontId="38" fillId="0" borderId="0" xfId="28" applyNumberFormat="1" applyFont="1" applyFill="1" applyBorder="1" applyAlignment="1">
      <alignment vertical="top" wrapText="1"/>
    </xf>
    <xf numFmtId="3" fontId="62" fillId="0" borderId="0" xfId="28" applyNumberFormat="1" applyFont="1" applyFill="1" applyBorder="1" applyAlignment="1">
      <alignment wrapText="1"/>
    </xf>
    <xf numFmtId="3" fontId="21" fillId="0" borderId="0" xfId="0" applyNumberFormat="1" applyFont="1" applyFill="1" applyAlignment="1">
      <alignment horizontal="right"/>
    </xf>
    <xf numFmtId="0" fontId="19" fillId="0" borderId="17" xfId="31" applyFont="1" applyFill="1" applyBorder="1" applyAlignment="1" applyProtection="1">
      <alignment horizontal="center" vertical="top"/>
      <protection locked="0"/>
    </xf>
    <xf numFmtId="0" fontId="13" fillId="0" borderId="254" xfId="24" applyFont="1" applyFill="1" applyBorder="1" applyAlignment="1">
      <alignment horizontal="center" vertical="center"/>
    </xf>
    <xf numFmtId="3" fontId="13" fillId="0" borderId="55" xfId="27" applyNumberFormat="1" applyFont="1" applyFill="1" applyBorder="1" applyAlignment="1">
      <alignment vertical="center"/>
    </xf>
    <xf numFmtId="3" fontId="13" fillId="0" borderId="56" xfId="27" applyNumberFormat="1" applyFont="1" applyFill="1" applyBorder="1" applyAlignment="1">
      <alignment vertical="center"/>
    </xf>
    <xf numFmtId="3" fontId="11" fillId="0" borderId="0" xfId="21" applyNumberFormat="1" applyFont="1" applyFill="1" applyBorder="1" applyAlignment="1">
      <alignment wrapText="1"/>
    </xf>
    <xf numFmtId="0" fontId="11" fillId="0" borderId="0" xfId="21" applyFont="1" applyFill="1" applyBorder="1" applyAlignment="1">
      <alignment horizontal="left"/>
    </xf>
    <xf numFmtId="0" fontId="11" fillId="0" borderId="0" xfId="21" applyFont="1" applyFill="1" applyBorder="1" applyAlignment="1"/>
    <xf numFmtId="0" fontId="26" fillId="0" borderId="0" xfId="0" applyFont="1" applyFill="1" applyAlignment="1">
      <alignment horizontal="right" wrapText="1" shrinkToFit="1"/>
    </xf>
    <xf numFmtId="3" fontId="25" fillId="0" borderId="18" xfId="0" applyNumberFormat="1" applyFont="1" applyFill="1" applyBorder="1" applyAlignment="1"/>
    <xf numFmtId="3" fontId="26" fillId="0" borderId="10" xfId="0" applyNumberFormat="1" applyFont="1" applyFill="1" applyBorder="1" applyAlignment="1">
      <alignment vertical="top"/>
    </xf>
    <xf numFmtId="3" fontId="26" fillId="0" borderId="10" xfId="28" applyNumberFormat="1" applyFont="1" applyFill="1" applyBorder="1" applyAlignment="1">
      <alignment vertical="top" wrapText="1"/>
    </xf>
    <xf numFmtId="3" fontId="11" fillId="0" borderId="51" xfId="22" applyNumberFormat="1" applyFont="1" applyBorder="1" applyAlignment="1">
      <alignment horizontal="left" vertical="center" wrapText="1"/>
    </xf>
    <xf numFmtId="0" fontId="13" fillId="0" borderId="0" xfId="0" applyFont="1" applyFill="1" applyBorder="1" applyAlignment="1">
      <alignment horizontal="left" wrapText="1"/>
    </xf>
    <xf numFmtId="3" fontId="15" fillId="0" borderId="0" xfId="0" applyNumberFormat="1" applyFont="1" applyFill="1"/>
    <xf numFmtId="3" fontId="13" fillId="0" borderId="0" xfId="0" applyNumberFormat="1" applyFont="1" applyFill="1" applyAlignment="1">
      <alignment vertical="center"/>
    </xf>
    <xf numFmtId="0" fontId="13" fillId="0" borderId="0" xfId="0" applyFont="1" applyFill="1" applyAlignment="1">
      <alignment horizontal="center" vertical="center"/>
    </xf>
    <xf numFmtId="0" fontId="13" fillId="0" borderId="0" xfId="0" applyFont="1" applyFill="1" applyBorder="1" applyAlignment="1">
      <alignment horizontal="center" vertical="center"/>
    </xf>
    <xf numFmtId="0" fontId="13" fillId="0" borderId="0" xfId="0" applyFont="1" applyFill="1" applyAlignment="1">
      <alignment horizontal="left"/>
    </xf>
    <xf numFmtId="0" fontId="11" fillId="0" borderId="0" xfId="0" applyFont="1" applyAlignment="1">
      <alignment horizontal="left"/>
    </xf>
    <xf numFmtId="0" fontId="26" fillId="0" borderId="0" xfId="0" applyFont="1" applyFill="1" applyAlignment="1">
      <alignment vertical="top"/>
    </xf>
    <xf numFmtId="3" fontId="26" fillId="0" borderId="0" xfId="33" applyNumberFormat="1" applyFont="1" applyFill="1" applyBorder="1"/>
    <xf numFmtId="3" fontId="13" fillId="0" borderId="0" xfId="17" applyNumberFormat="1" applyFont="1" applyFill="1" applyBorder="1" applyAlignment="1">
      <alignment horizontal="center" vertical="center" wrapText="1"/>
    </xf>
    <xf numFmtId="3" fontId="13" fillId="0" borderId="0" xfId="31" applyNumberFormat="1" applyFont="1" applyFill="1" applyBorder="1" applyAlignment="1">
      <alignment horizontal="center" vertical="center" wrapText="1"/>
    </xf>
    <xf numFmtId="49" fontId="13" fillId="0" borderId="0" xfId="31" applyNumberFormat="1" applyFont="1" applyFill="1" applyBorder="1" applyAlignment="1">
      <alignment horizontal="left" vertical="center" wrapText="1"/>
    </xf>
    <xf numFmtId="3" fontId="13" fillId="0" borderId="0" xfId="31" applyNumberFormat="1" applyFont="1" applyFill="1" applyBorder="1" applyAlignment="1">
      <alignment horizontal="right" vertical="center" wrapText="1"/>
    </xf>
    <xf numFmtId="3" fontId="13" fillId="0" borderId="0" xfId="31" applyNumberFormat="1" applyFont="1" applyFill="1" applyBorder="1" applyAlignment="1">
      <alignment horizontal="left" vertical="center" wrapText="1"/>
    </xf>
    <xf numFmtId="3" fontId="13" fillId="0" borderId="0" xfId="31" applyNumberFormat="1" applyFont="1" applyFill="1" applyBorder="1" applyAlignment="1">
      <alignment vertical="center" wrapText="1"/>
    </xf>
    <xf numFmtId="0" fontId="13" fillId="0" borderId="0" xfId="0" applyFont="1" applyFill="1" applyBorder="1" applyAlignment="1">
      <alignment horizontal="center" vertical="center"/>
    </xf>
    <xf numFmtId="3" fontId="19" fillId="0" borderId="7" xfId="0" applyNumberFormat="1" applyFont="1" applyFill="1" applyBorder="1" applyAlignment="1">
      <alignment horizontal="center" vertical="center" wrapText="1"/>
    </xf>
    <xf numFmtId="3" fontId="19" fillId="0" borderId="23" xfId="28" applyNumberFormat="1" applyFont="1" applyFill="1" applyBorder="1" applyAlignment="1">
      <alignment horizontal="left"/>
    </xf>
    <xf numFmtId="3" fontId="19" fillId="0" borderId="114" xfId="28" applyNumberFormat="1" applyFont="1" applyFill="1" applyBorder="1" applyAlignment="1">
      <alignment horizontal="left"/>
    </xf>
    <xf numFmtId="3" fontId="19" fillId="0" borderId="141" xfId="0" applyNumberFormat="1" applyFont="1" applyFill="1" applyBorder="1" applyAlignment="1">
      <alignment horizontal="center" vertical="center" wrapText="1"/>
    </xf>
    <xf numFmtId="0" fontId="0" fillId="0" borderId="36" xfId="0" applyFill="1" applyBorder="1" applyAlignment="1">
      <alignment horizontal="left" wrapText="1"/>
    </xf>
    <xf numFmtId="0" fontId="0" fillId="0" borderId="221" xfId="0" applyFill="1" applyBorder="1" applyAlignment="1">
      <alignment horizontal="left" wrapText="1"/>
    </xf>
    <xf numFmtId="3" fontId="40" fillId="0" borderId="36" xfId="18" applyNumberFormat="1" applyFont="1" applyFill="1" applyBorder="1" applyAlignment="1">
      <alignment horizontal="left" wrapText="1"/>
    </xf>
    <xf numFmtId="3" fontId="40" fillId="0" borderId="221" xfId="18" applyNumberFormat="1" applyFont="1" applyFill="1" applyBorder="1" applyAlignment="1">
      <alignment horizontal="left" wrapText="1"/>
    </xf>
    <xf numFmtId="0" fontId="11" fillId="0" borderId="36" xfId="21" applyFont="1" applyFill="1" applyBorder="1" applyAlignment="1">
      <alignment horizontal="left" wrapText="1"/>
    </xf>
    <xf numFmtId="0" fontId="13" fillId="0" borderId="0" xfId="0" applyFont="1" applyFill="1" applyBorder="1" applyAlignment="1">
      <alignment horizontal="left" wrapText="1"/>
    </xf>
    <xf numFmtId="0" fontId="13" fillId="0" borderId="0" xfId="0" applyFont="1" applyFill="1" applyBorder="1" applyAlignment="1">
      <alignment horizontal="left"/>
    </xf>
    <xf numFmtId="3" fontId="22" fillId="0" borderId="234" xfId="0" applyNumberFormat="1" applyFont="1" applyFill="1" applyBorder="1" applyAlignment="1">
      <alignment vertical="center"/>
    </xf>
    <xf numFmtId="3" fontId="22" fillId="0" borderId="46" xfId="0" applyNumberFormat="1" applyFont="1" applyFill="1" applyBorder="1" applyAlignment="1">
      <alignment horizontal="right" wrapText="1"/>
    </xf>
    <xf numFmtId="0" fontId="11" fillId="0" borderId="17" xfId="21" applyFont="1" applyFill="1" applyBorder="1" applyAlignment="1">
      <alignment vertical="center" wrapText="1"/>
    </xf>
    <xf numFmtId="0" fontId="13" fillId="0" borderId="0" xfId="0" applyFont="1" applyFill="1" applyAlignment="1">
      <alignment horizontal="center"/>
    </xf>
    <xf numFmtId="0" fontId="11" fillId="0" borderId="0" xfId="0" applyFont="1" applyFill="1" applyAlignment="1">
      <alignment horizontal="center" vertical="center"/>
    </xf>
    <xf numFmtId="0" fontId="13" fillId="0" borderId="0" xfId="0" applyFont="1" applyFill="1" applyAlignment="1">
      <alignment horizontal="center" vertical="center"/>
    </xf>
    <xf numFmtId="0" fontId="13" fillId="0" borderId="0" xfId="0" applyFont="1" applyFill="1" applyBorder="1" applyAlignment="1">
      <alignment horizontal="center" vertical="center"/>
    </xf>
    <xf numFmtId="0" fontId="13" fillId="0" borderId="0" xfId="0" applyFont="1" applyFill="1" applyAlignment="1">
      <alignment horizontal="left"/>
    </xf>
    <xf numFmtId="0" fontId="11" fillId="0" borderId="0" xfId="0" applyFont="1" applyAlignment="1">
      <alignment horizontal="left"/>
    </xf>
    <xf numFmtId="0" fontId="13" fillId="0" borderId="0" xfId="0" applyFont="1" applyAlignment="1">
      <alignment horizontal="left" vertical="center"/>
    </xf>
    <xf numFmtId="3" fontId="11" fillId="0" borderId="0" xfId="20" applyNumberFormat="1" applyFont="1" applyAlignment="1">
      <alignment horizontal="right" vertical="center"/>
    </xf>
    <xf numFmtId="0" fontId="13" fillId="0" borderId="0" xfId="20" applyFont="1" applyAlignment="1">
      <alignment horizontal="center"/>
    </xf>
    <xf numFmtId="0" fontId="19" fillId="0" borderId="39" xfId="20" applyFont="1" applyFill="1" applyBorder="1" applyAlignment="1">
      <alignment horizontal="left" wrapText="1"/>
    </xf>
    <xf numFmtId="0" fontId="13" fillId="0" borderId="0" xfId="0" applyFont="1" applyAlignment="1">
      <alignment horizontal="center"/>
    </xf>
    <xf numFmtId="0" fontId="13" fillId="0" borderId="0" xfId="20" applyFont="1" applyAlignment="1">
      <alignment horizontal="center" vertical="center"/>
    </xf>
    <xf numFmtId="0" fontId="13" fillId="0" borderId="0" xfId="0" applyFont="1" applyAlignment="1">
      <alignment horizontal="center" vertical="center"/>
    </xf>
    <xf numFmtId="0" fontId="13" fillId="0" borderId="138" xfId="0" applyFont="1" applyBorder="1" applyAlignment="1">
      <alignment horizontal="center" vertical="center" wrapText="1"/>
    </xf>
    <xf numFmtId="0" fontId="13" fillId="0" borderId="139" xfId="0" applyFont="1" applyBorder="1" applyAlignment="1">
      <alignment horizontal="center" vertical="center" wrapText="1"/>
    </xf>
    <xf numFmtId="3" fontId="13" fillId="0" borderId="140" xfId="0" applyNumberFormat="1" applyFont="1" applyBorder="1" applyAlignment="1">
      <alignment horizontal="center" vertical="center"/>
    </xf>
    <xf numFmtId="3" fontId="13" fillId="0" borderId="141" xfId="0" applyNumberFormat="1" applyFont="1" applyBorder="1" applyAlignment="1">
      <alignment horizontal="center" vertical="center"/>
    </xf>
    <xf numFmtId="3" fontId="13" fillId="0" borderId="140" xfId="0" applyNumberFormat="1" applyFont="1" applyBorder="1" applyAlignment="1">
      <alignment horizontal="center" vertical="center" wrapText="1"/>
    </xf>
    <xf numFmtId="3" fontId="13" fillId="0" borderId="141" xfId="0" applyNumberFormat="1" applyFont="1" applyBorder="1" applyAlignment="1">
      <alignment horizontal="center" vertical="center" wrapText="1"/>
    </xf>
    <xf numFmtId="3" fontId="13" fillId="0" borderId="0" xfId="17" applyNumberFormat="1" applyFont="1" applyFill="1" applyAlignment="1">
      <alignment horizontal="center" vertical="center"/>
    </xf>
    <xf numFmtId="49" fontId="13" fillId="0" borderId="0" xfId="17" applyNumberFormat="1" applyFont="1" applyFill="1" applyAlignment="1">
      <alignment horizontal="left"/>
    </xf>
    <xf numFmtId="3" fontId="11" fillId="0" borderId="0" xfId="17" applyNumberFormat="1" applyFont="1" applyFill="1" applyAlignment="1">
      <alignment horizontal="left"/>
    </xf>
    <xf numFmtId="3" fontId="13" fillId="0" borderId="0" xfId="0" applyNumberFormat="1" applyFont="1" applyFill="1" applyAlignment="1">
      <alignment horizontal="left"/>
    </xf>
    <xf numFmtId="3" fontId="11" fillId="0" borderId="0" xfId="0" applyNumberFormat="1" applyFont="1" applyFill="1" applyAlignment="1">
      <alignment horizontal="left"/>
    </xf>
    <xf numFmtId="3" fontId="13" fillId="0" borderId="0" xfId="0" applyNumberFormat="1" applyFont="1" applyFill="1" applyAlignment="1">
      <alignment horizontal="center" vertical="center"/>
    </xf>
    <xf numFmtId="3" fontId="21" fillId="0" borderId="0" xfId="0" applyNumberFormat="1" applyFont="1" applyFill="1" applyAlignment="1">
      <alignment horizontal="right" vertical="center"/>
    </xf>
    <xf numFmtId="3" fontId="15" fillId="0" borderId="6" xfId="0" applyNumberFormat="1" applyFont="1" applyFill="1" applyBorder="1" applyAlignment="1">
      <alignment horizontal="center" vertical="center"/>
    </xf>
    <xf numFmtId="3" fontId="19" fillId="0" borderId="142" xfId="0" applyNumberFormat="1" applyFont="1" applyFill="1" applyBorder="1" applyAlignment="1">
      <alignment horizontal="center" vertical="center" wrapText="1"/>
    </xf>
    <xf numFmtId="3" fontId="22" fillId="0" borderId="30" xfId="0" applyNumberFormat="1" applyFont="1" applyFill="1" applyBorder="1" applyAlignment="1">
      <alignment horizontal="center" vertical="center" wrapText="1"/>
    </xf>
    <xf numFmtId="3" fontId="22" fillId="0" borderId="31" xfId="0" applyNumberFormat="1" applyFont="1" applyFill="1" applyBorder="1" applyAlignment="1">
      <alignment horizontal="center" vertical="center" wrapText="1"/>
    </xf>
    <xf numFmtId="3" fontId="19" fillId="0" borderId="23" xfId="28" applyNumberFormat="1" applyFont="1" applyFill="1" applyBorder="1" applyAlignment="1">
      <alignment horizontal="left"/>
    </xf>
    <xf numFmtId="3" fontId="19" fillId="0" borderId="114" xfId="28" applyNumberFormat="1" applyFont="1" applyFill="1" applyBorder="1" applyAlignment="1">
      <alignment horizontal="left"/>
    </xf>
    <xf numFmtId="3" fontId="25" fillId="0" borderId="113" xfId="0" applyNumberFormat="1" applyFont="1" applyFill="1" applyBorder="1" applyAlignment="1">
      <alignment horizontal="left" vertical="center"/>
    </xf>
    <xf numFmtId="3" fontId="25" fillId="0" borderId="189" xfId="0" applyNumberFormat="1" applyFont="1" applyFill="1" applyBorder="1" applyAlignment="1">
      <alignment horizontal="left" vertical="center"/>
    </xf>
    <xf numFmtId="3" fontId="25" fillId="0" borderId="116" xfId="0" applyNumberFormat="1" applyFont="1" applyFill="1" applyBorder="1" applyAlignment="1">
      <alignment horizontal="left" vertical="center"/>
    </xf>
    <xf numFmtId="3" fontId="19" fillId="0" borderId="23" xfId="28" applyNumberFormat="1" applyFont="1" applyFill="1" applyBorder="1" applyAlignment="1">
      <alignment horizontal="left" wrapText="1"/>
    </xf>
    <xf numFmtId="3" fontId="19" fillId="0" borderId="114" xfId="28" applyNumberFormat="1" applyFont="1" applyFill="1" applyBorder="1" applyAlignment="1">
      <alignment horizontal="left" wrapText="1"/>
    </xf>
    <xf numFmtId="3" fontId="22" fillId="0" borderId="172" xfId="0" applyNumberFormat="1" applyFont="1" applyFill="1" applyBorder="1" applyAlignment="1">
      <alignment horizontal="center" vertical="center"/>
    </xf>
    <xf numFmtId="3" fontId="22" fillId="0" borderId="169" xfId="0" applyNumberFormat="1" applyFont="1" applyFill="1" applyBorder="1" applyAlignment="1">
      <alignment horizontal="center" vertical="center"/>
    </xf>
    <xf numFmtId="3" fontId="22" fillId="0" borderId="127" xfId="0" applyNumberFormat="1" applyFont="1" applyFill="1" applyBorder="1" applyAlignment="1">
      <alignment horizontal="center" vertical="center"/>
    </xf>
    <xf numFmtId="3" fontId="22" fillId="0" borderId="172" xfId="28" applyNumberFormat="1" applyFont="1" applyFill="1" applyBorder="1" applyAlignment="1">
      <alignment horizontal="center" vertical="center"/>
    </xf>
    <xf numFmtId="3" fontId="22" fillId="0" borderId="169" xfId="28" applyNumberFormat="1" applyFont="1" applyFill="1" applyBorder="1" applyAlignment="1">
      <alignment horizontal="center" vertical="center"/>
    </xf>
    <xf numFmtId="3" fontId="22" fillId="0" borderId="127" xfId="28" applyNumberFormat="1" applyFont="1" applyFill="1" applyBorder="1" applyAlignment="1">
      <alignment horizontal="center" vertical="center"/>
    </xf>
    <xf numFmtId="3" fontId="19" fillId="0" borderId="7" xfId="0" applyNumberFormat="1" applyFont="1" applyFill="1" applyBorder="1" applyAlignment="1">
      <alignment horizontal="center" vertical="center" wrapText="1"/>
    </xf>
    <xf numFmtId="3" fontId="19" fillId="0" borderId="138" xfId="0" applyNumberFormat="1" applyFont="1" applyFill="1" applyBorder="1" applyAlignment="1">
      <alignment horizontal="center" vertical="center" textRotation="90"/>
    </xf>
    <xf numFmtId="3" fontId="19" fillId="0" borderId="139" xfId="0" applyNumberFormat="1" applyFont="1" applyFill="1" applyBorder="1" applyAlignment="1">
      <alignment horizontal="center" vertical="center" textRotation="90"/>
    </xf>
    <xf numFmtId="3" fontId="19" fillId="0" borderId="144" xfId="0" applyNumberFormat="1" applyFont="1" applyFill="1" applyBorder="1" applyAlignment="1">
      <alignment horizontal="center" vertical="center" textRotation="90"/>
    </xf>
    <xf numFmtId="0" fontId="0" fillId="0" borderId="106" xfId="0" applyFont="1" applyFill="1" applyBorder="1" applyAlignment="1">
      <alignment horizontal="center" vertical="center"/>
    </xf>
    <xf numFmtId="3" fontId="22" fillId="0" borderId="144" xfId="0" applyNumberFormat="1" applyFont="1" applyFill="1" applyBorder="1" applyAlignment="1">
      <alignment horizontal="center" vertical="center"/>
    </xf>
    <xf numFmtId="3" fontId="22" fillId="0" borderId="111" xfId="0" applyNumberFormat="1" applyFont="1" applyFill="1" applyBorder="1" applyAlignment="1">
      <alignment horizontal="center" vertical="center"/>
    </xf>
    <xf numFmtId="3" fontId="22" fillId="0" borderId="106" xfId="0" applyNumberFormat="1" applyFont="1" applyFill="1" applyBorder="1" applyAlignment="1">
      <alignment horizontal="center" vertical="center"/>
    </xf>
    <xf numFmtId="3" fontId="22" fillId="0" borderId="20" xfId="0" applyNumberFormat="1" applyFont="1" applyFill="1" applyBorder="1" applyAlignment="1">
      <alignment horizontal="center" vertical="center"/>
    </xf>
    <xf numFmtId="3" fontId="19" fillId="0" borderId="142" xfId="0" applyNumberFormat="1" applyFont="1" applyFill="1" applyBorder="1" applyAlignment="1">
      <alignment horizontal="center" vertical="center"/>
    </xf>
    <xf numFmtId="3" fontId="13" fillId="0" borderId="0" xfId="0" applyNumberFormat="1" applyFont="1" applyAlignment="1">
      <alignment horizontal="left" wrapText="1"/>
    </xf>
    <xf numFmtId="3" fontId="11" fillId="0" borderId="0" xfId="0" applyNumberFormat="1" applyFont="1" applyAlignment="1">
      <alignment horizontal="left"/>
    </xf>
    <xf numFmtId="3" fontId="22" fillId="0" borderId="12" xfId="0" applyNumberFormat="1" applyFont="1" applyFill="1" applyBorder="1" applyAlignment="1">
      <alignment horizontal="center" vertical="center"/>
    </xf>
    <xf numFmtId="3" fontId="22" fillId="0" borderId="13" xfId="0" applyNumberFormat="1" applyFont="1" applyFill="1" applyBorder="1" applyAlignment="1">
      <alignment horizontal="center" vertical="center"/>
    </xf>
    <xf numFmtId="3" fontId="22" fillId="0" borderId="130" xfId="0" applyNumberFormat="1" applyFont="1" applyFill="1" applyBorder="1" applyAlignment="1">
      <alignment horizontal="center" vertical="center"/>
    </xf>
    <xf numFmtId="3" fontId="22" fillId="0" borderId="69" xfId="0" applyNumberFormat="1" applyFont="1" applyFill="1" applyBorder="1" applyAlignment="1">
      <alignment horizontal="center" vertical="center"/>
    </xf>
    <xf numFmtId="3" fontId="22" fillId="0" borderId="9" xfId="0" applyNumberFormat="1" applyFont="1" applyFill="1" applyBorder="1" applyAlignment="1">
      <alignment horizontal="center" vertical="center"/>
    </xf>
    <xf numFmtId="3" fontId="22" fillId="0" borderId="143" xfId="0" applyNumberFormat="1" applyFont="1" applyFill="1" applyBorder="1" applyAlignment="1">
      <alignment horizontal="center" vertical="center"/>
    </xf>
    <xf numFmtId="3" fontId="19" fillId="0" borderId="140" xfId="0" applyNumberFormat="1" applyFont="1" applyFill="1" applyBorder="1" applyAlignment="1">
      <alignment horizontal="center" vertical="center" textRotation="90"/>
    </xf>
    <xf numFmtId="0" fontId="0" fillId="0" borderId="141" xfId="0" applyFont="1" applyFill="1" applyBorder="1" applyAlignment="1">
      <alignment horizontal="center" vertical="center"/>
    </xf>
    <xf numFmtId="3" fontId="22" fillId="0" borderId="140" xfId="0" applyNumberFormat="1" applyFont="1" applyFill="1" applyBorder="1" applyAlignment="1">
      <alignment horizontal="center" vertical="center"/>
    </xf>
    <xf numFmtId="3" fontId="22" fillId="0" borderId="141" xfId="0" applyNumberFormat="1" applyFont="1" applyFill="1" applyBorder="1" applyAlignment="1">
      <alignment horizontal="center" vertical="center"/>
    </xf>
    <xf numFmtId="3" fontId="19" fillId="0" borderId="140" xfId="0" applyNumberFormat="1" applyFont="1" applyFill="1" applyBorder="1" applyAlignment="1">
      <alignment horizontal="center" vertical="center" wrapText="1"/>
    </xf>
    <xf numFmtId="3" fontId="19" fillId="0" borderId="141" xfId="0" applyNumberFormat="1" applyFont="1" applyFill="1" applyBorder="1" applyAlignment="1">
      <alignment horizontal="center" vertical="center" wrapText="1"/>
    </xf>
    <xf numFmtId="3" fontId="19" fillId="0" borderId="144" xfId="0" applyNumberFormat="1" applyFont="1" applyFill="1" applyBorder="1" applyAlignment="1">
      <alignment horizontal="center" vertical="center" wrapText="1"/>
    </xf>
    <xf numFmtId="3" fontId="19" fillId="0" borderId="106" xfId="0" applyNumberFormat="1" applyFont="1" applyFill="1" applyBorder="1" applyAlignment="1">
      <alignment horizontal="center" vertical="center" wrapText="1"/>
    </xf>
    <xf numFmtId="3" fontId="13" fillId="0" borderId="0" xfId="0" applyNumberFormat="1" applyFont="1" applyAlignment="1">
      <alignment horizontal="left"/>
    </xf>
    <xf numFmtId="3" fontId="19" fillId="0" borderId="110" xfId="0" applyNumberFormat="1" applyFont="1" applyFill="1" applyBorder="1" applyAlignment="1">
      <alignment horizontal="center" vertical="center"/>
    </xf>
    <xf numFmtId="3" fontId="19" fillId="0" borderId="39" xfId="0" applyNumberFormat="1" applyFont="1" applyFill="1" applyBorder="1" applyAlignment="1">
      <alignment horizontal="center" vertical="center"/>
    </xf>
    <xf numFmtId="3" fontId="19" fillId="0" borderId="111" xfId="0" applyNumberFormat="1" applyFont="1" applyFill="1" applyBorder="1" applyAlignment="1">
      <alignment horizontal="center" vertical="center"/>
    </xf>
    <xf numFmtId="3" fontId="19" fillId="0" borderId="142" xfId="17" applyNumberFormat="1" applyFont="1" applyFill="1" applyBorder="1" applyAlignment="1">
      <alignment horizontal="center" vertical="center" wrapText="1"/>
    </xf>
    <xf numFmtId="3" fontId="19" fillId="0" borderId="167" xfId="0" applyNumberFormat="1" applyFont="1" applyFill="1" applyBorder="1" applyAlignment="1">
      <alignment horizontal="center" vertical="center" wrapText="1"/>
    </xf>
    <xf numFmtId="3" fontId="19" fillId="0" borderId="168" xfId="0" applyNumberFormat="1" applyFont="1" applyFill="1" applyBorder="1" applyAlignment="1">
      <alignment horizontal="center" vertical="center" wrapText="1"/>
    </xf>
    <xf numFmtId="3" fontId="22" fillId="0" borderId="145" xfId="0" applyNumberFormat="1" applyFont="1" applyFill="1" applyBorder="1" applyAlignment="1">
      <alignment horizontal="center" vertical="center" wrapText="1"/>
    </xf>
    <xf numFmtId="3" fontId="22" fillId="0" borderId="109" xfId="0" applyNumberFormat="1" applyFont="1" applyFill="1" applyBorder="1" applyAlignment="1">
      <alignment horizontal="center" vertical="center" wrapText="1"/>
    </xf>
    <xf numFmtId="3" fontId="21" fillId="0" borderId="0" xfId="0" applyNumberFormat="1" applyFont="1" applyFill="1" applyAlignment="1">
      <alignment horizontal="right"/>
    </xf>
    <xf numFmtId="3" fontId="19" fillId="0" borderId="141" xfId="0" applyNumberFormat="1" applyFont="1" applyFill="1" applyBorder="1" applyAlignment="1">
      <alignment horizontal="center" vertical="center" textRotation="90"/>
    </xf>
    <xf numFmtId="3" fontId="22" fillId="0" borderId="174" xfId="0" applyNumberFormat="1" applyFont="1" applyFill="1" applyBorder="1" applyAlignment="1">
      <alignment horizontal="center" vertical="center"/>
    </xf>
    <xf numFmtId="3" fontId="22" fillId="0" borderId="175" xfId="0" applyNumberFormat="1" applyFont="1" applyFill="1" applyBorder="1" applyAlignment="1">
      <alignment horizontal="center" vertical="center"/>
    </xf>
    <xf numFmtId="3" fontId="19" fillId="0" borderId="140" xfId="0" applyNumberFormat="1" applyFont="1" applyFill="1" applyBorder="1" applyAlignment="1">
      <alignment horizontal="center" vertical="center" textRotation="90" wrapText="1"/>
    </xf>
    <xf numFmtId="0" fontId="0" fillId="0" borderId="141" xfId="0" applyFont="1" applyFill="1" applyBorder="1" applyAlignment="1">
      <alignment horizontal="center" vertical="center" textRotation="90" wrapText="1"/>
    </xf>
    <xf numFmtId="3" fontId="19" fillId="0" borderId="23" xfId="28" applyNumberFormat="1" applyFont="1" applyFill="1" applyBorder="1" applyAlignment="1">
      <alignment horizontal="left" vertical="top" wrapText="1"/>
    </xf>
    <xf numFmtId="3" fontId="19" fillId="0" borderId="114" xfId="28" applyNumberFormat="1" applyFont="1" applyFill="1" applyBorder="1" applyAlignment="1">
      <alignment horizontal="left" vertical="top" wrapText="1"/>
    </xf>
    <xf numFmtId="3" fontId="19" fillId="0" borderId="36" xfId="28" applyNumberFormat="1" applyFont="1" applyFill="1" applyBorder="1" applyAlignment="1">
      <alignment horizontal="left" wrapText="1"/>
    </xf>
    <xf numFmtId="3" fontId="11" fillId="0" borderId="23" xfId="22" applyNumberFormat="1" applyFont="1" applyBorder="1" applyAlignment="1">
      <alignment horizontal="left" vertical="center" wrapText="1"/>
    </xf>
    <xf numFmtId="3" fontId="11" fillId="0" borderId="36" xfId="22" applyNumberFormat="1" applyFont="1" applyBorder="1" applyAlignment="1">
      <alignment horizontal="left" vertical="center" wrapText="1"/>
    </xf>
    <xf numFmtId="3" fontId="11" fillId="0" borderId="114" xfId="22" applyNumberFormat="1" applyFont="1" applyBorder="1" applyAlignment="1">
      <alignment horizontal="left" vertical="center" wrapText="1"/>
    </xf>
    <xf numFmtId="3" fontId="25" fillId="0" borderId="113" xfId="28" applyNumberFormat="1" applyFont="1" applyFill="1" applyBorder="1" applyAlignment="1">
      <alignment horizontal="left" vertical="center"/>
    </xf>
    <xf numFmtId="3" fontId="25" fillId="0" borderId="189" xfId="28" applyNumberFormat="1" applyFont="1" applyFill="1" applyBorder="1" applyAlignment="1">
      <alignment horizontal="left" vertical="center"/>
    </xf>
    <xf numFmtId="3" fontId="25" fillId="0" borderId="116" xfId="28" applyNumberFormat="1" applyFont="1" applyFill="1" applyBorder="1" applyAlignment="1">
      <alignment horizontal="left" vertical="center"/>
    </xf>
    <xf numFmtId="3" fontId="21" fillId="0" borderId="16" xfId="0" applyNumberFormat="1" applyFont="1" applyFill="1" applyBorder="1" applyAlignment="1">
      <alignment horizontal="left" vertical="center" wrapText="1"/>
    </xf>
    <xf numFmtId="3" fontId="21" fillId="0" borderId="114" xfId="0" applyNumberFormat="1" applyFont="1" applyFill="1" applyBorder="1" applyAlignment="1">
      <alignment horizontal="left" vertical="center" wrapText="1"/>
    </xf>
    <xf numFmtId="3" fontId="21" fillId="0" borderId="17" xfId="0" applyNumberFormat="1" applyFont="1" applyFill="1" applyBorder="1" applyAlignment="1">
      <alignment horizontal="left" vertical="center" wrapText="1"/>
    </xf>
    <xf numFmtId="3" fontId="21" fillId="0" borderId="16" xfId="0" applyNumberFormat="1" applyFont="1" applyFill="1" applyBorder="1" applyAlignment="1">
      <alignment horizontal="left" vertical="top" wrapText="1"/>
    </xf>
    <xf numFmtId="3" fontId="21" fillId="0" borderId="114" xfId="0" applyNumberFormat="1" applyFont="1" applyFill="1" applyBorder="1" applyAlignment="1">
      <alignment horizontal="left" vertical="top" wrapText="1"/>
    </xf>
    <xf numFmtId="3" fontId="21" fillId="0" borderId="17" xfId="0" applyNumberFormat="1" applyFont="1" applyFill="1" applyBorder="1" applyAlignment="1">
      <alignment horizontal="left" vertical="top" wrapText="1"/>
    </xf>
    <xf numFmtId="3" fontId="19" fillId="0" borderId="137" xfId="28" applyNumberFormat="1" applyFont="1" applyFill="1" applyBorder="1" applyAlignment="1">
      <alignment horizontal="left" wrapText="1"/>
    </xf>
    <xf numFmtId="3" fontId="19" fillId="0" borderId="132" xfId="28" applyNumberFormat="1" applyFont="1" applyFill="1" applyBorder="1" applyAlignment="1">
      <alignment horizontal="left" wrapText="1"/>
    </xf>
    <xf numFmtId="3" fontId="21" fillId="0" borderId="42" xfId="0" applyNumberFormat="1" applyFont="1" applyFill="1" applyBorder="1" applyAlignment="1">
      <alignment horizontal="left" vertical="center"/>
    </xf>
    <xf numFmtId="3" fontId="21" fillId="0" borderId="127" xfId="0" applyNumberFormat="1" applyFont="1" applyFill="1" applyBorder="1" applyAlignment="1">
      <alignment horizontal="left" vertical="center"/>
    </xf>
    <xf numFmtId="3" fontId="21" fillId="0" borderId="43" xfId="0" applyNumberFormat="1" applyFont="1" applyFill="1" applyBorder="1" applyAlignment="1">
      <alignment horizontal="left" vertical="center"/>
    </xf>
    <xf numFmtId="0" fontId="13" fillId="0" borderId="0" xfId="32" applyFont="1" applyFill="1" applyBorder="1" applyAlignment="1" applyProtection="1">
      <alignment horizontal="left"/>
      <protection locked="0"/>
    </xf>
    <xf numFmtId="0" fontId="11" fillId="0" borderId="0" xfId="32" applyFont="1" applyFill="1" applyBorder="1" applyAlignment="1" applyProtection="1">
      <alignment horizontal="left"/>
      <protection locked="0"/>
    </xf>
    <xf numFmtId="0" fontId="13" fillId="0" borderId="0" xfId="31" applyFont="1" applyFill="1" applyBorder="1" applyAlignment="1" applyProtection="1">
      <alignment horizontal="center"/>
      <protection locked="0"/>
    </xf>
    <xf numFmtId="0" fontId="13" fillId="0" borderId="0" xfId="32" applyFont="1" applyFill="1" applyBorder="1" applyAlignment="1" applyProtection="1">
      <alignment horizontal="center" vertical="center"/>
      <protection locked="0"/>
    </xf>
    <xf numFmtId="3" fontId="19" fillId="0" borderId="138" xfId="18" applyNumberFormat="1" applyFont="1" applyFill="1" applyBorder="1" applyAlignment="1" applyProtection="1">
      <alignment horizontal="center" vertical="center" textRotation="90"/>
      <protection locked="0"/>
    </xf>
    <xf numFmtId="3" fontId="19" fillId="0" borderId="139" xfId="18" applyNumberFormat="1" applyFont="1" applyFill="1" applyBorder="1" applyAlignment="1" applyProtection="1">
      <alignment horizontal="center" vertical="center" textRotation="90"/>
      <protection locked="0"/>
    </xf>
    <xf numFmtId="3" fontId="19" fillId="0" borderId="140" xfId="18" applyNumberFormat="1" applyFont="1" applyFill="1" applyBorder="1" applyAlignment="1" applyProtection="1">
      <alignment horizontal="center" vertical="center" textRotation="90"/>
      <protection locked="0"/>
    </xf>
    <xf numFmtId="3" fontId="19" fillId="0" borderId="141" xfId="18" applyNumberFormat="1" applyFont="1" applyFill="1" applyBorder="1" applyAlignment="1" applyProtection="1">
      <alignment horizontal="center" vertical="center" textRotation="90"/>
      <protection locked="0"/>
    </xf>
    <xf numFmtId="0" fontId="22" fillId="0" borderId="140" xfId="31" applyFont="1" applyFill="1" applyBorder="1" applyAlignment="1" applyProtection="1">
      <alignment horizontal="center" vertical="center" wrapText="1"/>
      <protection locked="0"/>
    </xf>
    <xf numFmtId="0" fontId="22" fillId="0" borderId="141" xfId="31" applyFont="1" applyFill="1" applyBorder="1" applyAlignment="1" applyProtection="1">
      <alignment horizontal="center" vertical="center" wrapText="1"/>
      <protection locked="0"/>
    </xf>
    <xf numFmtId="0" fontId="19" fillId="0" borderId="140" xfId="31" applyFont="1" applyFill="1" applyBorder="1" applyAlignment="1" applyProtection="1">
      <alignment horizontal="center" vertical="center" textRotation="90" wrapText="1"/>
      <protection locked="0"/>
    </xf>
    <xf numFmtId="0" fontId="19" fillId="0" borderId="141" xfId="31" applyFont="1" applyFill="1" applyBorder="1" applyAlignment="1" applyProtection="1">
      <alignment horizontal="center" vertical="center" textRotation="90" wrapText="1"/>
      <protection locked="0"/>
    </xf>
    <xf numFmtId="3" fontId="19" fillId="0" borderId="140" xfId="31" applyNumberFormat="1" applyFont="1" applyFill="1" applyBorder="1" applyAlignment="1" applyProtection="1">
      <alignment horizontal="center" vertical="center" wrapText="1"/>
      <protection locked="0"/>
    </xf>
    <xf numFmtId="3" fontId="19" fillId="0" borderId="141" xfId="31" applyNumberFormat="1" applyFont="1" applyFill="1" applyBorder="1" applyAlignment="1" applyProtection="1">
      <alignment horizontal="center" vertical="center" wrapText="1"/>
      <protection locked="0"/>
    </xf>
    <xf numFmtId="3" fontId="19" fillId="0" borderId="144" xfId="31" applyNumberFormat="1" applyFont="1" applyFill="1" applyBorder="1" applyAlignment="1" applyProtection="1">
      <alignment horizontal="center" vertical="center" wrapText="1"/>
      <protection locked="0"/>
    </xf>
    <xf numFmtId="3" fontId="19" fillId="0" borderId="106" xfId="31" applyNumberFormat="1" applyFont="1" applyFill="1" applyBorder="1" applyAlignment="1" applyProtection="1">
      <alignment horizontal="center" vertical="center" wrapText="1"/>
      <protection locked="0"/>
    </xf>
    <xf numFmtId="3" fontId="22" fillId="0" borderId="140" xfId="31" applyNumberFormat="1" applyFont="1" applyFill="1" applyBorder="1" applyAlignment="1" applyProtection="1">
      <alignment horizontal="center" vertical="center" wrapText="1"/>
      <protection locked="0"/>
    </xf>
    <xf numFmtId="3" fontId="22" fillId="0" borderId="141" xfId="31" applyNumberFormat="1" applyFont="1" applyFill="1" applyBorder="1" applyAlignment="1" applyProtection="1">
      <alignment horizontal="center" vertical="center" wrapText="1"/>
      <protection locked="0"/>
    </xf>
    <xf numFmtId="3" fontId="21" fillId="0" borderId="140" xfId="31" applyNumberFormat="1" applyFont="1" applyFill="1" applyBorder="1" applyAlignment="1" applyProtection="1">
      <alignment horizontal="center" vertical="center" wrapText="1"/>
      <protection locked="0"/>
    </xf>
    <xf numFmtId="3" fontId="21" fillId="0" borderId="141" xfId="31" applyNumberFormat="1" applyFont="1" applyFill="1" applyBorder="1" applyAlignment="1" applyProtection="1">
      <alignment horizontal="center" vertical="center" wrapText="1"/>
      <protection locked="0"/>
    </xf>
    <xf numFmtId="3" fontId="22" fillId="0" borderId="111" xfId="31" applyNumberFormat="1" applyFont="1" applyFill="1" applyBorder="1" applyAlignment="1" applyProtection="1">
      <alignment horizontal="center" vertical="center" wrapText="1"/>
      <protection locked="0"/>
    </xf>
    <xf numFmtId="3" fontId="22" fillId="0" borderId="20" xfId="31" applyNumberFormat="1" applyFont="1" applyFill="1" applyBorder="1" applyAlignment="1" applyProtection="1">
      <alignment horizontal="center" vertical="center" wrapText="1"/>
      <protection locked="0"/>
    </xf>
    <xf numFmtId="3" fontId="22" fillId="0" borderId="229" xfId="31" applyNumberFormat="1" applyFont="1" applyFill="1" applyBorder="1" applyAlignment="1" applyProtection="1">
      <alignment horizontal="center" vertical="center" wrapText="1"/>
      <protection locked="0"/>
    </xf>
    <xf numFmtId="3" fontId="22" fillId="0" borderId="101" xfId="31" applyNumberFormat="1" applyFont="1" applyFill="1" applyBorder="1" applyAlignment="1" applyProtection="1">
      <alignment horizontal="center" vertical="center" wrapText="1"/>
      <protection locked="0"/>
    </xf>
    <xf numFmtId="3" fontId="60" fillId="0" borderId="80" xfId="18" applyNumberFormat="1" applyFont="1" applyFill="1" applyBorder="1" applyAlignment="1" applyProtection="1">
      <alignment horizontal="left" vertical="center"/>
      <protection locked="0"/>
    </xf>
    <xf numFmtId="3" fontId="60" fillId="0" borderId="127" xfId="18" applyNumberFormat="1" applyFont="1" applyFill="1" applyBorder="1" applyAlignment="1" applyProtection="1">
      <alignment horizontal="left" vertical="center"/>
      <protection locked="0"/>
    </xf>
    <xf numFmtId="3" fontId="60" fillId="0" borderId="43" xfId="18" applyNumberFormat="1" applyFont="1" applyFill="1" applyBorder="1" applyAlignment="1" applyProtection="1">
      <alignment horizontal="left" vertical="center"/>
      <protection locked="0"/>
    </xf>
    <xf numFmtId="0" fontId="22" fillId="0" borderId="12" xfId="32" applyFont="1" applyFill="1" applyBorder="1" applyAlignment="1" applyProtection="1">
      <alignment horizontal="center" vertical="center"/>
      <protection locked="0"/>
    </xf>
    <xf numFmtId="0" fontId="22" fillId="0" borderId="13" xfId="32" applyFont="1" applyFill="1" applyBorder="1" applyAlignment="1" applyProtection="1">
      <alignment horizontal="center" vertical="center"/>
      <protection locked="0"/>
    </xf>
    <xf numFmtId="0" fontId="22" fillId="0" borderId="130" xfId="32" applyFont="1" applyFill="1" applyBorder="1" applyAlignment="1" applyProtection="1">
      <alignment horizontal="center" vertical="center"/>
      <protection locked="0"/>
    </xf>
    <xf numFmtId="0" fontId="25" fillId="0" borderId="23" xfId="32" applyFont="1" applyFill="1" applyBorder="1" applyAlignment="1" applyProtection="1">
      <alignment horizontal="left"/>
      <protection locked="0"/>
    </xf>
    <xf numFmtId="0" fontId="25" fillId="0" borderId="114" xfId="32" applyFont="1" applyFill="1" applyBorder="1" applyAlignment="1" applyProtection="1">
      <alignment horizontal="left"/>
      <protection locked="0"/>
    </xf>
    <xf numFmtId="0" fontId="22" fillId="0" borderId="69" xfId="32" applyFont="1" applyFill="1" applyBorder="1" applyAlignment="1" applyProtection="1">
      <alignment horizontal="center" vertical="center"/>
      <protection locked="0"/>
    </xf>
    <xf numFmtId="0" fontId="22" fillId="0" borderId="9" xfId="32" applyFont="1" applyFill="1" applyBorder="1" applyAlignment="1" applyProtection="1">
      <alignment horizontal="center" vertical="center"/>
      <protection locked="0"/>
    </xf>
    <xf numFmtId="0" fontId="22" fillId="0" borderId="143" xfId="32" applyFont="1" applyFill="1" applyBorder="1" applyAlignment="1" applyProtection="1">
      <alignment horizontal="center" vertical="center"/>
      <protection locked="0"/>
    </xf>
    <xf numFmtId="3" fontId="40" fillId="0" borderId="23" xfId="18" applyNumberFormat="1" applyFont="1" applyFill="1" applyBorder="1" applyAlignment="1">
      <alignment horizontal="left" wrapText="1"/>
    </xf>
    <xf numFmtId="0" fontId="0" fillId="0" borderId="36" xfId="0" applyFill="1" applyBorder="1" applyAlignment="1">
      <alignment horizontal="left" wrapText="1"/>
    </xf>
    <xf numFmtId="0" fontId="0" fillId="0" borderId="221" xfId="0" applyFill="1" applyBorder="1" applyAlignment="1">
      <alignment horizontal="left" wrapText="1"/>
    </xf>
    <xf numFmtId="3" fontId="21" fillId="0" borderId="23" xfId="18" applyNumberFormat="1" applyFont="1" applyFill="1" applyBorder="1" applyAlignment="1">
      <alignment horizontal="left" wrapText="1"/>
    </xf>
    <xf numFmtId="3" fontId="21" fillId="0" borderId="36" xfId="18" applyNumberFormat="1" applyFont="1" applyFill="1" applyBorder="1" applyAlignment="1">
      <alignment horizontal="left" wrapText="1"/>
    </xf>
    <xf numFmtId="3" fontId="21" fillId="0" borderId="221" xfId="18" applyNumberFormat="1" applyFont="1" applyFill="1" applyBorder="1" applyAlignment="1">
      <alignment horizontal="left" wrapText="1"/>
    </xf>
    <xf numFmtId="3" fontId="22" fillId="0" borderId="23" xfId="18" applyNumberFormat="1" applyFont="1" applyFill="1" applyBorder="1" applyAlignment="1">
      <alignment horizontal="left" wrapText="1"/>
    </xf>
    <xf numFmtId="3" fontId="15" fillId="0" borderId="0" xfId="0" applyNumberFormat="1" applyFont="1" applyFill="1" applyBorder="1" applyAlignment="1">
      <alignment horizontal="left" vertical="top"/>
    </xf>
    <xf numFmtId="3" fontId="13" fillId="0" borderId="0" xfId="18" applyNumberFormat="1" applyFont="1" applyFill="1" applyAlignment="1">
      <alignment horizontal="left"/>
    </xf>
    <xf numFmtId="3" fontId="11" fillId="0" borderId="0" xfId="18" applyNumberFormat="1" applyFont="1" applyFill="1" applyAlignment="1">
      <alignment horizontal="left"/>
    </xf>
    <xf numFmtId="3" fontId="22" fillId="0" borderId="96" xfId="18" applyNumberFormat="1" applyFont="1" applyFill="1" applyBorder="1" applyAlignment="1">
      <alignment horizontal="center" vertical="center" wrapText="1"/>
    </xf>
    <xf numFmtId="3" fontId="22" fillId="0" borderId="97" xfId="18" applyNumberFormat="1" applyFont="1" applyFill="1" applyBorder="1" applyAlignment="1">
      <alignment horizontal="center" vertical="center" wrapText="1"/>
    </xf>
    <xf numFmtId="3" fontId="22" fillId="0" borderId="227" xfId="18" applyNumberFormat="1" applyFont="1" applyFill="1" applyBorder="1" applyAlignment="1">
      <alignment horizontal="center" vertical="center" wrapText="1"/>
    </xf>
    <xf numFmtId="3" fontId="40" fillId="0" borderId="36" xfId="18" applyNumberFormat="1" applyFont="1" applyFill="1" applyBorder="1" applyAlignment="1">
      <alignment horizontal="left" wrapText="1"/>
    </xf>
    <xf numFmtId="3" fontId="40" fillId="0" borderId="221" xfId="18" applyNumberFormat="1" applyFont="1" applyFill="1" applyBorder="1" applyAlignment="1">
      <alignment horizontal="left" wrapText="1"/>
    </xf>
    <xf numFmtId="3" fontId="13" fillId="0" borderId="0" xfId="18" applyNumberFormat="1" applyFont="1" applyFill="1" applyAlignment="1">
      <alignment horizontal="center"/>
    </xf>
    <xf numFmtId="3" fontId="13" fillId="0" borderId="0" xfId="18" applyNumberFormat="1" applyFont="1" applyFill="1" applyAlignment="1">
      <alignment horizontal="center" vertical="center"/>
    </xf>
    <xf numFmtId="3" fontId="21" fillId="0" borderId="0" xfId="18" applyNumberFormat="1" applyFont="1" applyFill="1" applyAlignment="1">
      <alignment horizontal="right"/>
    </xf>
    <xf numFmtId="3" fontId="22" fillId="0" borderId="192" xfId="18" applyNumberFormat="1" applyFont="1" applyFill="1" applyBorder="1" applyAlignment="1">
      <alignment horizontal="center" vertical="center" wrapText="1"/>
    </xf>
    <xf numFmtId="3" fontId="22" fillId="0" borderId="196" xfId="18" applyNumberFormat="1" applyFont="1" applyFill="1" applyBorder="1" applyAlignment="1">
      <alignment horizontal="center" vertical="center" wrapText="1"/>
    </xf>
    <xf numFmtId="3" fontId="19" fillId="0" borderId="193" xfId="0" applyNumberFormat="1" applyFont="1" applyFill="1" applyBorder="1" applyAlignment="1">
      <alignment horizontal="center" vertical="center"/>
    </xf>
    <xf numFmtId="3" fontId="19" fillId="0" borderId="194" xfId="0" applyNumberFormat="1" applyFont="1" applyFill="1" applyBorder="1" applyAlignment="1">
      <alignment horizontal="center" vertical="center"/>
    </xf>
    <xf numFmtId="3" fontId="19" fillId="0" borderId="192" xfId="18" applyNumberFormat="1" applyFont="1" applyFill="1" applyBorder="1" applyAlignment="1">
      <alignment horizontal="center" vertical="center" wrapText="1"/>
    </xf>
    <xf numFmtId="3" fontId="19" fillId="0" borderId="196" xfId="18" applyNumberFormat="1" applyFont="1" applyFill="1" applyBorder="1" applyAlignment="1">
      <alignment horizontal="center" vertical="center" wrapText="1"/>
    </xf>
    <xf numFmtId="3" fontId="19" fillId="0" borderId="191" xfId="18" applyNumberFormat="1" applyFont="1" applyFill="1" applyBorder="1" applyAlignment="1">
      <alignment horizontal="center" vertical="center" textRotation="90"/>
    </xf>
    <xf numFmtId="3" fontId="19" fillId="0" borderId="195" xfId="18" applyNumberFormat="1" applyFont="1" applyFill="1" applyBorder="1" applyAlignment="1">
      <alignment horizontal="center" vertical="center" textRotation="90"/>
    </xf>
    <xf numFmtId="3" fontId="19" fillId="0" borderId="192" xfId="18" applyNumberFormat="1" applyFont="1" applyFill="1" applyBorder="1" applyAlignment="1">
      <alignment horizontal="center" vertical="center" textRotation="90"/>
    </xf>
    <xf numFmtId="3" fontId="19" fillId="0" borderId="196" xfId="18" applyNumberFormat="1" applyFont="1" applyFill="1" applyBorder="1" applyAlignment="1">
      <alignment horizontal="center" vertical="center" textRotation="90"/>
    </xf>
    <xf numFmtId="3" fontId="19" fillId="0" borderId="197" xfId="18" applyNumberFormat="1" applyFont="1" applyFill="1" applyBorder="1" applyAlignment="1">
      <alignment horizontal="center" vertical="center" wrapText="1"/>
    </xf>
    <xf numFmtId="3" fontId="19" fillId="0" borderId="198" xfId="18" applyNumberFormat="1" applyFont="1" applyFill="1" applyBorder="1" applyAlignment="1">
      <alignment horizontal="center" vertical="center" wrapText="1"/>
    </xf>
    <xf numFmtId="0" fontId="22" fillId="0" borderId="192" xfId="18" applyFont="1" applyFill="1" applyBorder="1" applyAlignment="1">
      <alignment horizontal="center" vertical="center" wrapText="1"/>
    </xf>
    <xf numFmtId="0" fontId="22" fillId="0" borderId="196" xfId="18" applyFont="1" applyFill="1" applyBorder="1" applyAlignment="1">
      <alignment horizontal="center" vertical="center" wrapText="1"/>
    </xf>
    <xf numFmtId="3" fontId="19" fillId="0" borderId="174" xfId="0" applyNumberFormat="1" applyFont="1" applyFill="1" applyBorder="1" applyAlignment="1">
      <alignment horizontal="center" vertical="center" textRotation="90" wrapText="1"/>
    </xf>
    <xf numFmtId="0" fontId="19" fillId="0" borderId="175" xfId="0" applyFont="1" applyFill="1" applyBorder="1" applyAlignment="1">
      <alignment horizontal="center" vertical="center" textRotation="90" wrapText="1"/>
    </xf>
    <xf numFmtId="3" fontId="21" fillId="0" borderId="113" xfId="0" applyNumberFormat="1" applyFont="1" applyFill="1" applyBorder="1" applyAlignment="1">
      <alignment horizontal="left" wrapText="1"/>
    </xf>
    <xf numFmtId="3" fontId="21" fillId="0" borderId="189" xfId="0" applyNumberFormat="1" applyFont="1" applyFill="1" applyBorder="1" applyAlignment="1">
      <alignment horizontal="left" wrapText="1"/>
    </xf>
    <xf numFmtId="3" fontId="21" fillId="0" borderId="220" xfId="0" applyNumberFormat="1" applyFont="1" applyFill="1" applyBorder="1" applyAlignment="1">
      <alignment horizontal="left" wrapText="1"/>
    </xf>
    <xf numFmtId="3" fontId="21" fillId="0" borderId="23" xfId="0" applyNumberFormat="1" applyFont="1" applyFill="1" applyBorder="1" applyAlignment="1">
      <alignment horizontal="left" wrapText="1"/>
    </xf>
    <xf numFmtId="3" fontId="22" fillId="0" borderId="59" xfId="18" applyNumberFormat="1" applyFont="1" applyFill="1" applyBorder="1" applyAlignment="1">
      <alignment horizontal="left" wrapText="1"/>
    </xf>
    <xf numFmtId="0" fontId="0" fillId="0" borderId="171" xfId="0" applyFill="1" applyBorder="1" applyAlignment="1">
      <alignment horizontal="left" wrapText="1"/>
    </xf>
    <xf numFmtId="0" fontId="0" fillId="0" borderId="222" xfId="0" applyFill="1" applyBorder="1" applyAlignment="1">
      <alignment horizontal="left" wrapText="1"/>
    </xf>
    <xf numFmtId="3" fontId="22" fillId="0" borderId="137" xfId="18" applyNumberFormat="1" applyFont="1" applyFill="1" applyBorder="1" applyAlignment="1">
      <alignment horizontal="left" wrapText="1"/>
    </xf>
    <xf numFmtId="0" fontId="0" fillId="0" borderId="188" xfId="0" applyFill="1" applyBorder="1" applyAlignment="1">
      <alignment horizontal="left" wrapText="1"/>
    </xf>
    <xf numFmtId="0" fontId="0" fillId="0" borderId="228" xfId="0" applyFill="1" applyBorder="1" applyAlignment="1">
      <alignment horizontal="left" wrapText="1"/>
    </xf>
    <xf numFmtId="0" fontId="21" fillId="0" borderId="0" xfId="18" applyFont="1" applyFill="1" applyBorder="1" applyAlignment="1">
      <alignment horizontal="right" wrapText="1"/>
    </xf>
    <xf numFmtId="0" fontId="13" fillId="0" borderId="146" xfId="18" applyFont="1" applyFill="1" applyBorder="1" applyAlignment="1">
      <alignment horizontal="center" vertical="center" wrapText="1"/>
    </xf>
    <xf numFmtId="0" fontId="13" fillId="0" borderId="147" xfId="18" applyFont="1" applyFill="1" applyBorder="1" applyAlignment="1">
      <alignment horizontal="center" vertical="center" wrapText="1"/>
    </xf>
    <xf numFmtId="3" fontId="11" fillId="0" borderId="136" xfId="0" applyNumberFormat="1" applyFont="1" applyFill="1" applyBorder="1" applyAlignment="1">
      <alignment horizontal="center" vertical="center" wrapText="1"/>
    </xf>
    <xf numFmtId="3" fontId="11" fillId="0" borderId="22" xfId="0" applyNumberFormat="1" applyFont="1" applyFill="1" applyBorder="1" applyAlignment="1">
      <alignment horizontal="center" vertical="center" wrapText="1"/>
    </xf>
    <xf numFmtId="3" fontId="13" fillId="0" borderId="0" xfId="18" applyNumberFormat="1" applyFont="1" applyFill="1" applyAlignment="1">
      <alignment horizontal="left" wrapText="1"/>
    </xf>
    <xf numFmtId="3" fontId="11" fillId="0" borderId="0" xfId="18" applyNumberFormat="1" applyFont="1" applyFill="1" applyAlignment="1">
      <alignment wrapText="1"/>
    </xf>
    <xf numFmtId="3" fontId="22" fillId="0" borderId="0" xfId="18" applyNumberFormat="1" applyFont="1" applyFill="1" applyAlignment="1">
      <alignment horizontal="center" vertical="center" wrapText="1"/>
    </xf>
    <xf numFmtId="0" fontId="13" fillId="0" borderId="0" xfId="32" applyFont="1" applyFill="1" applyBorder="1" applyAlignment="1">
      <alignment horizontal="left"/>
    </xf>
    <xf numFmtId="0" fontId="11" fillId="0" borderId="0" xfId="32" applyFont="1" applyFill="1" applyBorder="1" applyAlignment="1">
      <alignment horizontal="left"/>
    </xf>
    <xf numFmtId="3" fontId="22" fillId="0" borderId="110" xfId="21" applyNumberFormat="1" applyFont="1" applyFill="1" applyBorder="1" applyAlignment="1">
      <alignment horizontal="center" vertical="center" wrapText="1"/>
    </xf>
    <xf numFmtId="3" fontId="22" fillId="0" borderId="39" xfId="21" applyNumberFormat="1" applyFont="1" applyFill="1" applyBorder="1" applyAlignment="1">
      <alignment horizontal="center" vertical="center" wrapText="1"/>
    </xf>
    <xf numFmtId="3" fontId="22" fillId="0" borderId="202" xfId="21" applyNumberFormat="1" applyFont="1" applyFill="1" applyBorder="1" applyAlignment="1">
      <alignment horizontal="center" vertical="center" wrapText="1"/>
    </xf>
    <xf numFmtId="0" fontId="13" fillId="0" borderId="0" xfId="31" applyFont="1" applyFill="1" applyBorder="1" applyAlignment="1">
      <alignment horizontal="center"/>
    </xf>
    <xf numFmtId="0" fontId="13" fillId="0" borderId="0" xfId="32" applyFont="1" applyFill="1" applyBorder="1" applyAlignment="1">
      <alignment horizontal="center" vertical="center"/>
    </xf>
    <xf numFmtId="3" fontId="19" fillId="0" borderId="158" xfId="18" applyNumberFormat="1" applyFont="1" applyFill="1" applyBorder="1" applyAlignment="1">
      <alignment horizontal="center" vertical="center" textRotation="90"/>
    </xf>
    <xf numFmtId="3" fontId="19" fillId="0" borderId="164" xfId="18" applyNumberFormat="1" applyFont="1" applyFill="1" applyBorder="1" applyAlignment="1">
      <alignment horizontal="center" vertical="center" textRotation="90"/>
    </xf>
    <xf numFmtId="3" fontId="19" fillId="0" borderId="165" xfId="18" applyNumberFormat="1" applyFont="1" applyFill="1" applyBorder="1" applyAlignment="1">
      <alignment horizontal="center" vertical="center" textRotation="90"/>
    </xf>
    <xf numFmtId="3" fontId="19" fillId="0" borderId="159" xfId="18" applyNumberFormat="1" applyFont="1" applyFill="1" applyBorder="1" applyAlignment="1">
      <alignment horizontal="center" vertical="center" textRotation="90"/>
    </xf>
    <xf numFmtId="3" fontId="19" fillId="0" borderId="153" xfId="18" applyNumberFormat="1" applyFont="1" applyFill="1" applyBorder="1" applyAlignment="1">
      <alignment horizontal="center" vertical="center" textRotation="90"/>
    </xf>
    <xf numFmtId="3" fontId="19" fillId="0" borderId="64" xfId="18" applyNumberFormat="1" applyFont="1" applyFill="1" applyBorder="1" applyAlignment="1">
      <alignment horizontal="center" vertical="center" textRotation="90"/>
    </xf>
    <xf numFmtId="0" fontId="22" fillId="0" borderId="140" xfId="31" applyFont="1" applyFill="1" applyBorder="1" applyAlignment="1">
      <alignment horizontal="center" vertical="center" wrapText="1"/>
    </xf>
    <xf numFmtId="0" fontId="22" fillId="0" borderId="157" xfId="31" applyFont="1" applyFill="1" applyBorder="1" applyAlignment="1">
      <alignment horizontal="center" vertical="center" wrapText="1"/>
    </xf>
    <xf numFmtId="0" fontId="22" fillId="0" borderId="141" xfId="31" applyFont="1" applyFill="1" applyBorder="1" applyAlignment="1">
      <alignment horizontal="center" vertical="center" wrapText="1"/>
    </xf>
    <xf numFmtId="3" fontId="19" fillId="0" borderId="159" xfId="31" applyNumberFormat="1" applyFont="1" applyFill="1" applyBorder="1" applyAlignment="1">
      <alignment horizontal="center" vertical="center" wrapText="1"/>
    </xf>
    <xf numFmtId="3" fontId="19" fillId="0" borderId="153" xfId="31" applyNumberFormat="1" applyFont="1" applyFill="1" applyBorder="1" applyAlignment="1">
      <alignment horizontal="center" vertical="center" wrapText="1"/>
    </xf>
    <xf numFmtId="3" fontId="19" fillId="0" borderId="64" xfId="31" applyNumberFormat="1" applyFont="1" applyFill="1" applyBorder="1" applyAlignment="1">
      <alignment horizontal="center" vertical="center" wrapText="1"/>
    </xf>
    <xf numFmtId="3" fontId="19" fillId="0" borderId="84" xfId="31" applyNumberFormat="1" applyFont="1" applyFill="1" applyBorder="1" applyAlignment="1">
      <alignment horizontal="center" vertical="center" wrapText="1"/>
    </xf>
    <xf numFmtId="3" fontId="19" fillId="0" borderId="89" xfId="31" applyNumberFormat="1" applyFont="1" applyFill="1" applyBorder="1" applyAlignment="1">
      <alignment horizontal="center" vertical="center" wrapText="1"/>
    </xf>
    <xf numFmtId="3" fontId="19" fillId="0" borderId="177" xfId="31" applyNumberFormat="1" applyFont="1" applyFill="1" applyBorder="1" applyAlignment="1">
      <alignment horizontal="center" vertical="center" wrapText="1"/>
    </xf>
    <xf numFmtId="0" fontId="19" fillId="0" borderId="161" xfId="31" applyFont="1" applyFill="1" applyBorder="1" applyAlignment="1">
      <alignment horizontal="center" vertical="center" textRotation="90" wrapText="1"/>
    </xf>
    <xf numFmtId="0" fontId="19" fillId="0" borderId="162" xfId="31" applyFont="1" applyFill="1" applyBorder="1" applyAlignment="1">
      <alignment horizontal="center" vertical="center" textRotation="90" wrapText="1"/>
    </xf>
    <xf numFmtId="0" fontId="19" fillId="0" borderId="65" xfId="31" applyFont="1" applyFill="1" applyBorder="1" applyAlignment="1">
      <alignment horizontal="center" vertical="center" textRotation="90" wrapText="1"/>
    </xf>
    <xf numFmtId="3" fontId="22" fillId="0" borderId="174" xfId="31" applyNumberFormat="1" applyFont="1" applyFill="1" applyBorder="1" applyAlignment="1">
      <alignment horizontal="center" vertical="center" wrapText="1"/>
    </xf>
    <xf numFmtId="3" fontId="22" fillId="0" borderId="140" xfId="31" applyNumberFormat="1" applyFont="1" applyFill="1" applyBorder="1" applyAlignment="1">
      <alignment horizontal="center" vertical="center" wrapText="1"/>
    </xf>
    <xf numFmtId="3" fontId="22" fillId="0" borderId="167" xfId="31" applyNumberFormat="1" applyFont="1" applyFill="1" applyBorder="1" applyAlignment="1">
      <alignment horizontal="center" vertical="center" wrapText="1"/>
    </xf>
    <xf numFmtId="3" fontId="19" fillId="0" borderId="179" xfId="31" applyNumberFormat="1" applyFont="1" applyFill="1" applyBorder="1" applyAlignment="1">
      <alignment horizontal="center" vertical="center" wrapText="1"/>
    </xf>
    <xf numFmtId="3" fontId="19" fillId="0" borderId="180" xfId="31" applyNumberFormat="1" applyFont="1" applyFill="1" applyBorder="1" applyAlignment="1">
      <alignment horizontal="center" vertical="center" wrapText="1"/>
    </xf>
    <xf numFmtId="3" fontId="19" fillId="0" borderId="181" xfId="31" applyNumberFormat="1" applyFont="1" applyFill="1" applyBorder="1" applyAlignment="1">
      <alignment horizontal="center" vertical="center" wrapText="1"/>
    </xf>
    <xf numFmtId="3" fontId="19" fillId="0" borderId="200" xfId="31" applyNumberFormat="1" applyFont="1" applyFill="1" applyBorder="1" applyAlignment="1">
      <alignment horizontal="center" vertical="center" wrapText="1"/>
    </xf>
    <xf numFmtId="3" fontId="22" fillId="0" borderId="201" xfId="31" applyNumberFormat="1" applyFont="1" applyFill="1" applyBorder="1" applyAlignment="1">
      <alignment horizontal="center" vertical="center" wrapText="1"/>
    </xf>
    <xf numFmtId="3" fontId="22" fillId="0" borderId="182" xfId="31" applyNumberFormat="1" applyFont="1" applyFill="1" applyBorder="1" applyAlignment="1">
      <alignment horizontal="center" vertical="center" wrapText="1"/>
    </xf>
    <xf numFmtId="3" fontId="22" fillId="0" borderId="172" xfId="21" applyNumberFormat="1" applyFont="1" applyFill="1" applyBorder="1" applyAlignment="1">
      <alignment horizontal="center" vertical="center" wrapText="1"/>
    </xf>
    <xf numFmtId="3" fontId="22" fillId="0" borderId="169" xfId="21" applyNumberFormat="1" applyFont="1" applyFill="1" applyBorder="1" applyAlignment="1">
      <alignment horizontal="center" vertical="center" wrapText="1"/>
    </xf>
    <xf numFmtId="3" fontId="22" fillId="0" borderId="243" xfId="21" applyNumberFormat="1" applyFont="1" applyFill="1" applyBorder="1" applyAlignment="1">
      <alignment horizontal="center" vertical="center" wrapText="1"/>
    </xf>
    <xf numFmtId="3" fontId="22" fillId="0" borderId="39" xfId="31" applyNumberFormat="1" applyFont="1" applyFill="1" applyBorder="1" applyAlignment="1">
      <alignment horizontal="center" vertical="center" wrapText="1"/>
    </xf>
    <xf numFmtId="3" fontId="22" fillId="0" borderId="202" xfId="31" applyNumberFormat="1" applyFont="1" applyFill="1" applyBorder="1" applyAlignment="1">
      <alignment horizontal="center" vertical="center" wrapText="1"/>
    </xf>
    <xf numFmtId="0" fontId="35" fillId="0" borderId="23" xfId="31" applyFont="1" applyFill="1" applyBorder="1" applyAlignment="1">
      <alignment horizontal="left" wrapText="1"/>
    </xf>
    <xf numFmtId="0" fontId="35" fillId="0" borderId="36" xfId="31" applyFont="1" applyFill="1" applyBorder="1" applyAlignment="1">
      <alignment horizontal="left" wrapText="1"/>
    </xf>
    <xf numFmtId="0" fontId="35" fillId="0" borderId="114" xfId="31" applyFont="1" applyFill="1" applyBorder="1" applyAlignment="1">
      <alignment horizontal="left" wrapText="1"/>
    </xf>
    <xf numFmtId="0" fontId="11" fillId="0" borderId="0" xfId="31" applyFont="1" applyFill="1" applyBorder="1" applyAlignment="1">
      <alignment horizontal="center"/>
    </xf>
    <xf numFmtId="3" fontId="11" fillId="0" borderId="158" xfId="18" applyNumberFormat="1" applyFont="1" applyFill="1" applyBorder="1" applyAlignment="1">
      <alignment horizontal="center" vertical="center" textRotation="90"/>
    </xf>
    <xf numFmtId="3" fontId="11" fillId="0" borderId="164" xfId="18" applyNumberFormat="1" applyFont="1" applyFill="1" applyBorder="1" applyAlignment="1">
      <alignment horizontal="center" vertical="center" textRotation="90"/>
    </xf>
    <xf numFmtId="3" fontId="11" fillId="0" borderId="165" xfId="18" applyNumberFormat="1" applyFont="1" applyFill="1" applyBorder="1" applyAlignment="1">
      <alignment horizontal="center" vertical="center" textRotation="90"/>
    </xf>
    <xf numFmtId="3" fontId="11" fillId="0" borderId="159" xfId="31" applyNumberFormat="1" applyFont="1" applyFill="1" applyBorder="1" applyAlignment="1">
      <alignment horizontal="center" vertical="center" wrapText="1"/>
    </xf>
    <xf numFmtId="3" fontId="11" fillId="0" borderId="153" xfId="31" applyNumberFormat="1" applyFont="1" applyFill="1" applyBorder="1" applyAlignment="1">
      <alignment horizontal="center" vertical="center" wrapText="1"/>
    </xf>
    <xf numFmtId="3" fontId="11" fillId="0" borderId="64" xfId="31" applyNumberFormat="1" applyFont="1" applyFill="1" applyBorder="1" applyAlignment="1">
      <alignment horizontal="center" vertical="center" wrapText="1"/>
    </xf>
    <xf numFmtId="0" fontId="13" fillId="0" borderId="0" xfId="32" applyFont="1" applyFill="1" applyBorder="1" applyAlignment="1">
      <alignment horizontal="center"/>
    </xf>
    <xf numFmtId="0" fontId="11" fillId="0" borderId="140" xfId="31" applyFont="1" applyFill="1" applyBorder="1" applyAlignment="1">
      <alignment horizontal="center" vertical="center"/>
    </xf>
    <xf numFmtId="0" fontId="11" fillId="0" borderId="157" xfId="31" applyFont="1" applyFill="1" applyBorder="1" applyAlignment="1">
      <alignment horizontal="center" vertical="center"/>
    </xf>
    <xf numFmtId="0" fontId="11" fillId="0" borderId="141" xfId="31" applyFont="1" applyFill="1" applyBorder="1" applyAlignment="1">
      <alignment horizontal="center" vertical="center"/>
    </xf>
    <xf numFmtId="3" fontId="11" fillId="0" borderId="84" xfId="31" applyNumberFormat="1" applyFont="1" applyFill="1" applyBorder="1" applyAlignment="1">
      <alignment horizontal="center" vertical="center" wrapText="1"/>
    </xf>
    <xf numFmtId="3" fontId="11" fillId="0" borderId="89" xfId="31" applyNumberFormat="1" applyFont="1" applyFill="1" applyBorder="1" applyAlignment="1">
      <alignment horizontal="center" vertical="center" wrapText="1"/>
    </xf>
    <xf numFmtId="3" fontId="11" fillId="0" borderId="177" xfId="31" applyNumberFormat="1" applyFont="1" applyFill="1" applyBorder="1" applyAlignment="1">
      <alignment horizontal="center" vertical="center" wrapText="1"/>
    </xf>
    <xf numFmtId="3" fontId="11" fillId="0" borderId="83" xfId="31" applyNumberFormat="1" applyFont="1" applyFill="1" applyBorder="1" applyAlignment="1">
      <alignment horizontal="center" vertical="center" wrapText="1"/>
    </xf>
    <xf numFmtId="3" fontId="11" fillId="0" borderId="160" xfId="31" applyNumberFormat="1" applyFont="1" applyFill="1" applyBorder="1" applyAlignment="1">
      <alignment horizontal="center" vertical="center" wrapText="1"/>
    </xf>
    <xf numFmtId="3" fontId="11" fillId="0" borderId="179" xfId="31" applyNumberFormat="1" applyFont="1" applyFill="1" applyBorder="1" applyAlignment="1">
      <alignment horizontal="center" vertical="center" wrapText="1"/>
    </xf>
    <xf numFmtId="3" fontId="11" fillId="0" borderId="180" xfId="31" applyNumberFormat="1" applyFont="1" applyFill="1" applyBorder="1" applyAlignment="1">
      <alignment horizontal="center" vertical="center" wrapText="1"/>
    </xf>
    <xf numFmtId="3" fontId="11" fillId="0" borderId="181" xfId="31" applyNumberFormat="1" applyFont="1" applyFill="1" applyBorder="1" applyAlignment="1">
      <alignment horizontal="center" vertical="center" wrapText="1"/>
    </xf>
    <xf numFmtId="3" fontId="11" fillId="0" borderId="199" xfId="31" applyNumberFormat="1" applyFont="1" applyFill="1" applyBorder="1" applyAlignment="1">
      <alignment horizontal="center" vertical="center" wrapText="1"/>
    </xf>
    <xf numFmtId="3" fontId="11" fillId="0" borderId="183" xfId="31" applyNumberFormat="1" applyFont="1" applyFill="1" applyBorder="1" applyAlignment="1">
      <alignment horizontal="center" vertical="center" wrapText="1"/>
    </xf>
    <xf numFmtId="3" fontId="11" fillId="0" borderId="184" xfId="31" applyNumberFormat="1" applyFont="1" applyFill="1" applyBorder="1" applyAlignment="1">
      <alignment horizontal="center" vertical="center" wrapText="1"/>
    </xf>
    <xf numFmtId="3" fontId="11" fillId="0" borderId="185" xfId="31" applyNumberFormat="1" applyFont="1" applyFill="1" applyBorder="1" applyAlignment="1">
      <alignment horizontal="center" vertical="center" wrapText="1"/>
    </xf>
    <xf numFmtId="3" fontId="13" fillId="0" borderId="117" xfId="31" applyNumberFormat="1" applyFont="1" applyFill="1" applyBorder="1" applyAlignment="1">
      <alignment horizontal="center" vertical="center" wrapText="1"/>
    </xf>
    <xf numFmtId="3" fontId="13" fillId="0" borderId="182" xfId="31" applyNumberFormat="1" applyFont="1" applyFill="1" applyBorder="1" applyAlignment="1">
      <alignment horizontal="center" vertical="center" wrapText="1"/>
    </xf>
    <xf numFmtId="3" fontId="40" fillId="0" borderId="26" xfId="18" applyNumberFormat="1" applyFont="1" applyFill="1" applyBorder="1" applyAlignment="1">
      <alignment horizontal="left" wrapText="1"/>
    </xf>
    <xf numFmtId="3" fontId="40" fillId="0" borderId="121" xfId="18" applyNumberFormat="1" applyFont="1" applyFill="1" applyBorder="1" applyAlignment="1">
      <alignment horizontal="left" wrapText="1"/>
    </xf>
    <xf numFmtId="3" fontId="40" fillId="0" borderId="246" xfId="18" applyNumberFormat="1" applyFont="1" applyFill="1" applyBorder="1" applyAlignment="1">
      <alignment horizontal="left" wrapText="1"/>
    </xf>
    <xf numFmtId="0" fontId="0" fillId="0" borderId="36" xfId="0" applyBorder="1" applyAlignment="1">
      <alignment horizontal="left" wrapText="1"/>
    </xf>
    <xf numFmtId="0" fontId="0" fillId="0" borderId="221" xfId="0" applyBorder="1" applyAlignment="1">
      <alignment horizontal="left" wrapText="1"/>
    </xf>
    <xf numFmtId="0" fontId="0" fillId="0" borderId="171" xfId="0" applyBorder="1" applyAlignment="1">
      <alignment horizontal="left" wrapText="1"/>
    </xf>
    <xf numFmtId="0" fontId="0" fillId="0" borderId="222" xfId="0" applyBorder="1" applyAlignment="1">
      <alignment horizontal="left" wrapText="1"/>
    </xf>
    <xf numFmtId="3" fontId="13" fillId="0" borderId="172" xfId="21" applyNumberFormat="1" applyFont="1" applyFill="1" applyBorder="1" applyAlignment="1">
      <alignment horizontal="center" vertical="center" wrapText="1"/>
    </xf>
    <xf numFmtId="3" fontId="13" fillId="0" borderId="169" xfId="21" applyNumberFormat="1" applyFont="1" applyFill="1" applyBorder="1" applyAlignment="1">
      <alignment horizontal="center" vertical="center" wrapText="1"/>
    </xf>
    <xf numFmtId="3" fontId="13" fillId="0" borderId="243" xfId="21" applyNumberFormat="1" applyFont="1" applyFill="1" applyBorder="1" applyAlignment="1">
      <alignment horizontal="center" vertical="center" wrapText="1"/>
    </xf>
    <xf numFmtId="3" fontId="11" fillId="0" borderId="159" xfId="18" applyNumberFormat="1" applyFont="1" applyFill="1" applyBorder="1" applyAlignment="1">
      <alignment horizontal="center" vertical="center" textRotation="90"/>
    </xf>
    <xf numFmtId="3" fontId="11" fillId="0" borderId="153" xfId="18" applyNumberFormat="1" applyFont="1" applyFill="1" applyBorder="1" applyAlignment="1">
      <alignment horizontal="center" vertical="center" textRotation="90"/>
    </xf>
    <xf numFmtId="3" fontId="11" fillId="0" borderId="64" xfId="18" applyNumberFormat="1" applyFont="1" applyFill="1" applyBorder="1" applyAlignment="1">
      <alignment horizontal="center" vertical="center" textRotation="90"/>
    </xf>
    <xf numFmtId="0" fontId="11" fillId="0" borderId="23" xfId="0" applyFont="1" applyFill="1" applyBorder="1" applyAlignment="1">
      <alignment horizontal="left" shrinkToFit="1"/>
    </xf>
    <xf numFmtId="0" fontId="11" fillId="0" borderId="36" xfId="0" applyFont="1" applyFill="1" applyBorder="1" applyAlignment="1">
      <alignment horizontal="left" shrinkToFit="1"/>
    </xf>
    <xf numFmtId="0" fontId="11" fillId="0" borderId="114" xfId="0" applyFont="1" applyFill="1" applyBorder="1" applyAlignment="1">
      <alignment horizontal="left" shrinkToFit="1"/>
    </xf>
    <xf numFmtId="0" fontId="58" fillId="0" borderId="23" xfId="0" applyFont="1" applyFill="1" applyBorder="1" applyAlignment="1">
      <alignment horizontal="left" wrapText="1" shrinkToFit="1"/>
    </xf>
    <xf numFmtId="0" fontId="58" fillId="0" borderId="36" xfId="0" applyFont="1" applyFill="1" applyBorder="1" applyAlignment="1">
      <alignment horizontal="left" wrapText="1" shrinkToFit="1"/>
    </xf>
    <xf numFmtId="0" fontId="58" fillId="0" borderId="114" xfId="0" applyFont="1" applyFill="1" applyBorder="1" applyAlignment="1">
      <alignment horizontal="left" wrapText="1" shrinkToFit="1"/>
    </xf>
    <xf numFmtId="0" fontId="14" fillId="0" borderId="23" xfId="0" applyFont="1" applyFill="1" applyBorder="1" applyAlignment="1">
      <alignment horizontal="left" wrapText="1" shrinkToFit="1"/>
    </xf>
    <xf numFmtId="0" fontId="14" fillId="0" borderId="36" xfId="0" applyFont="1" applyFill="1" applyBorder="1" applyAlignment="1">
      <alignment horizontal="left" wrapText="1" shrinkToFit="1"/>
    </xf>
    <xf numFmtId="0" fontId="14" fillId="0" borderId="114" xfId="0" applyFont="1" applyFill="1" applyBorder="1" applyAlignment="1">
      <alignment horizontal="left" wrapText="1" shrinkToFit="1"/>
    </xf>
    <xf numFmtId="0" fontId="11" fillId="0" borderId="23" xfId="21" applyFont="1" applyFill="1" applyBorder="1" applyAlignment="1">
      <alignment horizontal="left" wrapText="1"/>
    </xf>
    <xf numFmtId="0" fontId="11" fillId="0" borderId="36" xfId="21" applyFont="1" applyFill="1" applyBorder="1" applyAlignment="1">
      <alignment horizontal="left" wrapText="1"/>
    </xf>
    <xf numFmtId="0" fontId="11" fillId="0" borderId="221" xfId="21" applyFont="1" applyFill="1" applyBorder="1" applyAlignment="1">
      <alignment horizontal="left" wrapText="1"/>
    </xf>
    <xf numFmtId="0" fontId="13" fillId="0" borderId="0" xfId="0" applyFont="1" applyFill="1" applyBorder="1" applyAlignment="1">
      <alignment horizontal="left" wrapText="1"/>
    </xf>
    <xf numFmtId="0" fontId="13" fillId="0" borderId="12" xfId="21" applyFont="1" applyFill="1" applyBorder="1" applyAlignment="1">
      <alignment horizontal="center" vertical="center" wrapText="1"/>
    </xf>
    <xf numFmtId="0" fontId="13" fillId="0" borderId="130" xfId="21" applyFont="1" applyFill="1" applyBorder="1" applyAlignment="1">
      <alignment horizontal="center" vertical="center" wrapText="1"/>
    </xf>
    <xf numFmtId="0" fontId="13" fillId="0" borderId="12" xfId="31" applyFont="1" applyFill="1" applyBorder="1" applyAlignment="1">
      <alignment horizontal="center" vertical="center"/>
    </xf>
    <xf numFmtId="0" fontId="13" fillId="0" borderId="130" xfId="31" applyFont="1" applyFill="1" applyBorder="1" applyAlignment="1">
      <alignment horizontal="center" vertical="center"/>
    </xf>
    <xf numFmtId="0" fontId="13" fillId="0" borderId="12" xfId="31" applyFont="1" applyFill="1" applyBorder="1" applyAlignment="1">
      <alignment horizontal="center" vertical="center" wrapText="1"/>
    </xf>
    <xf numFmtId="0" fontId="13" fillId="0" borderId="130" xfId="31" applyFont="1" applyFill="1" applyBorder="1" applyAlignment="1">
      <alignment horizontal="center" vertical="center" wrapText="1"/>
    </xf>
    <xf numFmtId="3" fontId="13" fillId="0" borderId="129" xfId="19" applyNumberFormat="1" applyFont="1" applyFill="1" applyBorder="1" applyAlignment="1">
      <alignment horizontal="center" vertical="center" wrapText="1"/>
    </xf>
    <xf numFmtId="3" fontId="13" fillId="0" borderId="148" xfId="19" applyNumberFormat="1" applyFont="1" applyFill="1" applyBorder="1" applyAlignment="1">
      <alignment horizontal="center" vertical="center" wrapText="1"/>
    </xf>
    <xf numFmtId="0" fontId="11" fillId="0" borderId="0" xfId="45" applyFont="1" applyFill="1" applyBorder="1" applyAlignment="1">
      <alignment horizontal="left" vertical="center"/>
    </xf>
    <xf numFmtId="0" fontId="13" fillId="0" borderId="0" xfId="31" applyFont="1" applyFill="1" applyBorder="1" applyAlignment="1">
      <alignment horizontal="center" vertical="center"/>
    </xf>
    <xf numFmtId="0" fontId="14" fillId="0" borderId="0" xfId="31" applyFont="1" applyFill="1" applyBorder="1" applyAlignment="1">
      <alignment horizontal="center" vertical="center"/>
    </xf>
    <xf numFmtId="0" fontId="11" fillId="0" borderId="138" xfId="19" applyFont="1" applyFill="1" applyBorder="1" applyAlignment="1">
      <alignment horizontal="center" vertical="center" textRotation="90"/>
    </xf>
    <xf numFmtId="0" fontId="11" fillId="0" borderId="139" xfId="19" applyFont="1" applyFill="1" applyBorder="1" applyAlignment="1">
      <alignment horizontal="center" vertical="center" textRotation="90"/>
    </xf>
    <xf numFmtId="0" fontId="13" fillId="0" borderId="149" xfId="19" applyFont="1" applyFill="1" applyBorder="1" applyAlignment="1">
      <alignment horizontal="center" vertical="center" wrapText="1"/>
    </xf>
    <xf numFmtId="0" fontId="13" fillId="0" borderId="150" xfId="19" applyFont="1" applyFill="1" applyBorder="1" applyAlignment="1">
      <alignment horizontal="center" vertical="center" wrapText="1"/>
    </xf>
    <xf numFmtId="3" fontId="13" fillId="0" borderId="118" xfId="19" applyNumberFormat="1" applyFont="1" applyFill="1" applyBorder="1" applyAlignment="1">
      <alignment horizontal="center" vertical="center" wrapText="1"/>
    </xf>
    <xf numFmtId="3" fontId="13" fillId="0" borderId="75" xfId="19" applyNumberFormat="1" applyFont="1" applyFill="1" applyBorder="1" applyAlignment="1">
      <alignment horizontal="center" vertical="center" wrapText="1"/>
    </xf>
    <xf numFmtId="3" fontId="13" fillId="0" borderId="80" xfId="19" applyNumberFormat="1" applyFont="1" applyFill="1" applyBorder="1" applyAlignment="1">
      <alignment horizontal="center" vertical="center" wrapText="1"/>
    </xf>
    <xf numFmtId="0" fontId="11" fillId="0" borderId="59" xfId="46" applyFont="1" applyFill="1" applyBorder="1" applyAlignment="1">
      <alignment horizontal="center" vertical="center" wrapText="1"/>
    </xf>
    <xf numFmtId="3" fontId="13" fillId="0" borderId="136" xfId="19" applyNumberFormat="1" applyFont="1" applyFill="1" applyBorder="1" applyAlignment="1">
      <alignment horizontal="center" vertical="center" wrapText="1"/>
    </xf>
    <xf numFmtId="3" fontId="13" fillId="0" borderId="135" xfId="19" applyNumberFormat="1" applyFont="1" applyFill="1" applyBorder="1" applyAlignment="1">
      <alignment horizontal="center" vertical="center" wrapText="1"/>
    </xf>
    <xf numFmtId="0" fontId="11" fillId="0" borderId="6" xfId="25" applyFont="1" applyFill="1" applyBorder="1" applyAlignment="1">
      <alignment horizontal="center"/>
    </xf>
    <xf numFmtId="0" fontId="11" fillId="0" borderId="151" xfId="24" applyFont="1" applyFill="1" applyBorder="1" applyAlignment="1">
      <alignment horizontal="center" vertical="center" wrapText="1"/>
    </xf>
    <xf numFmtId="0" fontId="11" fillId="0" borderId="152" xfId="24" applyFont="1" applyFill="1" applyBorder="1" applyAlignment="1">
      <alignment horizontal="center" vertical="center" wrapText="1"/>
    </xf>
    <xf numFmtId="0" fontId="13" fillId="0" borderId="0" xfId="24" applyFont="1" applyFill="1" applyAlignment="1">
      <alignment horizontal="center" vertical="center"/>
    </xf>
    <xf numFmtId="0" fontId="14" fillId="0" borderId="0" xfId="27" applyFont="1" applyFill="1" applyAlignment="1">
      <alignment horizontal="right"/>
    </xf>
    <xf numFmtId="0" fontId="51" fillId="0" borderId="110" xfId="0" applyFont="1" applyBorder="1" applyAlignment="1">
      <alignment horizontal="center" vertical="center" wrapText="1"/>
    </xf>
    <xf numFmtId="0" fontId="51" fillId="0" borderId="39" xfId="0" applyFont="1" applyBorder="1" applyAlignment="1">
      <alignment horizontal="center" vertical="center" wrapText="1"/>
    </xf>
    <xf numFmtId="0" fontId="50" fillId="0" borderId="111" xfId="0" applyFont="1" applyBorder="1" applyAlignment="1">
      <alignment horizontal="center" vertical="center" wrapText="1"/>
    </xf>
    <xf numFmtId="0" fontId="11" fillId="0" borderId="0" xfId="42" applyFont="1" applyFill="1" applyBorder="1" applyAlignment="1">
      <alignment horizontal="left" vertical="center"/>
    </xf>
    <xf numFmtId="0" fontId="0" fillId="0" borderId="0" xfId="0" applyAlignment="1">
      <alignment horizontal="left" vertical="center"/>
    </xf>
    <xf numFmtId="0" fontId="13" fillId="0" borderId="0" xfId="23" applyFont="1" applyFill="1" applyBorder="1" applyAlignment="1">
      <alignment horizontal="center"/>
    </xf>
    <xf numFmtId="0" fontId="13" fillId="0" borderId="0" xfId="23" applyFont="1" applyFill="1" applyBorder="1" applyAlignment="1">
      <alignment horizontal="center" vertical="center"/>
    </xf>
    <xf numFmtId="0" fontId="51" fillId="0" borderId="12" xfId="0" applyFont="1" applyBorder="1" applyAlignment="1">
      <alignment horizontal="center" vertical="center" wrapText="1"/>
    </xf>
    <xf numFmtId="0" fontId="0" fillId="0" borderId="13" xfId="0" applyBorder="1" applyAlignment="1">
      <alignment horizontal="center" vertical="center" wrapText="1"/>
    </xf>
    <xf numFmtId="0" fontId="0" fillId="0" borderId="32" xfId="0" applyBorder="1" applyAlignment="1">
      <alignment horizontal="center" vertical="center" wrapText="1"/>
    </xf>
    <xf numFmtId="3" fontId="51" fillId="0" borderId="12" xfId="0" applyNumberFormat="1" applyFont="1" applyBorder="1" applyAlignment="1">
      <alignment horizontal="center" vertical="center"/>
    </xf>
    <xf numFmtId="0" fontId="51" fillId="0" borderId="212" xfId="0" applyFont="1" applyBorder="1" applyAlignment="1">
      <alignment horizontal="center" vertical="center"/>
    </xf>
    <xf numFmtId="0" fontId="11" fillId="0" borderId="6" xfId="23" applyFont="1" applyFill="1" applyBorder="1" applyAlignment="1">
      <alignment horizontal="center"/>
    </xf>
    <xf numFmtId="0" fontId="19" fillId="0" borderId="39" xfId="23" applyFont="1" applyFill="1" applyBorder="1" applyAlignment="1">
      <alignment horizontal="left" vertical="center" wrapText="1"/>
    </xf>
    <xf numFmtId="0" fontId="39" fillId="0" borderId="19" xfId="0" applyFont="1" applyBorder="1" applyAlignment="1">
      <alignment horizontal="center" vertical="center"/>
    </xf>
    <xf numFmtId="0" fontId="39" fillId="0" borderId="110" xfId="0" applyFont="1" applyBorder="1" applyAlignment="1">
      <alignment horizontal="center" vertical="center"/>
    </xf>
    <xf numFmtId="0" fontId="39" fillId="0" borderId="4" xfId="0" applyFont="1" applyBorder="1" applyAlignment="1">
      <alignment horizontal="center" vertical="center"/>
    </xf>
    <xf numFmtId="0" fontId="39" fillId="0" borderId="5" xfId="0" applyFont="1" applyBorder="1" applyAlignment="1">
      <alignment horizontal="center" vertical="center"/>
    </xf>
    <xf numFmtId="0" fontId="52" fillId="0" borderId="110" xfId="0" applyFont="1" applyBorder="1" applyAlignment="1">
      <alignment horizontal="left" vertical="center" wrapText="1"/>
    </xf>
    <xf numFmtId="0" fontId="0" fillId="0" borderId="111" xfId="0" applyBorder="1" applyAlignment="1">
      <alignment horizontal="left" vertical="center" wrapText="1"/>
    </xf>
    <xf numFmtId="3" fontId="39" fillId="0" borderId="111" xfId="0" applyNumberFormat="1" applyFont="1" applyBorder="1" applyAlignment="1">
      <alignment horizontal="right" vertical="center"/>
    </xf>
    <xf numFmtId="3" fontId="39" fillId="0" borderId="19" xfId="0" applyNumberFormat="1" applyFont="1" applyBorder="1" applyAlignment="1">
      <alignment horizontal="right" vertical="center"/>
    </xf>
    <xf numFmtId="3" fontId="39" fillId="0" borderId="20" xfId="0" applyNumberFormat="1" applyFont="1" applyBorder="1" applyAlignment="1">
      <alignment horizontal="right" vertical="center"/>
    </xf>
    <xf numFmtId="3" fontId="39" fillId="0" borderId="142" xfId="0" applyNumberFormat="1" applyFont="1" applyBorder="1" applyAlignment="1">
      <alignment horizontal="right" vertical="center"/>
    </xf>
    <xf numFmtId="3" fontId="39" fillId="0" borderId="200" xfId="0" applyNumberFormat="1" applyFont="1" applyBorder="1" applyAlignment="1">
      <alignment horizontal="right" vertical="center"/>
    </xf>
    <xf numFmtId="3" fontId="39" fillId="0" borderId="7" xfId="0" applyNumberFormat="1" applyFont="1" applyBorder="1" applyAlignment="1">
      <alignment horizontal="right" vertical="center"/>
    </xf>
    <xf numFmtId="0" fontId="39" fillId="0" borderId="110" xfId="0" applyFont="1" applyBorder="1" applyAlignment="1">
      <alignment horizontal="left" vertical="center" wrapText="1"/>
    </xf>
    <xf numFmtId="0" fontId="39" fillId="0" borderId="111" xfId="0" applyFont="1" applyBorder="1" applyAlignment="1">
      <alignment vertical="center"/>
    </xf>
    <xf numFmtId="0" fontId="39" fillId="0" borderId="19" xfId="0" applyFont="1" applyBorder="1" applyAlignment="1">
      <alignment vertical="center"/>
    </xf>
    <xf numFmtId="0" fontId="39" fillId="0" borderId="142" xfId="0" applyFont="1" applyBorder="1" applyAlignment="1">
      <alignment vertical="center"/>
    </xf>
    <xf numFmtId="0" fontId="39" fillId="0" borderId="7" xfId="0" applyFont="1" applyBorder="1" applyAlignment="1">
      <alignment vertical="center"/>
    </xf>
    <xf numFmtId="0" fontId="11" fillId="0" borderId="0" xfId="23" applyFont="1" applyFill="1" applyBorder="1" applyAlignment="1">
      <alignment horizontal="center" vertical="center" wrapText="1"/>
    </xf>
    <xf numFmtId="0" fontId="13" fillId="0" borderId="0" xfId="0" applyFont="1" applyFill="1" applyBorder="1" applyAlignment="1">
      <alignment horizontal="left"/>
    </xf>
    <xf numFmtId="0" fontId="11" fillId="0" borderId="0" xfId="0" applyFont="1" applyFill="1" applyBorder="1" applyAlignment="1">
      <alignment horizontal="left"/>
    </xf>
    <xf numFmtId="3" fontId="13" fillId="0" borderId="12" xfId="22" applyNumberFormat="1" applyFont="1" applyBorder="1" applyAlignment="1">
      <alignment horizontal="center" vertical="center"/>
    </xf>
    <xf numFmtId="3" fontId="13" fillId="0" borderId="13" xfId="22" applyNumberFormat="1" applyFont="1" applyBorder="1" applyAlignment="1">
      <alignment horizontal="center" vertical="center"/>
    </xf>
    <xf numFmtId="3" fontId="11" fillId="0" borderId="0" xfId="22" applyNumberFormat="1" applyFont="1" applyBorder="1" applyAlignment="1">
      <alignment horizontal="left" wrapText="1"/>
    </xf>
    <xf numFmtId="3" fontId="11" fillId="0" borderId="0" xfId="22" applyNumberFormat="1" applyFont="1" applyAlignment="1">
      <alignment horizontal="left" wrapText="1"/>
    </xf>
    <xf numFmtId="3" fontId="13" fillId="0" borderId="0" xfId="22" applyNumberFormat="1" applyFont="1" applyAlignment="1">
      <alignment horizontal="center"/>
    </xf>
    <xf numFmtId="3" fontId="21" fillId="0" borderId="0" xfId="22" applyNumberFormat="1" applyFont="1" applyBorder="1" applyAlignment="1">
      <alignment horizontal="right"/>
    </xf>
    <xf numFmtId="3" fontId="11" fillId="0" borderId="161" xfId="22" applyNumberFormat="1" applyFont="1" applyBorder="1" applyAlignment="1">
      <alignment horizontal="center" vertical="center" wrapText="1"/>
    </xf>
    <xf numFmtId="3" fontId="11" fillId="0" borderId="159" xfId="22" applyNumberFormat="1" applyFont="1" applyBorder="1" applyAlignment="1">
      <alignment horizontal="center" vertical="center" wrapText="1"/>
    </xf>
    <xf numFmtId="3" fontId="11" fillId="0" borderId="162" xfId="22" applyNumberFormat="1" applyFont="1" applyBorder="1" applyAlignment="1">
      <alignment horizontal="center" vertical="center" wrapText="1"/>
    </xf>
    <xf numFmtId="3" fontId="11" fillId="0" borderId="153" xfId="22" applyNumberFormat="1" applyFont="1" applyBorder="1" applyAlignment="1">
      <alignment horizontal="center" vertical="center" wrapText="1"/>
    </xf>
    <xf numFmtId="3" fontId="11" fillId="0" borderId="86" xfId="22" applyNumberFormat="1" applyFont="1" applyBorder="1" applyAlignment="1">
      <alignment horizontal="center" vertical="center" wrapText="1"/>
    </xf>
    <xf numFmtId="3" fontId="11" fillId="0" borderId="91" xfId="22" applyNumberFormat="1" applyFont="1" applyBorder="1" applyAlignment="1">
      <alignment horizontal="center" vertical="center" wrapText="1"/>
    </xf>
    <xf numFmtId="3" fontId="11" fillId="0" borderId="163" xfId="22" applyNumberFormat="1" applyFont="1" applyBorder="1" applyAlignment="1">
      <alignment horizontal="center" vertical="center" wrapText="1"/>
    </xf>
    <xf numFmtId="3" fontId="11" fillId="0" borderId="214" xfId="22" applyNumberFormat="1" applyFont="1" applyBorder="1" applyAlignment="1">
      <alignment horizontal="center" vertical="center" wrapText="1"/>
    </xf>
    <xf numFmtId="3" fontId="11" fillId="0" borderId="215" xfId="22" applyNumberFormat="1" applyFont="1" applyBorder="1" applyAlignment="1">
      <alignment horizontal="center" vertical="center" wrapText="1"/>
    </xf>
    <xf numFmtId="3" fontId="11" fillId="0" borderId="183" xfId="22" applyNumberFormat="1" applyFont="1" applyFill="1" applyBorder="1" applyAlignment="1">
      <alignment horizontal="center" vertical="center" wrapText="1"/>
    </xf>
    <xf numFmtId="3" fontId="11" fillId="0" borderId="141" xfId="22" applyNumberFormat="1" applyFont="1" applyFill="1" applyBorder="1" applyAlignment="1">
      <alignment horizontal="center" vertical="center" wrapText="1"/>
    </xf>
    <xf numFmtId="0" fontId="11" fillId="0" borderId="153" xfId="22" applyNumberFormat="1" applyFont="1" applyBorder="1" applyAlignment="1">
      <alignment horizontal="center" vertical="center" wrapText="1"/>
    </xf>
    <xf numFmtId="3" fontId="11" fillId="0" borderId="154" xfId="22" applyNumberFormat="1" applyFont="1" applyBorder="1" applyAlignment="1">
      <alignment horizontal="center" vertical="center" wrapText="1"/>
    </xf>
    <xf numFmtId="3" fontId="11" fillId="0" borderId="155" xfId="22" applyNumberFormat="1" applyFont="1" applyBorder="1" applyAlignment="1">
      <alignment horizontal="center" vertical="center" wrapText="1"/>
    </xf>
    <xf numFmtId="3" fontId="11" fillId="0" borderId="138" xfId="22" applyNumberFormat="1" applyFont="1" applyBorder="1" applyAlignment="1">
      <alignment horizontal="center" vertical="center" textRotation="90" wrapText="1"/>
    </xf>
    <xf numFmtId="3" fontId="11" fillId="0" borderId="156" xfId="22" applyNumberFormat="1" applyFont="1" applyBorder="1" applyAlignment="1">
      <alignment horizontal="center" vertical="center" textRotation="90" wrapText="1"/>
    </xf>
    <xf numFmtId="3" fontId="11" fillId="0" borderId="139" xfId="22" applyNumberFormat="1" applyFont="1" applyBorder="1" applyAlignment="1">
      <alignment horizontal="center" vertical="center" textRotation="90" wrapText="1"/>
    </xf>
    <xf numFmtId="3" fontId="11" fillId="0" borderId="140" xfId="22" applyNumberFormat="1" applyFont="1" applyBorder="1" applyAlignment="1">
      <alignment horizontal="center" vertical="center" textRotation="90" wrapText="1"/>
    </xf>
    <xf numFmtId="3" fontId="11" fillId="0" borderId="157" xfId="22" applyNumberFormat="1" applyFont="1" applyBorder="1" applyAlignment="1">
      <alignment horizontal="center" vertical="center" textRotation="90" wrapText="1"/>
    </xf>
    <xf numFmtId="3" fontId="11" fillId="0" borderId="141" xfId="22" applyNumberFormat="1" applyFont="1" applyBorder="1" applyAlignment="1">
      <alignment horizontal="center" vertical="center" textRotation="90" wrapText="1"/>
    </xf>
    <xf numFmtId="3" fontId="11" fillId="0" borderId="174" xfId="22" applyNumberFormat="1" applyFont="1" applyBorder="1" applyAlignment="1">
      <alignment horizontal="center" vertical="center" wrapText="1"/>
    </xf>
    <xf numFmtId="3" fontId="11" fillId="0" borderId="98" xfId="22" applyNumberFormat="1" applyFont="1" applyBorder="1" applyAlignment="1">
      <alignment horizontal="center" vertical="center" wrapText="1"/>
    </xf>
    <xf numFmtId="3" fontId="11" fillId="0" borderId="175" xfId="22" applyNumberFormat="1" applyFont="1" applyBorder="1" applyAlignment="1">
      <alignment horizontal="center" vertical="center" wrapText="1"/>
    </xf>
    <xf numFmtId="14" fontId="11" fillId="0" borderId="144" xfId="22" applyNumberFormat="1" applyFont="1" applyBorder="1" applyAlignment="1">
      <alignment horizontal="center" vertical="center" wrapText="1"/>
    </xf>
    <xf numFmtId="14" fontId="11" fillId="0" borderId="87" xfId="22" applyNumberFormat="1" applyFont="1" applyBorder="1" applyAlignment="1">
      <alignment horizontal="center" vertical="center" wrapText="1"/>
    </xf>
    <xf numFmtId="14" fontId="11" fillId="0" borderId="106" xfId="22" applyNumberFormat="1" applyFont="1" applyBorder="1" applyAlignment="1">
      <alignment horizontal="center" vertical="center" wrapText="1"/>
    </xf>
    <xf numFmtId="3" fontId="11" fillId="0" borderId="83" xfId="22" applyNumberFormat="1" applyFont="1" applyBorder="1" applyAlignment="1">
      <alignment horizontal="center" vertical="center" wrapText="1"/>
    </xf>
    <xf numFmtId="3" fontId="11" fillId="0" borderId="160" xfId="22" applyNumberFormat="1" applyFont="1" applyBorder="1" applyAlignment="1">
      <alignment horizontal="center" vertical="center" wrapText="1"/>
    </xf>
    <xf numFmtId="0" fontId="13" fillId="0" borderId="12" xfId="0" applyFont="1" applyBorder="1" applyAlignment="1">
      <alignment horizontal="center" vertical="center"/>
    </xf>
    <xf numFmtId="0" fontId="13" fillId="0" borderId="166" xfId="0" applyFont="1" applyBorder="1" applyAlignment="1">
      <alignment horizontal="center" vertical="center"/>
    </xf>
    <xf numFmtId="0" fontId="11" fillId="0" borderId="0" xfId="0" applyFont="1" applyAlignment="1">
      <alignment horizontal="left" vertical="top"/>
    </xf>
    <xf numFmtId="0" fontId="14" fillId="0" borderId="0" xfId="0" applyFont="1" applyAlignment="1">
      <alignment horizontal="center" vertical="top"/>
    </xf>
    <xf numFmtId="0" fontId="15" fillId="0" borderId="6" xfId="0" applyFont="1" applyBorder="1" applyAlignment="1">
      <alignment horizontal="center"/>
    </xf>
    <xf numFmtId="0" fontId="13" fillId="0" borderId="12" xfId="0" applyFont="1" applyBorder="1" applyAlignment="1">
      <alignment horizontal="center" vertical="center" wrapText="1"/>
    </xf>
    <xf numFmtId="0" fontId="13" fillId="0" borderId="166" xfId="0" applyFont="1" applyBorder="1" applyAlignment="1">
      <alignment horizontal="center" vertical="center" wrapText="1"/>
    </xf>
  </cellXfs>
  <cellStyles count="51">
    <cellStyle name="Ezres 2" xfId="1"/>
    <cellStyle name="Ezres 3" xfId="2"/>
    <cellStyle name="Ezres 4" xfId="3"/>
    <cellStyle name="Ezres 4 2" xfId="4"/>
    <cellStyle name="Ezres 4 3" xfId="39"/>
    <cellStyle name="Ezres 4 5" xfId="50"/>
    <cellStyle name="Ezres 5" xfId="43"/>
    <cellStyle name="Normál" xfId="0" builtinId="0"/>
    <cellStyle name="Normál 10" xfId="42"/>
    <cellStyle name="Normál 2" xfId="5"/>
    <cellStyle name="Normál 3" xfId="6"/>
    <cellStyle name="Normál 4" xfId="7"/>
    <cellStyle name="Normál 5" xfId="8"/>
    <cellStyle name="Normál 6" xfId="9"/>
    <cellStyle name="Normál 6 2" xfId="10"/>
    <cellStyle name="Normál 6 3" xfId="11"/>
    <cellStyle name="Normál 6 3 2" xfId="12"/>
    <cellStyle name="Normál 6 3 2 2" xfId="37"/>
    <cellStyle name="Normál 6 3 2 3" xfId="38"/>
    <cellStyle name="Normál 6 3 2 3 2" xfId="47"/>
    <cellStyle name="Normál 6 3 2 4" xfId="48"/>
    <cellStyle name="Normál 6 3 2 5" xfId="49"/>
    <cellStyle name="Normál 7" xfId="13"/>
    <cellStyle name="Normál 8" xfId="14"/>
    <cellStyle name="Normál 8 2" xfId="15"/>
    <cellStyle name="Normál 8 2 2" xfId="41"/>
    <cellStyle name="Normál 8 2 3" xfId="46"/>
    <cellStyle name="Normál 9" xfId="16"/>
    <cellStyle name="Normál 9 2" xfId="40"/>
    <cellStyle name="Normál 9 3" xfId="45"/>
    <cellStyle name="Normál_2007.évi konc. összefoglaló bevétel" xfId="17"/>
    <cellStyle name="Normál_2007.évi konc. összefoglaló bevétel 2" xfId="18"/>
    <cellStyle name="Normál_2008.évi költségvetési javaslat" xfId="19"/>
    <cellStyle name="Normál_2011koltsegvetes (2) 2" xfId="20"/>
    <cellStyle name="Normál_Beruházási tábla 2007" xfId="21"/>
    <cellStyle name="Normál_EU-s tábla kv-hez_EU projektek tábla" xfId="22"/>
    <cellStyle name="Normál_fejlesztesi hitel" xfId="23"/>
    <cellStyle name="Normál_Hitel tábla 2012 terv" xfId="24"/>
    <cellStyle name="Normál_Hitel tábla 2012 terv (2)" xfId="25"/>
    <cellStyle name="Normál_hitelállomány07_12" xfId="26"/>
    <cellStyle name="Normál_hiteltörl költségvetés 2014" xfId="27"/>
    <cellStyle name="Normál_Intézményi bevétel-kiadás" xfId="28"/>
    <cellStyle name="Normál_Intézményi bevétel-kiadás 2" xfId="29"/>
    <cellStyle name="Normál_irodai végleges intézményekkel" xfId="30"/>
    <cellStyle name="Normál_Városfejlesztési Iroda - 2008. kv. tervezés" xfId="31"/>
    <cellStyle name="Normál_Városfejlesztési Iroda - 2008. kv. tervezés_2014.évi eredeti előirányzat 2" xfId="32"/>
    <cellStyle name="Normál_Városfejlesztési Iroda - 2008. kv. tervezés_Koltsegvetes_modositas_aprilis_tablazatai" xfId="33"/>
    <cellStyle name="Százalék" xfId="34" builtinId="5"/>
    <cellStyle name="Százalék 2" xfId="35"/>
    <cellStyle name="Százalék 3" xfId="36"/>
    <cellStyle name="Százalék 3 2" xfId="4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chartsheet" Target="chartsheets/sheet3.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externalLink" Target="externalLinks/externalLink6.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chartsheet" Target="chartsheets/sheet2.xml"/><Relationship Id="rId33" Type="http://schemas.openxmlformats.org/officeDocument/2006/relationships/externalLink" Target="externalLinks/externalLink5.xml"/><Relationship Id="rId38"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chartsheet" Target="chartsheets/sheet1.xml"/><Relationship Id="rId32" Type="http://schemas.openxmlformats.org/officeDocument/2006/relationships/externalLink" Target="externalLinks/externalLink4.xml"/><Relationship Id="rId37"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chartsheet" Target="chartsheets/sheet5.xml"/><Relationship Id="rId36" Type="http://schemas.openxmlformats.org/officeDocument/2006/relationships/styles" Target="styles.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externalLink" Target="externalLinks/externalLink3.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chartsheet" Target="chartsheets/sheet4.xml"/><Relationship Id="rId30" Type="http://schemas.openxmlformats.org/officeDocument/2006/relationships/externalLink" Target="externalLinks/externalLink2.xml"/><Relationship Id="rId35" Type="http://schemas.openxmlformats.org/officeDocument/2006/relationships/theme" Target="theme/theme1.xml"/></Relationships>
</file>

<file path=xl/charts/chart1.xml><?xml version="1.0" encoding="utf-8"?>
<c:chartSpace xmlns:c="http://schemas.openxmlformats.org/drawingml/2006/chart" xmlns:a="http://schemas.openxmlformats.org/drawingml/2006/main" xmlns:r="http://schemas.openxmlformats.org/officeDocument/2006/relationships">
  <c:date1904 val="0"/>
  <c:lang val="hu-HU"/>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b="1" i="0" u="none" strike="noStrike" baseline="0">
                <a:solidFill>
                  <a:srgbClr val="000000"/>
                </a:solidFill>
                <a:latin typeface="Times New Roman"/>
                <a:ea typeface="Times New Roman"/>
                <a:cs typeface="Times New Roman"/>
              </a:defRPr>
            </a:pPr>
            <a:r>
              <a:rPr lang="hu-HU"/>
              <a:t>AZ ÖNKORMÁNYZAT BEVÉTELEINEK ALAKULÁSA 2018-2020</a:t>
            </a:r>
          </a:p>
          <a:p>
            <a:pPr>
              <a:defRPr sz="1100" b="1" i="0" u="none" strike="noStrike" baseline="0">
                <a:solidFill>
                  <a:srgbClr val="000000"/>
                </a:solidFill>
                <a:latin typeface="Times New Roman"/>
                <a:ea typeface="Times New Roman"/>
                <a:cs typeface="Times New Roman"/>
              </a:defRPr>
            </a:pPr>
            <a:r>
              <a:rPr lang="hu-HU"/>
              <a:t>
 ÉVEKBEN</a:t>
            </a:r>
          </a:p>
        </c:rich>
      </c:tx>
      <c:layout>
        <c:manualLayout>
          <c:xMode val="edge"/>
          <c:yMode val="edge"/>
          <c:x val="0.26266802660030192"/>
          <c:y val="2.0618446790536725E-2"/>
        </c:manualLayout>
      </c:layout>
      <c:overlay val="0"/>
      <c:spPr>
        <a:noFill/>
        <a:ln w="25400">
          <a:noFill/>
        </a:ln>
      </c:spPr>
    </c:title>
    <c:autoTitleDeleted val="0"/>
    <c:view3D>
      <c:rotX val="15"/>
      <c:hPercent val="80"/>
      <c:rotY val="20"/>
      <c:depthPercent val="100"/>
      <c:rAngAx val="1"/>
    </c:view3D>
    <c:floor>
      <c:thickness val="0"/>
      <c:spPr>
        <a:solidFill>
          <a:srgbClr val="C0C0C0">
            <a:alpha val="61000"/>
          </a:srgbClr>
        </a:solidFill>
        <a:ln w="3175">
          <a:solidFill>
            <a:srgbClr val="000000"/>
          </a:solidFill>
          <a:prstDash val="solid"/>
        </a:ln>
      </c:spPr>
    </c:floor>
    <c:sideWall>
      <c:thickness val="0"/>
      <c:spPr>
        <a:solidFill>
          <a:schemeClr val="bg1">
            <a:lumMod val="95000"/>
            <a:alpha val="45000"/>
          </a:schemeClr>
        </a:solidFill>
        <a:ln w="12700">
          <a:solidFill>
            <a:srgbClr val="000000"/>
          </a:solidFill>
          <a:prstDash val="solid"/>
        </a:ln>
      </c:spPr>
    </c:sideWall>
    <c:backWall>
      <c:thickness val="0"/>
      <c:spPr>
        <a:solidFill>
          <a:schemeClr val="bg1">
            <a:lumMod val="85000"/>
          </a:schemeClr>
        </a:solidFill>
        <a:ln w="12700">
          <a:solidFill>
            <a:srgbClr val="000000"/>
          </a:solidFill>
          <a:prstDash val="solid"/>
        </a:ln>
      </c:spPr>
    </c:backWall>
    <c:plotArea>
      <c:layout>
        <c:manualLayout>
          <c:layoutTarget val="inner"/>
          <c:xMode val="edge"/>
          <c:yMode val="edge"/>
          <c:x val="0.14167076607175114"/>
          <c:y val="0.13230234095350241"/>
          <c:w val="0.50672182006204758"/>
          <c:h val="0.79381443298969068"/>
        </c:manualLayout>
      </c:layout>
      <c:bar3DChart>
        <c:barDir val="col"/>
        <c:grouping val="stacked"/>
        <c:varyColors val="0"/>
        <c:ser>
          <c:idx val="0"/>
          <c:order val="0"/>
          <c:tx>
            <c:strRef>
              <c:f>[2]Munka1!$A$6</c:f>
              <c:strCache>
                <c:ptCount val="1"/>
                <c:pt idx="0">
                  <c:v>Központi koltségvetési támogatás</c:v>
                </c:pt>
              </c:strCache>
            </c:strRef>
          </c:tx>
          <c:spPr>
            <a:solidFill>
              <a:srgbClr val="7030A0"/>
            </a:solidFill>
            <a:ln w="12700">
              <a:solidFill>
                <a:srgbClr val="000000"/>
              </a:solidFill>
              <a:prstDash val="solid"/>
            </a:ln>
          </c:spPr>
          <c:invertIfNegative val="0"/>
          <c:cat>
            <c:strRef>
              <c:f>([2]Munka1!$B$4:$D$4,[2]Munka1!$B$15:$D$15)</c:f>
              <c:strCache>
                <c:ptCount val="6"/>
                <c:pt idx="0">
                  <c:v>2018.ÉVI TÉNY  </c:v>
                </c:pt>
                <c:pt idx="1">
                  <c:v>2019.ÉVI VÁRHATÓ   </c:v>
                </c:pt>
                <c:pt idx="2">
                  <c:v>2020.ÉVI TERV </c:v>
                </c:pt>
                <c:pt idx="3">
                  <c:v>33868500</c:v>
                </c:pt>
                <c:pt idx="4">
                  <c:v>39174083</c:v>
                </c:pt>
                <c:pt idx="5">
                  <c:v>37772045</c:v>
                </c:pt>
              </c:strCache>
            </c:strRef>
          </c:cat>
          <c:val>
            <c:numRef>
              <c:f>[2]Munka1!$B$6:$D$6</c:f>
              <c:numCache>
                <c:formatCode>General</c:formatCode>
                <c:ptCount val="3"/>
                <c:pt idx="0">
                  <c:v>3393904</c:v>
                </c:pt>
                <c:pt idx="1">
                  <c:v>3676859</c:v>
                </c:pt>
                <c:pt idx="2">
                  <c:v>3066627</c:v>
                </c:pt>
              </c:numCache>
            </c:numRef>
          </c:val>
          <c:extLst xmlns:c16r2="http://schemas.microsoft.com/office/drawing/2015/06/chart">
            <c:ext xmlns:c16="http://schemas.microsoft.com/office/drawing/2014/chart" uri="{C3380CC4-5D6E-409C-BE32-E72D297353CC}">
              <c16:uniqueId val="{00000000-24DD-40D1-807B-4E3490D81C03}"/>
            </c:ext>
          </c:extLst>
        </c:ser>
        <c:ser>
          <c:idx val="1"/>
          <c:order val="1"/>
          <c:tx>
            <c:strRef>
              <c:f>[2]Munka1!$A$8</c:f>
              <c:strCache>
                <c:ptCount val="1"/>
                <c:pt idx="0">
                  <c:v>Működési célú támogatások</c:v>
                </c:pt>
              </c:strCache>
            </c:strRef>
          </c:tx>
          <c:spPr>
            <a:solidFill>
              <a:schemeClr val="bg2">
                <a:lumMod val="25000"/>
              </a:schemeClr>
            </a:solidFill>
            <a:ln w="12700">
              <a:solidFill>
                <a:srgbClr val="000000"/>
              </a:solidFill>
              <a:prstDash val="solid"/>
            </a:ln>
          </c:spPr>
          <c:invertIfNegative val="0"/>
          <c:cat>
            <c:strRef>
              <c:f>([2]Munka1!$B$4:$D$4,[2]Munka1!$B$15:$D$15)</c:f>
              <c:strCache>
                <c:ptCount val="6"/>
                <c:pt idx="0">
                  <c:v>2018.ÉVI TÉNY  </c:v>
                </c:pt>
                <c:pt idx="1">
                  <c:v>2019.ÉVI VÁRHATÓ   </c:v>
                </c:pt>
                <c:pt idx="2">
                  <c:v>2020.ÉVI TERV </c:v>
                </c:pt>
                <c:pt idx="3">
                  <c:v>33868500</c:v>
                </c:pt>
                <c:pt idx="4">
                  <c:v>39174083</c:v>
                </c:pt>
                <c:pt idx="5">
                  <c:v>37772045</c:v>
                </c:pt>
              </c:strCache>
            </c:strRef>
          </c:cat>
          <c:val>
            <c:numRef>
              <c:f>[2]Munka1!$B$8:$D$8</c:f>
              <c:numCache>
                <c:formatCode>General</c:formatCode>
                <c:ptCount val="3"/>
                <c:pt idx="0">
                  <c:v>582004</c:v>
                </c:pt>
                <c:pt idx="1">
                  <c:v>1401865</c:v>
                </c:pt>
                <c:pt idx="2">
                  <c:v>1573630</c:v>
                </c:pt>
              </c:numCache>
            </c:numRef>
          </c:val>
          <c:extLst xmlns:c16r2="http://schemas.microsoft.com/office/drawing/2015/06/chart">
            <c:ext xmlns:c16="http://schemas.microsoft.com/office/drawing/2014/chart" uri="{C3380CC4-5D6E-409C-BE32-E72D297353CC}">
              <c16:uniqueId val="{00000001-24DD-40D1-807B-4E3490D81C03}"/>
            </c:ext>
          </c:extLst>
        </c:ser>
        <c:ser>
          <c:idx val="3"/>
          <c:order val="2"/>
          <c:tx>
            <c:strRef>
              <c:f>[2]Munka1!$A$9</c:f>
              <c:strCache>
                <c:ptCount val="1"/>
                <c:pt idx="0">
                  <c:v>Közhatalmi bevételek (helyi adók,, gépjárműadó, egyéb pótlék, bírság)</c:v>
                </c:pt>
              </c:strCache>
            </c:strRef>
          </c:tx>
          <c:spPr>
            <a:solidFill>
              <a:schemeClr val="accent5">
                <a:lumMod val="60000"/>
                <a:lumOff val="40000"/>
              </a:schemeClr>
            </a:solidFill>
            <a:ln w="12700">
              <a:solidFill>
                <a:srgbClr val="000000"/>
              </a:solidFill>
              <a:prstDash val="solid"/>
            </a:ln>
          </c:spPr>
          <c:invertIfNegative val="0"/>
          <c:cat>
            <c:strRef>
              <c:f>([2]Munka1!$B$4:$D$4,[2]Munka1!$B$15:$D$15)</c:f>
              <c:strCache>
                <c:ptCount val="6"/>
                <c:pt idx="0">
                  <c:v>2018.ÉVI TÉNY  </c:v>
                </c:pt>
                <c:pt idx="1">
                  <c:v>2019.ÉVI VÁRHATÓ   </c:v>
                </c:pt>
                <c:pt idx="2">
                  <c:v>2020.ÉVI TERV </c:v>
                </c:pt>
                <c:pt idx="3">
                  <c:v>33868500</c:v>
                </c:pt>
                <c:pt idx="4">
                  <c:v>39174083</c:v>
                </c:pt>
                <c:pt idx="5">
                  <c:v>37772045</c:v>
                </c:pt>
              </c:strCache>
            </c:strRef>
          </c:cat>
          <c:val>
            <c:numRef>
              <c:f>[2]Munka1!$B$9:$D$9</c:f>
              <c:numCache>
                <c:formatCode>General</c:formatCode>
                <c:ptCount val="3"/>
                <c:pt idx="0">
                  <c:v>8049548</c:v>
                </c:pt>
                <c:pt idx="1">
                  <c:v>8108452</c:v>
                </c:pt>
                <c:pt idx="2">
                  <c:v>7945120</c:v>
                </c:pt>
              </c:numCache>
            </c:numRef>
          </c:val>
          <c:extLst xmlns:c16r2="http://schemas.microsoft.com/office/drawing/2015/06/chart">
            <c:ext xmlns:c16="http://schemas.microsoft.com/office/drawing/2014/chart" uri="{C3380CC4-5D6E-409C-BE32-E72D297353CC}">
              <c16:uniqueId val="{00000002-24DD-40D1-807B-4E3490D81C03}"/>
            </c:ext>
          </c:extLst>
        </c:ser>
        <c:ser>
          <c:idx val="4"/>
          <c:order val="3"/>
          <c:tx>
            <c:strRef>
              <c:f>[2]Munka1!$A$10</c:f>
              <c:strCache>
                <c:ptCount val="1"/>
                <c:pt idx="0">
                  <c:v>Ingatlanok és tárgyi eszközök értékesítése</c:v>
                </c:pt>
              </c:strCache>
            </c:strRef>
          </c:tx>
          <c:spPr>
            <a:solidFill>
              <a:srgbClr val="002060"/>
            </a:solidFill>
            <a:ln w="12700">
              <a:solidFill>
                <a:srgbClr val="000000"/>
              </a:solidFill>
              <a:prstDash val="solid"/>
            </a:ln>
          </c:spPr>
          <c:invertIfNegative val="0"/>
          <c:cat>
            <c:strRef>
              <c:f>([2]Munka1!$B$4:$D$4,[2]Munka1!$B$15:$D$15)</c:f>
              <c:strCache>
                <c:ptCount val="6"/>
                <c:pt idx="0">
                  <c:v>2018.ÉVI TÉNY  </c:v>
                </c:pt>
                <c:pt idx="1">
                  <c:v>2019.ÉVI VÁRHATÓ   </c:v>
                </c:pt>
                <c:pt idx="2">
                  <c:v>2020.ÉVI TERV </c:v>
                </c:pt>
                <c:pt idx="3">
                  <c:v>33868500</c:v>
                </c:pt>
                <c:pt idx="4">
                  <c:v>39174083</c:v>
                </c:pt>
                <c:pt idx="5">
                  <c:v>37772045</c:v>
                </c:pt>
              </c:strCache>
            </c:strRef>
          </c:cat>
          <c:val>
            <c:numRef>
              <c:f>[2]Munka1!$B$10:$D$10</c:f>
              <c:numCache>
                <c:formatCode>General</c:formatCode>
                <c:ptCount val="3"/>
                <c:pt idx="0">
                  <c:v>136583</c:v>
                </c:pt>
                <c:pt idx="1">
                  <c:v>153966</c:v>
                </c:pt>
                <c:pt idx="2">
                  <c:v>190000</c:v>
                </c:pt>
              </c:numCache>
            </c:numRef>
          </c:val>
          <c:extLst xmlns:c16r2="http://schemas.microsoft.com/office/drawing/2015/06/chart">
            <c:ext xmlns:c16="http://schemas.microsoft.com/office/drawing/2014/chart" uri="{C3380CC4-5D6E-409C-BE32-E72D297353CC}">
              <c16:uniqueId val="{00000003-24DD-40D1-807B-4E3490D81C03}"/>
            </c:ext>
          </c:extLst>
        </c:ser>
        <c:ser>
          <c:idx val="5"/>
          <c:order val="4"/>
          <c:tx>
            <c:strRef>
              <c:f>[2]Munka1!$A$11</c:f>
              <c:strCache>
                <c:ptCount val="1"/>
                <c:pt idx="0">
                  <c:v>Működési bevételek </c:v>
                </c:pt>
              </c:strCache>
            </c:strRef>
          </c:tx>
          <c:spPr>
            <a:solidFill>
              <a:srgbClr val="FF0000"/>
            </a:solidFill>
            <a:ln w="12700">
              <a:solidFill>
                <a:srgbClr val="000000"/>
              </a:solidFill>
              <a:prstDash val="solid"/>
            </a:ln>
          </c:spPr>
          <c:invertIfNegative val="0"/>
          <c:cat>
            <c:strRef>
              <c:f>([2]Munka1!$B$4:$D$4,[2]Munka1!$B$15:$D$15)</c:f>
              <c:strCache>
                <c:ptCount val="6"/>
                <c:pt idx="0">
                  <c:v>2018.ÉVI TÉNY  </c:v>
                </c:pt>
                <c:pt idx="1">
                  <c:v>2019.ÉVI VÁRHATÓ   </c:v>
                </c:pt>
                <c:pt idx="2">
                  <c:v>2020.ÉVI TERV </c:v>
                </c:pt>
                <c:pt idx="3">
                  <c:v>33868500</c:v>
                </c:pt>
                <c:pt idx="4">
                  <c:v>39174083</c:v>
                </c:pt>
                <c:pt idx="5">
                  <c:v>37772045</c:v>
                </c:pt>
              </c:strCache>
            </c:strRef>
          </c:cat>
          <c:val>
            <c:numRef>
              <c:f>[2]Munka1!$B$11:$D$11</c:f>
              <c:numCache>
                <c:formatCode>General</c:formatCode>
                <c:ptCount val="3"/>
                <c:pt idx="0">
                  <c:v>2034526</c:v>
                </c:pt>
                <c:pt idx="1">
                  <c:v>1953150</c:v>
                </c:pt>
                <c:pt idx="2">
                  <c:v>2529882</c:v>
                </c:pt>
              </c:numCache>
            </c:numRef>
          </c:val>
          <c:extLst xmlns:c16r2="http://schemas.microsoft.com/office/drawing/2015/06/chart">
            <c:ext xmlns:c16="http://schemas.microsoft.com/office/drawing/2014/chart" uri="{C3380CC4-5D6E-409C-BE32-E72D297353CC}">
              <c16:uniqueId val="{00000004-24DD-40D1-807B-4E3490D81C03}"/>
            </c:ext>
          </c:extLst>
        </c:ser>
        <c:ser>
          <c:idx val="7"/>
          <c:order val="5"/>
          <c:tx>
            <c:strRef>
              <c:f>[2]Munka1!$A$12</c:f>
              <c:strCache>
                <c:ptCount val="1"/>
                <c:pt idx="0">
                  <c:v>Átvett pénzeszközök,felhalmozási bevételek</c:v>
                </c:pt>
              </c:strCache>
            </c:strRef>
          </c:tx>
          <c:spPr>
            <a:solidFill>
              <a:schemeClr val="accent6">
                <a:lumMod val="50000"/>
              </a:schemeClr>
            </a:solidFill>
            <a:ln w="12700">
              <a:solidFill>
                <a:srgbClr val="000000"/>
              </a:solidFill>
              <a:prstDash val="solid"/>
            </a:ln>
          </c:spPr>
          <c:invertIfNegative val="0"/>
          <c:cat>
            <c:strRef>
              <c:f>([2]Munka1!$B$4:$D$4,[2]Munka1!$B$15:$D$15)</c:f>
              <c:strCache>
                <c:ptCount val="6"/>
                <c:pt idx="0">
                  <c:v>2018.ÉVI TÉNY  </c:v>
                </c:pt>
                <c:pt idx="1">
                  <c:v>2019.ÉVI VÁRHATÓ   </c:v>
                </c:pt>
                <c:pt idx="2">
                  <c:v>2020.ÉVI TERV </c:v>
                </c:pt>
                <c:pt idx="3">
                  <c:v>33868500</c:v>
                </c:pt>
                <c:pt idx="4">
                  <c:v>39174083</c:v>
                </c:pt>
                <c:pt idx="5">
                  <c:v>37772045</c:v>
                </c:pt>
              </c:strCache>
            </c:strRef>
          </c:cat>
          <c:val>
            <c:numRef>
              <c:f>[2]Munka1!$B$12:$D$12</c:f>
              <c:numCache>
                <c:formatCode>General</c:formatCode>
                <c:ptCount val="3"/>
                <c:pt idx="0">
                  <c:v>62968</c:v>
                </c:pt>
                <c:pt idx="1">
                  <c:v>641201</c:v>
                </c:pt>
                <c:pt idx="2">
                  <c:v>7543</c:v>
                </c:pt>
              </c:numCache>
            </c:numRef>
          </c:val>
          <c:extLst xmlns:c16r2="http://schemas.microsoft.com/office/drawing/2015/06/chart">
            <c:ext xmlns:c16="http://schemas.microsoft.com/office/drawing/2014/chart" uri="{C3380CC4-5D6E-409C-BE32-E72D297353CC}">
              <c16:uniqueId val="{00000005-24DD-40D1-807B-4E3490D81C03}"/>
            </c:ext>
          </c:extLst>
        </c:ser>
        <c:ser>
          <c:idx val="8"/>
          <c:order val="6"/>
          <c:tx>
            <c:strRef>
              <c:f>[2]Munka1!$A$13</c:f>
              <c:strCache>
                <c:ptCount val="1"/>
                <c:pt idx="0">
                  <c:v>Költségvetési maradvány</c:v>
                </c:pt>
              </c:strCache>
            </c:strRef>
          </c:tx>
          <c:spPr>
            <a:solidFill>
              <a:srgbClr val="00B050"/>
            </a:solidFill>
            <a:ln w="12700">
              <a:solidFill>
                <a:srgbClr val="000000"/>
              </a:solidFill>
              <a:prstDash val="solid"/>
            </a:ln>
          </c:spPr>
          <c:invertIfNegative val="0"/>
          <c:cat>
            <c:strRef>
              <c:f>([2]Munka1!$B$4:$D$4,[2]Munka1!$B$15:$D$15)</c:f>
              <c:strCache>
                <c:ptCount val="6"/>
                <c:pt idx="0">
                  <c:v>2018.ÉVI TÉNY  </c:v>
                </c:pt>
                <c:pt idx="1">
                  <c:v>2019.ÉVI VÁRHATÓ   </c:v>
                </c:pt>
                <c:pt idx="2">
                  <c:v>2020.ÉVI TERV </c:v>
                </c:pt>
                <c:pt idx="3">
                  <c:v>33868500</c:v>
                </c:pt>
                <c:pt idx="4">
                  <c:v>39174083</c:v>
                </c:pt>
                <c:pt idx="5">
                  <c:v>37772045</c:v>
                </c:pt>
              </c:strCache>
            </c:strRef>
          </c:cat>
          <c:val>
            <c:numRef>
              <c:f>[2]Munka1!$B$13:$D$13</c:f>
              <c:numCache>
                <c:formatCode>General</c:formatCode>
                <c:ptCount val="3"/>
                <c:pt idx="0">
                  <c:v>6873658</c:v>
                </c:pt>
                <c:pt idx="1">
                  <c:v>13087077</c:v>
                </c:pt>
                <c:pt idx="2">
                  <c:v>12883374</c:v>
                </c:pt>
              </c:numCache>
            </c:numRef>
          </c:val>
          <c:extLst xmlns:c16r2="http://schemas.microsoft.com/office/drawing/2015/06/chart">
            <c:ext xmlns:c16="http://schemas.microsoft.com/office/drawing/2014/chart" uri="{C3380CC4-5D6E-409C-BE32-E72D297353CC}">
              <c16:uniqueId val="{00000006-24DD-40D1-807B-4E3490D81C03}"/>
            </c:ext>
          </c:extLst>
        </c:ser>
        <c:ser>
          <c:idx val="9"/>
          <c:order val="7"/>
          <c:tx>
            <c:strRef>
              <c:f>[2]Munka1!$A$14</c:f>
              <c:strCache>
                <c:ptCount val="1"/>
                <c:pt idx="0">
                  <c:v>Hitelfelvétel</c:v>
                </c:pt>
              </c:strCache>
            </c:strRef>
          </c:tx>
          <c:spPr>
            <a:solidFill>
              <a:schemeClr val="tx1">
                <a:lumMod val="65000"/>
                <a:lumOff val="35000"/>
              </a:schemeClr>
            </a:solidFill>
            <a:ln w="12700">
              <a:solidFill>
                <a:srgbClr val="000000"/>
              </a:solidFill>
              <a:prstDash val="solid"/>
            </a:ln>
          </c:spPr>
          <c:invertIfNegative val="0"/>
          <c:cat>
            <c:strRef>
              <c:f>([2]Munka1!$B$4:$D$4,[2]Munka1!$B$15:$D$15)</c:f>
              <c:strCache>
                <c:ptCount val="6"/>
                <c:pt idx="0">
                  <c:v>2018.ÉVI TÉNY  </c:v>
                </c:pt>
                <c:pt idx="1">
                  <c:v>2019.ÉVI VÁRHATÓ   </c:v>
                </c:pt>
                <c:pt idx="2">
                  <c:v>2020.ÉVI TERV </c:v>
                </c:pt>
                <c:pt idx="3">
                  <c:v>33868500</c:v>
                </c:pt>
                <c:pt idx="4">
                  <c:v>39174083</c:v>
                </c:pt>
                <c:pt idx="5">
                  <c:v>37772045</c:v>
                </c:pt>
              </c:strCache>
            </c:strRef>
          </c:cat>
          <c:val>
            <c:numRef>
              <c:f>[2]Munka1!$B$14:$D$14</c:f>
              <c:numCache>
                <c:formatCode>General</c:formatCode>
                <c:ptCount val="3"/>
                <c:pt idx="0">
                  <c:v>51512</c:v>
                </c:pt>
                <c:pt idx="1">
                  <c:v>676488</c:v>
                </c:pt>
                <c:pt idx="2">
                  <c:v>1409800</c:v>
                </c:pt>
              </c:numCache>
            </c:numRef>
          </c:val>
          <c:extLst xmlns:c16r2="http://schemas.microsoft.com/office/drawing/2015/06/chart">
            <c:ext xmlns:c16="http://schemas.microsoft.com/office/drawing/2014/chart" uri="{C3380CC4-5D6E-409C-BE32-E72D297353CC}">
              <c16:uniqueId val="{00000007-24DD-40D1-807B-4E3490D81C03}"/>
            </c:ext>
          </c:extLst>
        </c:ser>
        <c:ser>
          <c:idx val="2"/>
          <c:order val="8"/>
          <c:tx>
            <c:strRef>
              <c:f>[2]Munka1!$A$7</c:f>
              <c:strCache>
                <c:ptCount val="1"/>
                <c:pt idx="0">
                  <c:v>Egyéb kapott támogatás</c:v>
                </c:pt>
              </c:strCache>
            </c:strRef>
          </c:tx>
          <c:spPr>
            <a:solidFill>
              <a:srgbClr val="FFFF00"/>
            </a:solidFill>
            <a:ln w="12700">
              <a:solidFill>
                <a:srgbClr val="000000"/>
              </a:solidFill>
              <a:prstDash val="solid"/>
            </a:ln>
          </c:spPr>
          <c:invertIfNegative val="0"/>
          <c:cat>
            <c:strRef>
              <c:f>([2]Munka1!$B$4:$D$4,[2]Munka1!$B$15:$D$15)</c:f>
              <c:strCache>
                <c:ptCount val="6"/>
                <c:pt idx="0">
                  <c:v>2018.ÉVI TÉNY  </c:v>
                </c:pt>
                <c:pt idx="1">
                  <c:v>2019.ÉVI VÁRHATÓ   </c:v>
                </c:pt>
                <c:pt idx="2">
                  <c:v>2020.ÉVI TERV </c:v>
                </c:pt>
                <c:pt idx="3">
                  <c:v>33868500</c:v>
                </c:pt>
                <c:pt idx="4">
                  <c:v>39174083</c:v>
                </c:pt>
                <c:pt idx="5">
                  <c:v>37772045</c:v>
                </c:pt>
              </c:strCache>
            </c:strRef>
          </c:cat>
          <c:val>
            <c:numRef>
              <c:f>[2]Munka1!$B$7:$D$7</c:f>
              <c:numCache>
                <c:formatCode>General</c:formatCode>
                <c:ptCount val="3"/>
                <c:pt idx="0">
                  <c:v>12683797</c:v>
                </c:pt>
                <c:pt idx="1">
                  <c:v>9475025</c:v>
                </c:pt>
                <c:pt idx="2">
                  <c:v>8166069</c:v>
                </c:pt>
              </c:numCache>
            </c:numRef>
          </c:val>
          <c:extLst xmlns:c16r2="http://schemas.microsoft.com/office/drawing/2015/06/chart">
            <c:ext xmlns:c16="http://schemas.microsoft.com/office/drawing/2014/chart" uri="{C3380CC4-5D6E-409C-BE32-E72D297353CC}">
              <c16:uniqueId val="{00000008-24DD-40D1-807B-4E3490D81C03}"/>
            </c:ext>
          </c:extLst>
        </c:ser>
        <c:dLbls>
          <c:showLegendKey val="0"/>
          <c:showVal val="0"/>
          <c:showCatName val="0"/>
          <c:showSerName val="0"/>
          <c:showPercent val="0"/>
          <c:showBubbleSize val="0"/>
        </c:dLbls>
        <c:gapWidth val="150"/>
        <c:shape val="box"/>
        <c:axId val="161623040"/>
        <c:axId val="161624832"/>
        <c:axId val="0"/>
      </c:bar3DChart>
      <c:catAx>
        <c:axId val="161623040"/>
        <c:scaling>
          <c:orientation val="minMax"/>
        </c:scaling>
        <c:delete val="0"/>
        <c:axPos val="b"/>
        <c:numFmt formatCode="General" sourceLinked="1"/>
        <c:majorTickMark val="out"/>
        <c:minorTickMark val="none"/>
        <c:tickLblPos val="low"/>
        <c:spPr>
          <a:ln w="3175">
            <a:solidFill>
              <a:srgbClr val="000000"/>
            </a:solidFill>
            <a:prstDash val="solid"/>
          </a:ln>
        </c:spPr>
        <c:txPr>
          <a:bodyPr rot="0" vert="horz"/>
          <a:lstStyle/>
          <a:p>
            <a:pPr>
              <a:defRPr sz="800" b="0" i="0" u="none" strike="noStrike" baseline="0">
                <a:solidFill>
                  <a:srgbClr val="000000"/>
                </a:solidFill>
                <a:latin typeface="Times New Roman"/>
                <a:ea typeface="Times New Roman"/>
                <a:cs typeface="Times New Roman"/>
              </a:defRPr>
            </a:pPr>
            <a:endParaRPr lang="hu-HU"/>
          </a:p>
        </c:txPr>
        <c:crossAx val="161624832"/>
        <c:crosses val="autoZero"/>
        <c:auto val="1"/>
        <c:lblAlgn val="ctr"/>
        <c:lblOffset val="100"/>
        <c:tickLblSkip val="1"/>
        <c:tickMarkSkip val="1"/>
        <c:noMultiLvlLbl val="0"/>
      </c:catAx>
      <c:valAx>
        <c:axId val="161624832"/>
        <c:scaling>
          <c:orientation val="minMax"/>
        </c:scaling>
        <c:delete val="0"/>
        <c:axPos val="l"/>
        <c:title>
          <c:tx>
            <c:rich>
              <a:bodyPr rot="0" vert="horz"/>
              <a:lstStyle/>
              <a:p>
                <a:pPr algn="l">
                  <a:defRPr sz="1175" b="1" i="0" u="none" strike="noStrike" baseline="0">
                    <a:solidFill>
                      <a:srgbClr val="000000"/>
                    </a:solidFill>
                    <a:latin typeface="Times New Roman"/>
                    <a:ea typeface="Times New Roman"/>
                    <a:cs typeface="Times New Roman"/>
                  </a:defRPr>
                </a:pPr>
                <a:r>
                  <a:rPr lang="hu-HU"/>
                  <a:t>Ezer forint</a:t>
                </a:r>
              </a:p>
            </c:rich>
          </c:tx>
          <c:layout>
            <c:manualLayout>
              <c:xMode val="edge"/>
              <c:yMode val="edge"/>
              <c:x val="7.3423143350604486E-2"/>
              <c:y val="0.17525779157123431"/>
            </c:manualLayout>
          </c:layout>
          <c:overlay val="0"/>
          <c:spPr>
            <a:noFill/>
            <a:ln w="25400">
              <a:noFill/>
            </a:ln>
          </c:spPr>
        </c:title>
        <c:numFmt formatCode="General" sourceLinked="1"/>
        <c:majorTickMark val="out"/>
        <c:minorTickMark val="none"/>
        <c:tickLblPos val="nextTo"/>
        <c:spPr>
          <a:ln w="3175">
            <a:solidFill>
              <a:srgbClr val="000000"/>
            </a:solidFill>
            <a:prstDash val="solid"/>
          </a:ln>
        </c:spPr>
        <c:txPr>
          <a:bodyPr rot="0" vert="horz"/>
          <a:lstStyle/>
          <a:p>
            <a:pPr>
              <a:defRPr sz="975" b="0" i="0" u="none" strike="noStrike" baseline="0">
                <a:solidFill>
                  <a:srgbClr val="000000"/>
                </a:solidFill>
                <a:latin typeface="Times New Roman"/>
                <a:ea typeface="Times New Roman"/>
                <a:cs typeface="Times New Roman"/>
              </a:defRPr>
            </a:pPr>
            <a:endParaRPr lang="hu-HU"/>
          </a:p>
        </c:txPr>
        <c:crossAx val="161623040"/>
        <c:crosses val="autoZero"/>
        <c:crossBetween val="between"/>
      </c:valAx>
      <c:spPr>
        <a:noFill/>
        <a:ln w="25400">
          <a:noFill/>
        </a:ln>
      </c:spPr>
    </c:plotArea>
    <c:legend>
      <c:legendPos val="r"/>
      <c:legendEntry>
        <c:idx val="0"/>
        <c:txPr>
          <a:bodyPr/>
          <a:lstStyle/>
          <a:p>
            <a:pPr>
              <a:defRPr sz="950" b="0" i="0" u="none" strike="noStrike" baseline="0">
                <a:solidFill>
                  <a:srgbClr val="000000"/>
                </a:solidFill>
                <a:latin typeface="Times New Roman"/>
                <a:ea typeface="Times New Roman"/>
                <a:cs typeface="Times New Roman"/>
              </a:defRPr>
            </a:pPr>
            <a:endParaRPr lang="hu-HU"/>
          </a:p>
        </c:txPr>
      </c:legendEntry>
      <c:legendEntry>
        <c:idx val="1"/>
        <c:txPr>
          <a:bodyPr/>
          <a:lstStyle/>
          <a:p>
            <a:pPr>
              <a:defRPr sz="950" b="0" i="0" u="none" strike="noStrike" baseline="0">
                <a:solidFill>
                  <a:srgbClr val="000000"/>
                </a:solidFill>
                <a:latin typeface="Times New Roman"/>
                <a:ea typeface="Times New Roman"/>
                <a:cs typeface="Times New Roman"/>
              </a:defRPr>
            </a:pPr>
            <a:endParaRPr lang="hu-HU"/>
          </a:p>
        </c:txPr>
      </c:legendEntry>
      <c:legendEntry>
        <c:idx val="2"/>
        <c:txPr>
          <a:bodyPr/>
          <a:lstStyle/>
          <a:p>
            <a:pPr>
              <a:defRPr sz="950" b="0" i="0" u="none" strike="noStrike" baseline="0">
                <a:solidFill>
                  <a:srgbClr val="000000"/>
                </a:solidFill>
                <a:latin typeface="Times New Roman"/>
                <a:ea typeface="Times New Roman"/>
                <a:cs typeface="Times New Roman"/>
              </a:defRPr>
            </a:pPr>
            <a:endParaRPr lang="hu-HU"/>
          </a:p>
        </c:txPr>
      </c:legendEntry>
      <c:legendEntry>
        <c:idx val="3"/>
        <c:txPr>
          <a:bodyPr/>
          <a:lstStyle/>
          <a:p>
            <a:pPr>
              <a:defRPr sz="950" b="0" i="0" u="none" strike="noStrike" baseline="0">
                <a:solidFill>
                  <a:srgbClr val="000000"/>
                </a:solidFill>
                <a:latin typeface="Times New Roman"/>
                <a:ea typeface="Times New Roman"/>
                <a:cs typeface="Times New Roman"/>
              </a:defRPr>
            </a:pPr>
            <a:endParaRPr lang="hu-HU"/>
          </a:p>
        </c:txPr>
      </c:legendEntry>
      <c:legendEntry>
        <c:idx val="4"/>
        <c:txPr>
          <a:bodyPr/>
          <a:lstStyle/>
          <a:p>
            <a:pPr>
              <a:defRPr sz="950" b="0" i="0" u="none" strike="noStrike" baseline="0">
                <a:solidFill>
                  <a:srgbClr val="000000"/>
                </a:solidFill>
                <a:latin typeface="Times New Roman"/>
                <a:ea typeface="Times New Roman"/>
                <a:cs typeface="Times New Roman"/>
              </a:defRPr>
            </a:pPr>
            <a:endParaRPr lang="hu-HU"/>
          </a:p>
        </c:txPr>
      </c:legendEntry>
      <c:legendEntry>
        <c:idx val="5"/>
        <c:txPr>
          <a:bodyPr/>
          <a:lstStyle/>
          <a:p>
            <a:pPr>
              <a:defRPr sz="950" b="0" i="0" u="none" strike="noStrike" baseline="0">
                <a:solidFill>
                  <a:srgbClr val="000000"/>
                </a:solidFill>
                <a:latin typeface="Times New Roman"/>
                <a:ea typeface="Times New Roman"/>
                <a:cs typeface="Times New Roman"/>
              </a:defRPr>
            </a:pPr>
            <a:endParaRPr lang="hu-HU"/>
          </a:p>
        </c:txPr>
      </c:legendEntry>
      <c:legendEntry>
        <c:idx val="6"/>
        <c:txPr>
          <a:bodyPr/>
          <a:lstStyle/>
          <a:p>
            <a:pPr>
              <a:defRPr sz="950" b="0" i="0" u="none" strike="noStrike" baseline="0">
                <a:solidFill>
                  <a:srgbClr val="000000"/>
                </a:solidFill>
                <a:latin typeface="Times New Roman"/>
                <a:ea typeface="Times New Roman"/>
                <a:cs typeface="Times New Roman"/>
              </a:defRPr>
            </a:pPr>
            <a:endParaRPr lang="hu-HU"/>
          </a:p>
        </c:txPr>
      </c:legendEntry>
      <c:legendEntry>
        <c:idx val="7"/>
        <c:txPr>
          <a:bodyPr/>
          <a:lstStyle/>
          <a:p>
            <a:pPr>
              <a:defRPr sz="950" b="0" i="0" u="none" strike="noStrike" baseline="0">
                <a:solidFill>
                  <a:srgbClr val="000000"/>
                </a:solidFill>
                <a:latin typeface="Times New Roman"/>
                <a:ea typeface="Times New Roman"/>
                <a:cs typeface="Times New Roman"/>
              </a:defRPr>
            </a:pPr>
            <a:endParaRPr lang="hu-HU"/>
          </a:p>
        </c:txPr>
      </c:legendEntry>
      <c:legendEntry>
        <c:idx val="8"/>
        <c:txPr>
          <a:bodyPr/>
          <a:lstStyle/>
          <a:p>
            <a:pPr>
              <a:defRPr sz="950" b="0" i="0" u="none" strike="noStrike" baseline="0">
                <a:solidFill>
                  <a:srgbClr val="000000"/>
                </a:solidFill>
                <a:latin typeface="Times New Roman"/>
                <a:ea typeface="Times New Roman"/>
                <a:cs typeface="Times New Roman"/>
              </a:defRPr>
            </a:pPr>
            <a:endParaRPr lang="hu-HU"/>
          </a:p>
        </c:txPr>
      </c:legendEntry>
      <c:layout>
        <c:manualLayout>
          <c:xMode val="edge"/>
          <c:yMode val="edge"/>
          <c:x val="0.69803818026489883"/>
          <c:y val="0.16878316090198364"/>
          <c:w val="0.20234591529747784"/>
          <c:h val="0.70463649875090917"/>
        </c:manualLayout>
      </c:layout>
      <c:overlay val="0"/>
      <c:spPr>
        <a:solidFill>
          <a:srgbClr val="FFFFFF"/>
        </a:solidFill>
        <a:ln w="3175">
          <a:solidFill>
            <a:srgbClr val="000000"/>
          </a:solidFill>
          <a:prstDash val="solid"/>
        </a:ln>
      </c:spPr>
      <c:txPr>
        <a:bodyPr/>
        <a:lstStyle/>
        <a:p>
          <a:pPr>
            <a:defRPr sz="825" b="0" i="0" u="none" strike="noStrike" baseline="0">
              <a:solidFill>
                <a:srgbClr val="000000"/>
              </a:solidFill>
              <a:latin typeface="Times New Roman"/>
              <a:ea typeface="Times New Roman"/>
              <a:cs typeface="Times New Roman"/>
            </a:defRPr>
          </a:pPr>
          <a:endParaRPr lang="hu-HU"/>
        </a:p>
      </c:txPr>
    </c:legend>
    <c:plotVisOnly val="1"/>
    <c:dispBlanksAs val="gap"/>
    <c:showDLblsOverMax val="0"/>
  </c:chart>
  <c:spPr>
    <a:noFill/>
    <a:ln w="9525">
      <a:noFill/>
    </a:ln>
  </c:spPr>
  <c:txPr>
    <a:bodyPr/>
    <a:lstStyle/>
    <a:p>
      <a:pPr>
        <a:defRPr sz="975" b="0" i="0" u="none" strike="noStrike" baseline="0">
          <a:solidFill>
            <a:srgbClr val="000000"/>
          </a:solidFill>
          <a:latin typeface="Times New Roman"/>
          <a:ea typeface="Times New Roman"/>
          <a:cs typeface="Times New Roman"/>
        </a:defRPr>
      </a:pPr>
      <a:endParaRPr lang="hu-HU"/>
    </a:p>
  </c:txPr>
</c:chartSpace>
</file>

<file path=xl/charts/chart2.xml><?xml version="1.0" encoding="utf-8"?>
<c:chartSpace xmlns:c="http://schemas.openxmlformats.org/drawingml/2006/chart" xmlns:a="http://schemas.openxmlformats.org/drawingml/2006/main" xmlns:r="http://schemas.openxmlformats.org/officeDocument/2006/relationships">
  <c:date1904 val="0"/>
  <c:lang val="hu-HU"/>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b="1" i="0" u="none" strike="noStrike" baseline="0">
                <a:solidFill>
                  <a:srgbClr val="000000"/>
                </a:solidFill>
                <a:latin typeface="Arial"/>
                <a:ea typeface="Arial"/>
                <a:cs typeface="Arial"/>
              </a:defRPr>
            </a:pPr>
            <a:r>
              <a:rPr lang="hu-HU"/>
              <a:t>AZ ÖNKORMÁNYZAT KIADÁSAINAK ALAKULÁSA A 2018-2020</a:t>
            </a:r>
          </a:p>
          <a:p>
            <a:pPr>
              <a:defRPr sz="1100" b="1" i="0" u="none" strike="noStrike" baseline="0">
                <a:solidFill>
                  <a:srgbClr val="000000"/>
                </a:solidFill>
                <a:latin typeface="Arial"/>
                <a:ea typeface="Arial"/>
                <a:cs typeface="Arial"/>
              </a:defRPr>
            </a:pPr>
            <a:r>
              <a:rPr lang="hu-HU"/>
              <a:t>ÉVEKBEN</a:t>
            </a:r>
          </a:p>
        </c:rich>
      </c:tx>
      <c:layout>
        <c:manualLayout>
          <c:xMode val="edge"/>
          <c:yMode val="edge"/>
          <c:x val="0.23784900465430114"/>
          <c:y val="2.0618523187395474E-2"/>
        </c:manualLayout>
      </c:layout>
      <c:overlay val="0"/>
      <c:spPr>
        <a:noFill/>
        <a:ln w="25400">
          <a:noFill/>
        </a:ln>
      </c:spPr>
    </c:title>
    <c:autoTitleDeleted val="0"/>
    <c:view3D>
      <c:rotX val="15"/>
      <c:hPercent val="100"/>
      <c:rotY val="20"/>
      <c:depthPercent val="100"/>
      <c:rAngAx val="0"/>
      <c:perspective val="30"/>
    </c:view3D>
    <c:floor>
      <c:thickness val="0"/>
      <c:spPr>
        <a:solidFill>
          <a:srgbClr val="C0C0C0"/>
        </a:solidFill>
        <a:ln w="3175">
          <a:solidFill>
            <a:srgbClr val="000000"/>
          </a:solidFill>
          <a:prstDash val="solid"/>
        </a:ln>
      </c:spPr>
    </c:floor>
    <c:sideWall>
      <c:thickness val="0"/>
      <c:spPr>
        <a:solidFill>
          <a:srgbClr val="C0C0C0"/>
        </a:solidFill>
        <a:ln w="12700">
          <a:solidFill>
            <a:srgbClr val="808080"/>
          </a:solidFill>
          <a:prstDash val="solid"/>
        </a:ln>
      </c:spPr>
    </c:sideWall>
    <c:backWall>
      <c:thickness val="0"/>
      <c:spPr>
        <a:solidFill>
          <a:srgbClr val="C0C0C0"/>
        </a:solidFill>
        <a:ln w="12700">
          <a:solidFill>
            <a:srgbClr val="808080"/>
          </a:solidFill>
          <a:prstDash val="solid"/>
        </a:ln>
      </c:spPr>
    </c:backWall>
    <c:plotArea>
      <c:layout>
        <c:manualLayout>
          <c:layoutTarget val="inner"/>
          <c:xMode val="edge"/>
          <c:yMode val="edge"/>
          <c:x val="0.15305067218200621"/>
          <c:y val="0.10309278350515463"/>
          <c:w val="0.55532574974146842"/>
          <c:h val="0.80584192439862545"/>
        </c:manualLayout>
      </c:layout>
      <c:bar3DChart>
        <c:barDir val="col"/>
        <c:grouping val="standard"/>
        <c:varyColors val="0"/>
        <c:ser>
          <c:idx val="2"/>
          <c:order val="0"/>
          <c:tx>
            <c:strRef>
              <c:f>[3]Munka1!$B$8</c:f>
              <c:strCache>
                <c:ptCount val="1"/>
                <c:pt idx="0">
                  <c:v>Hiteltörlesztés</c:v>
                </c:pt>
              </c:strCache>
            </c:strRef>
          </c:tx>
          <c:spPr>
            <a:solidFill>
              <a:srgbClr val="FF9900"/>
            </a:solidFill>
            <a:ln w="12700">
              <a:solidFill>
                <a:srgbClr val="000000"/>
              </a:solidFill>
              <a:prstDash val="solid"/>
            </a:ln>
          </c:spPr>
          <c:invertIfNegative val="0"/>
          <c:cat>
            <c:strRef>
              <c:f>[3]Munka1!$C$6:$E$6</c:f>
              <c:strCache>
                <c:ptCount val="3"/>
                <c:pt idx="0">
                  <c:v>2018. évi tény</c:v>
                </c:pt>
                <c:pt idx="1">
                  <c:v>2019. évi várható</c:v>
                </c:pt>
                <c:pt idx="2">
                  <c:v>2020. évi terv</c:v>
                </c:pt>
              </c:strCache>
            </c:strRef>
          </c:cat>
          <c:val>
            <c:numRef>
              <c:f>[3]Munka1!$C$8:$E$8</c:f>
              <c:numCache>
                <c:formatCode>General</c:formatCode>
                <c:ptCount val="3"/>
                <c:pt idx="0">
                  <c:v>107595</c:v>
                </c:pt>
                <c:pt idx="1">
                  <c:v>113595</c:v>
                </c:pt>
                <c:pt idx="2">
                  <c:v>108504</c:v>
                </c:pt>
              </c:numCache>
            </c:numRef>
          </c:val>
          <c:extLst xmlns:c16r2="http://schemas.microsoft.com/office/drawing/2015/06/chart">
            <c:ext xmlns:c16="http://schemas.microsoft.com/office/drawing/2014/chart" uri="{C3380CC4-5D6E-409C-BE32-E72D297353CC}">
              <c16:uniqueId val="{00000000-4AB8-4C5D-90F6-FF853391D9CE}"/>
            </c:ext>
          </c:extLst>
        </c:ser>
        <c:ser>
          <c:idx val="3"/>
          <c:order val="1"/>
          <c:tx>
            <c:strRef>
              <c:f>[3]Munka1!$B$9</c:f>
              <c:strCache>
                <c:ptCount val="1"/>
                <c:pt idx="0">
                  <c:v>Beruházás, felújítás, egyéb felhalmozás</c:v>
                </c:pt>
              </c:strCache>
            </c:strRef>
          </c:tx>
          <c:spPr>
            <a:solidFill>
              <a:srgbClr val="CCFFFF"/>
            </a:solidFill>
            <a:ln w="12700">
              <a:solidFill>
                <a:srgbClr val="000000"/>
              </a:solidFill>
              <a:prstDash val="solid"/>
            </a:ln>
          </c:spPr>
          <c:invertIfNegative val="0"/>
          <c:cat>
            <c:strRef>
              <c:f>[3]Munka1!$C$6:$E$6</c:f>
              <c:strCache>
                <c:ptCount val="3"/>
                <c:pt idx="0">
                  <c:v>2018. évi tény</c:v>
                </c:pt>
                <c:pt idx="1">
                  <c:v>2019. évi várható</c:v>
                </c:pt>
                <c:pt idx="2">
                  <c:v>2020. évi terv</c:v>
                </c:pt>
              </c:strCache>
            </c:strRef>
          </c:cat>
          <c:val>
            <c:numRef>
              <c:f>[3]Munka1!$C$9:$E$9</c:f>
              <c:numCache>
                <c:formatCode>General</c:formatCode>
                <c:ptCount val="3"/>
                <c:pt idx="0">
                  <c:v>8662579</c:v>
                </c:pt>
                <c:pt idx="1">
                  <c:v>21578471</c:v>
                </c:pt>
                <c:pt idx="2">
                  <c:v>22227115</c:v>
                </c:pt>
              </c:numCache>
            </c:numRef>
          </c:val>
          <c:extLst xmlns:c16r2="http://schemas.microsoft.com/office/drawing/2015/06/chart">
            <c:ext xmlns:c16="http://schemas.microsoft.com/office/drawing/2014/chart" uri="{C3380CC4-5D6E-409C-BE32-E72D297353CC}">
              <c16:uniqueId val="{00000001-4AB8-4C5D-90F6-FF853391D9CE}"/>
            </c:ext>
          </c:extLst>
        </c:ser>
        <c:ser>
          <c:idx val="4"/>
          <c:order val="2"/>
          <c:tx>
            <c:strRef>
              <c:f>[3]Munka1!$B$10</c:f>
              <c:strCache>
                <c:ptCount val="1"/>
                <c:pt idx="0">
                  <c:v>Intézmények működési kiadásai</c:v>
                </c:pt>
              </c:strCache>
            </c:strRef>
          </c:tx>
          <c:spPr>
            <a:solidFill>
              <a:srgbClr val="7030A0"/>
            </a:solidFill>
            <a:ln w="12700">
              <a:solidFill>
                <a:srgbClr val="000000"/>
              </a:solidFill>
              <a:prstDash val="solid"/>
            </a:ln>
          </c:spPr>
          <c:invertIfNegative val="0"/>
          <c:cat>
            <c:strRef>
              <c:f>[3]Munka1!$C$6:$E$6</c:f>
              <c:strCache>
                <c:ptCount val="3"/>
                <c:pt idx="0">
                  <c:v>2018. évi tény</c:v>
                </c:pt>
                <c:pt idx="1">
                  <c:v>2019. évi várható</c:v>
                </c:pt>
                <c:pt idx="2">
                  <c:v>2020. évi terv</c:v>
                </c:pt>
              </c:strCache>
            </c:strRef>
          </c:cat>
          <c:val>
            <c:numRef>
              <c:f>[3]Munka1!$C$10:$E$10</c:f>
              <c:numCache>
                <c:formatCode>General</c:formatCode>
                <c:ptCount val="3"/>
                <c:pt idx="0">
                  <c:v>7197678</c:v>
                </c:pt>
                <c:pt idx="1">
                  <c:v>8871331</c:v>
                </c:pt>
                <c:pt idx="2">
                  <c:v>7971537</c:v>
                </c:pt>
              </c:numCache>
            </c:numRef>
          </c:val>
          <c:extLst xmlns:c16r2="http://schemas.microsoft.com/office/drawing/2015/06/chart">
            <c:ext xmlns:c16="http://schemas.microsoft.com/office/drawing/2014/chart" uri="{C3380CC4-5D6E-409C-BE32-E72D297353CC}">
              <c16:uniqueId val="{00000002-4AB8-4C5D-90F6-FF853391D9CE}"/>
            </c:ext>
          </c:extLst>
        </c:ser>
        <c:ser>
          <c:idx val="5"/>
          <c:order val="3"/>
          <c:tx>
            <c:strRef>
              <c:f>[3]Munka1!$B$11</c:f>
              <c:strCache>
                <c:ptCount val="1"/>
                <c:pt idx="0">
                  <c:v>Önkormányzati feladatok és kötelezettségek működési kiadásai</c:v>
                </c:pt>
              </c:strCache>
            </c:strRef>
          </c:tx>
          <c:spPr>
            <a:solidFill>
              <a:srgbClr val="00FF00"/>
            </a:solidFill>
            <a:ln w="12700">
              <a:solidFill>
                <a:srgbClr val="000000"/>
              </a:solidFill>
              <a:prstDash val="solid"/>
            </a:ln>
          </c:spPr>
          <c:invertIfNegative val="0"/>
          <c:cat>
            <c:strRef>
              <c:f>[3]Munka1!$C$6:$E$6</c:f>
              <c:strCache>
                <c:ptCount val="3"/>
                <c:pt idx="0">
                  <c:v>2018. évi tény</c:v>
                </c:pt>
                <c:pt idx="1">
                  <c:v>2019. évi várható</c:v>
                </c:pt>
                <c:pt idx="2">
                  <c:v>2020. évi terv</c:v>
                </c:pt>
              </c:strCache>
            </c:strRef>
          </c:cat>
          <c:val>
            <c:numRef>
              <c:f>[3]Munka1!$C$11:$E$11</c:f>
              <c:numCache>
                <c:formatCode>General</c:formatCode>
                <c:ptCount val="3"/>
                <c:pt idx="0">
                  <c:v>4826496</c:v>
                </c:pt>
                <c:pt idx="1">
                  <c:v>7877817</c:v>
                </c:pt>
                <c:pt idx="2">
                  <c:v>6767214</c:v>
                </c:pt>
              </c:numCache>
            </c:numRef>
          </c:val>
          <c:extLst xmlns:c16r2="http://schemas.microsoft.com/office/drawing/2015/06/chart">
            <c:ext xmlns:c16="http://schemas.microsoft.com/office/drawing/2014/chart" uri="{C3380CC4-5D6E-409C-BE32-E72D297353CC}">
              <c16:uniqueId val="{00000003-4AB8-4C5D-90F6-FF853391D9CE}"/>
            </c:ext>
          </c:extLst>
        </c:ser>
        <c:dLbls>
          <c:showLegendKey val="0"/>
          <c:showVal val="0"/>
          <c:showCatName val="0"/>
          <c:showSerName val="0"/>
          <c:showPercent val="0"/>
          <c:showBubbleSize val="0"/>
        </c:dLbls>
        <c:gapWidth val="150"/>
        <c:shape val="box"/>
        <c:axId val="161850880"/>
        <c:axId val="161852416"/>
        <c:axId val="161631296"/>
      </c:bar3DChart>
      <c:catAx>
        <c:axId val="161850880"/>
        <c:scaling>
          <c:orientation val="minMax"/>
        </c:scaling>
        <c:delete val="0"/>
        <c:axPos val="b"/>
        <c:numFmt formatCode="General" sourceLinked="1"/>
        <c:majorTickMark val="out"/>
        <c:minorTickMark val="none"/>
        <c:tickLblPos val="low"/>
        <c:spPr>
          <a:ln w="3175">
            <a:solidFill>
              <a:srgbClr val="000000"/>
            </a:solidFill>
            <a:prstDash val="solid"/>
          </a:ln>
        </c:spPr>
        <c:txPr>
          <a:bodyPr rot="0" vert="horz"/>
          <a:lstStyle/>
          <a:p>
            <a:pPr>
              <a:defRPr sz="975" b="0" i="0" u="none" strike="noStrike" baseline="0">
                <a:solidFill>
                  <a:srgbClr val="000000"/>
                </a:solidFill>
                <a:latin typeface="Arial"/>
                <a:ea typeface="Arial"/>
                <a:cs typeface="Arial"/>
              </a:defRPr>
            </a:pPr>
            <a:endParaRPr lang="hu-HU"/>
          </a:p>
        </c:txPr>
        <c:crossAx val="161852416"/>
        <c:crosses val="autoZero"/>
        <c:auto val="1"/>
        <c:lblAlgn val="ctr"/>
        <c:lblOffset val="100"/>
        <c:tickLblSkip val="1"/>
        <c:tickMarkSkip val="1"/>
        <c:noMultiLvlLbl val="1"/>
      </c:catAx>
      <c:valAx>
        <c:axId val="161852416"/>
        <c:scaling>
          <c:orientation val="minMax"/>
        </c:scaling>
        <c:delete val="0"/>
        <c:axPos val="l"/>
        <c:majorGridlines>
          <c:spPr>
            <a:ln w="3175">
              <a:solidFill>
                <a:srgbClr val="000000"/>
              </a:solidFill>
              <a:prstDash val="solid"/>
            </a:ln>
          </c:spPr>
        </c:majorGridlines>
        <c:title>
          <c:tx>
            <c:rich>
              <a:bodyPr rot="0" vert="horz"/>
              <a:lstStyle/>
              <a:p>
                <a:pPr algn="ctr">
                  <a:defRPr sz="975" b="1" i="0" u="none" strike="noStrike" baseline="0">
                    <a:solidFill>
                      <a:srgbClr val="000000"/>
                    </a:solidFill>
                    <a:latin typeface="Arial"/>
                    <a:ea typeface="Arial"/>
                    <a:cs typeface="Arial"/>
                  </a:defRPr>
                </a:pPr>
                <a:r>
                  <a:rPr lang="hu-HU"/>
                  <a:t>Ezer forint</a:t>
                </a:r>
              </a:p>
            </c:rich>
          </c:tx>
          <c:layout>
            <c:manualLayout>
              <c:xMode val="edge"/>
              <c:yMode val="edge"/>
              <c:x val="0.17476736646029431"/>
              <c:y val="0.15120280437632966"/>
            </c:manualLayout>
          </c:layout>
          <c:overlay val="0"/>
          <c:spPr>
            <a:noFill/>
            <a:ln w="25400">
              <a:noFill/>
            </a:ln>
          </c:spPr>
        </c:title>
        <c:numFmt formatCode="General" sourceLinked="1"/>
        <c:majorTickMark val="out"/>
        <c:minorTickMark val="none"/>
        <c:tickLblPos val="nextTo"/>
        <c:spPr>
          <a:ln w="3175">
            <a:solidFill>
              <a:srgbClr val="000000"/>
            </a:solidFill>
            <a:prstDash val="solid"/>
          </a:ln>
        </c:spPr>
        <c:txPr>
          <a:bodyPr rot="0" vert="horz"/>
          <a:lstStyle/>
          <a:p>
            <a:pPr>
              <a:defRPr sz="975" b="0" i="0" u="none" strike="noStrike" baseline="0">
                <a:solidFill>
                  <a:srgbClr val="000000"/>
                </a:solidFill>
                <a:latin typeface="Arial"/>
                <a:ea typeface="Arial"/>
                <a:cs typeface="Arial"/>
              </a:defRPr>
            </a:pPr>
            <a:endParaRPr lang="hu-HU"/>
          </a:p>
        </c:txPr>
        <c:crossAx val="161850880"/>
        <c:crosses val="autoZero"/>
        <c:crossBetween val="between"/>
      </c:valAx>
      <c:serAx>
        <c:axId val="161631296"/>
        <c:scaling>
          <c:orientation val="minMax"/>
        </c:scaling>
        <c:delete val="1"/>
        <c:axPos val="b"/>
        <c:majorTickMark val="out"/>
        <c:minorTickMark val="none"/>
        <c:tickLblPos val="nextTo"/>
        <c:crossAx val="161852416"/>
        <c:crosses val="autoZero"/>
      </c:serAx>
      <c:spPr>
        <a:noFill/>
        <a:ln w="25400">
          <a:noFill/>
        </a:ln>
      </c:spPr>
    </c:plotArea>
    <c:legend>
      <c:legendPos val="r"/>
      <c:legendEntry>
        <c:idx val="0"/>
        <c:txPr>
          <a:bodyPr/>
          <a:lstStyle/>
          <a:p>
            <a:pPr>
              <a:defRPr sz="950" b="0" i="0" u="none" strike="noStrike" baseline="0">
                <a:solidFill>
                  <a:srgbClr val="000000"/>
                </a:solidFill>
                <a:latin typeface="Arial"/>
                <a:ea typeface="Arial"/>
                <a:cs typeface="Arial"/>
              </a:defRPr>
            </a:pPr>
            <a:endParaRPr lang="hu-HU"/>
          </a:p>
        </c:txPr>
      </c:legendEntry>
      <c:legendEntry>
        <c:idx val="1"/>
        <c:txPr>
          <a:bodyPr/>
          <a:lstStyle/>
          <a:p>
            <a:pPr>
              <a:defRPr sz="950" b="0" i="0" u="none" strike="noStrike" baseline="0">
                <a:solidFill>
                  <a:srgbClr val="000000"/>
                </a:solidFill>
                <a:latin typeface="Arial"/>
                <a:ea typeface="Arial"/>
                <a:cs typeface="Arial"/>
              </a:defRPr>
            </a:pPr>
            <a:endParaRPr lang="hu-HU"/>
          </a:p>
        </c:txPr>
      </c:legendEntry>
      <c:legendEntry>
        <c:idx val="2"/>
        <c:txPr>
          <a:bodyPr/>
          <a:lstStyle/>
          <a:p>
            <a:pPr>
              <a:defRPr sz="950" b="0" i="0" u="none" strike="noStrike" baseline="0">
                <a:solidFill>
                  <a:srgbClr val="000000"/>
                </a:solidFill>
                <a:latin typeface="Arial"/>
                <a:ea typeface="Arial"/>
                <a:cs typeface="Arial"/>
              </a:defRPr>
            </a:pPr>
            <a:endParaRPr lang="hu-HU"/>
          </a:p>
        </c:txPr>
      </c:legendEntry>
      <c:legendEntry>
        <c:idx val="3"/>
        <c:txPr>
          <a:bodyPr/>
          <a:lstStyle/>
          <a:p>
            <a:pPr>
              <a:defRPr sz="950" b="0" i="0" u="none" strike="noStrike" baseline="0">
                <a:solidFill>
                  <a:srgbClr val="000000"/>
                </a:solidFill>
                <a:latin typeface="Arial"/>
                <a:ea typeface="Arial"/>
                <a:cs typeface="Arial"/>
              </a:defRPr>
            </a:pPr>
            <a:endParaRPr lang="hu-HU"/>
          </a:p>
        </c:txPr>
      </c:legendEntry>
      <c:layout>
        <c:manualLayout>
          <c:xMode val="edge"/>
          <c:yMode val="edge"/>
          <c:x val="0.68355741119906022"/>
          <c:y val="0.12886604082310829"/>
          <c:w val="0.20717275853874106"/>
          <c:h val="0.61512029849775873"/>
        </c:manualLayout>
      </c:layout>
      <c:overlay val="0"/>
      <c:spPr>
        <a:solidFill>
          <a:srgbClr val="FFFFFF"/>
        </a:solidFill>
        <a:ln w="25400">
          <a:noFill/>
        </a:ln>
      </c:spPr>
      <c:txPr>
        <a:bodyPr/>
        <a:lstStyle/>
        <a:p>
          <a:pPr>
            <a:defRPr sz="920" b="0" i="0" u="none" strike="noStrike" baseline="0">
              <a:solidFill>
                <a:srgbClr val="000000"/>
              </a:solidFill>
              <a:latin typeface="Arial"/>
              <a:ea typeface="Arial"/>
              <a:cs typeface="Arial"/>
            </a:defRPr>
          </a:pPr>
          <a:endParaRPr lang="hu-HU"/>
        </a:p>
      </c:txPr>
    </c:legend>
    <c:plotVisOnly val="1"/>
    <c:dispBlanksAs val="gap"/>
    <c:showDLblsOverMax val="0"/>
  </c:chart>
  <c:spPr>
    <a:noFill/>
    <a:ln w="9525">
      <a:noFill/>
    </a:ln>
  </c:spPr>
  <c:txPr>
    <a:bodyPr/>
    <a:lstStyle/>
    <a:p>
      <a:pPr>
        <a:defRPr sz="975" b="0" i="0" u="none" strike="noStrike" baseline="0">
          <a:solidFill>
            <a:srgbClr val="000000"/>
          </a:solidFill>
          <a:latin typeface="Arial"/>
          <a:ea typeface="Arial"/>
          <a:cs typeface="Arial"/>
        </a:defRPr>
      </a:pPr>
      <a:endParaRPr lang="hu-HU"/>
    </a:p>
  </c:txPr>
</c:chartSpace>
</file>

<file path=xl/charts/chart3.xml><?xml version="1.0" encoding="utf-8"?>
<c:chartSpace xmlns:c="http://schemas.openxmlformats.org/drawingml/2006/chart" xmlns:a="http://schemas.openxmlformats.org/drawingml/2006/main" xmlns:r="http://schemas.openxmlformats.org/officeDocument/2006/relationships">
  <c:date1904 val="0"/>
  <c:lang val="hu-HU"/>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75" b="1" i="0" u="none" strike="noStrike" baseline="0">
                <a:solidFill>
                  <a:srgbClr val="000000"/>
                </a:solidFill>
                <a:latin typeface="Arial"/>
                <a:ea typeface="Arial"/>
                <a:cs typeface="Arial"/>
              </a:defRPr>
            </a:pPr>
            <a:r>
              <a:rPr lang="hu-HU"/>
              <a:t>AZ ÖNKORMÁNYZAT KÖZPONTI SZABÁLYOZÁSBÓL SZÁRMAZÓ FORRÁSAI 2018 - 2020 ÉVEKBEN</a:t>
            </a:r>
          </a:p>
        </c:rich>
      </c:tx>
      <c:layout>
        <c:manualLayout>
          <c:xMode val="edge"/>
          <c:yMode val="edge"/>
          <c:x val="0.10754911514803182"/>
          <c:y val="2.0618523187395474E-2"/>
        </c:manualLayout>
      </c:layout>
      <c:overlay val="0"/>
      <c:spPr>
        <a:noFill/>
        <a:ln w="25400">
          <a:noFill/>
        </a:ln>
      </c:spPr>
    </c:title>
    <c:autoTitleDeleted val="0"/>
    <c:view3D>
      <c:rotX val="15"/>
      <c:hPercent val="72"/>
      <c:rotY val="20"/>
      <c:depthPercent val="100"/>
      <c:rAngAx val="1"/>
    </c:view3D>
    <c:floor>
      <c:thickness val="0"/>
      <c:spPr>
        <a:solidFill>
          <a:srgbClr val="C0C0C0"/>
        </a:solidFill>
        <a:ln w="3175">
          <a:solidFill>
            <a:srgbClr val="000000"/>
          </a:solidFill>
          <a:prstDash val="solid"/>
        </a:ln>
      </c:spPr>
    </c:floor>
    <c:sideWall>
      <c:thickness val="0"/>
      <c:spPr>
        <a:solidFill>
          <a:srgbClr val="C0C0C0"/>
        </a:solidFill>
        <a:ln w="12700">
          <a:solidFill>
            <a:srgbClr val="808080"/>
          </a:solidFill>
          <a:prstDash val="solid"/>
        </a:ln>
      </c:spPr>
    </c:sideWall>
    <c:backWall>
      <c:thickness val="0"/>
      <c:spPr>
        <a:solidFill>
          <a:srgbClr val="C0C0C0"/>
        </a:solidFill>
        <a:ln w="12700">
          <a:solidFill>
            <a:srgbClr val="808080"/>
          </a:solidFill>
          <a:prstDash val="solid"/>
        </a:ln>
      </c:spPr>
    </c:backWall>
    <c:plotArea>
      <c:layout>
        <c:manualLayout>
          <c:layoutTarget val="inner"/>
          <c:xMode val="edge"/>
          <c:yMode val="edge"/>
          <c:x val="0.15408479834539815"/>
          <c:y val="0.10652920962199312"/>
          <c:w val="0.59462254395036196"/>
          <c:h val="0.82646048109965631"/>
        </c:manualLayout>
      </c:layout>
      <c:bar3DChart>
        <c:barDir val="col"/>
        <c:grouping val="stacked"/>
        <c:varyColors val="0"/>
        <c:ser>
          <c:idx val="3"/>
          <c:order val="0"/>
          <c:tx>
            <c:strRef>
              <c:f>[4]Munka1!$A$8</c:f>
              <c:strCache>
                <c:ptCount val="1"/>
                <c:pt idx="0">
                  <c:v>0</c:v>
                </c:pt>
              </c:strCache>
            </c:strRef>
          </c:tx>
          <c:spPr>
            <a:solidFill>
              <a:srgbClr val="FFC000"/>
            </a:solidFill>
            <a:ln w="12700">
              <a:solidFill>
                <a:srgbClr val="000000"/>
              </a:solidFill>
              <a:prstDash val="solid"/>
            </a:ln>
          </c:spPr>
          <c:invertIfNegative val="0"/>
          <c:cat>
            <c:strRef>
              <c:f>[4]Munka1!$B$3:$D$3</c:f>
              <c:strCache>
                <c:ptCount val="3"/>
                <c:pt idx="0">
                  <c:v>2018.évi tény</c:v>
                </c:pt>
                <c:pt idx="1">
                  <c:v>2019. évi tény</c:v>
                </c:pt>
                <c:pt idx="2">
                  <c:v>2020.évi terv</c:v>
                </c:pt>
              </c:strCache>
            </c:strRef>
          </c:cat>
          <c:val>
            <c:numRef>
              <c:f>[4]Munka1!$B$8:$D$8</c:f>
              <c:numCache>
                <c:formatCode>General</c:formatCode>
                <c:ptCount val="3"/>
                <c:pt idx="0">
                  <c:v>0</c:v>
                </c:pt>
                <c:pt idx="1">
                  <c:v>0</c:v>
                </c:pt>
                <c:pt idx="2">
                  <c:v>0</c:v>
                </c:pt>
              </c:numCache>
            </c:numRef>
          </c:val>
          <c:extLst xmlns:c16r2="http://schemas.microsoft.com/office/drawing/2015/06/chart">
            <c:ext xmlns:c16="http://schemas.microsoft.com/office/drawing/2014/chart" uri="{C3380CC4-5D6E-409C-BE32-E72D297353CC}">
              <c16:uniqueId val="{00000000-0668-496A-B1F9-52C901C3D517}"/>
            </c:ext>
          </c:extLst>
        </c:ser>
        <c:ser>
          <c:idx val="0"/>
          <c:order val="1"/>
          <c:tx>
            <c:strRef>
              <c:f>[4]Munka1!$A$5</c:f>
              <c:strCache>
                <c:ptCount val="1"/>
                <c:pt idx="0">
                  <c:v>Köznevelési feladatok támogatása</c:v>
                </c:pt>
              </c:strCache>
            </c:strRef>
          </c:tx>
          <c:spPr>
            <a:solidFill>
              <a:srgbClr val="0070C0"/>
            </a:solidFill>
            <a:ln w="12700">
              <a:solidFill>
                <a:srgbClr val="000000"/>
              </a:solidFill>
              <a:prstDash val="solid"/>
            </a:ln>
          </c:spPr>
          <c:invertIfNegative val="0"/>
          <c:cat>
            <c:strRef>
              <c:f>[4]Munka1!$B$3:$D$3</c:f>
              <c:strCache>
                <c:ptCount val="3"/>
                <c:pt idx="0">
                  <c:v>2018.évi tény</c:v>
                </c:pt>
                <c:pt idx="1">
                  <c:v>2019. évi tény</c:v>
                </c:pt>
                <c:pt idx="2">
                  <c:v>2020.évi terv</c:v>
                </c:pt>
              </c:strCache>
            </c:strRef>
          </c:cat>
          <c:val>
            <c:numRef>
              <c:f>[4]Munka1!$B$5:$D$5</c:f>
              <c:numCache>
                <c:formatCode>General</c:formatCode>
                <c:ptCount val="3"/>
                <c:pt idx="0">
                  <c:v>1105584</c:v>
                </c:pt>
                <c:pt idx="1">
                  <c:v>1108325</c:v>
                </c:pt>
                <c:pt idx="2">
                  <c:v>1125011</c:v>
                </c:pt>
              </c:numCache>
            </c:numRef>
          </c:val>
          <c:extLst xmlns:c16r2="http://schemas.microsoft.com/office/drawing/2015/06/chart">
            <c:ext xmlns:c16="http://schemas.microsoft.com/office/drawing/2014/chart" uri="{C3380CC4-5D6E-409C-BE32-E72D297353CC}">
              <c16:uniqueId val="{00000001-0668-496A-B1F9-52C901C3D517}"/>
            </c:ext>
          </c:extLst>
        </c:ser>
        <c:ser>
          <c:idx val="1"/>
          <c:order val="2"/>
          <c:tx>
            <c:strRef>
              <c:f>[4]Munka1!$A$7</c:f>
              <c:strCache>
                <c:ptCount val="1"/>
                <c:pt idx="0">
                  <c:v>Kulturális feladatok támogatása</c:v>
                </c:pt>
              </c:strCache>
            </c:strRef>
          </c:tx>
          <c:spPr>
            <a:solidFill>
              <a:srgbClr val="993366"/>
            </a:solidFill>
            <a:ln w="12700">
              <a:solidFill>
                <a:srgbClr val="000000"/>
              </a:solidFill>
              <a:prstDash val="solid"/>
            </a:ln>
          </c:spPr>
          <c:invertIfNegative val="0"/>
          <c:cat>
            <c:strRef>
              <c:f>[4]Munka1!$B$3:$D$3</c:f>
              <c:strCache>
                <c:ptCount val="3"/>
                <c:pt idx="0">
                  <c:v>2018.évi tény</c:v>
                </c:pt>
                <c:pt idx="1">
                  <c:v>2019. évi tény</c:v>
                </c:pt>
                <c:pt idx="2">
                  <c:v>2020.évi terv</c:v>
                </c:pt>
              </c:strCache>
            </c:strRef>
          </c:cat>
          <c:val>
            <c:numRef>
              <c:f>[4]Munka1!$B$7:$D$7</c:f>
              <c:numCache>
                <c:formatCode>General</c:formatCode>
                <c:ptCount val="3"/>
                <c:pt idx="0">
                  <c:v>760256</c:v>
                </c:pt>
                <c:pt idx="1">
                  <c:v>766792</c:v>
                </c:pt>
                <c:pt idx="2">
                  <c:v>770083</c:v>
                </c:pt>
              </c:numCache>
            </c:numRef>
          </c:val>
          <c:extLst xmlns:c16r2="http://schemas.microsoft.com/office/drawing/2015/06/chart">
            <c:ext xmlns:c16="http://schemas.microsoft.com/office/drawing/2014/chart" uri="{C3380CC4-5D6E-409C-BE32-E72D297353CC}">
              <c16:uniqueId val="{00000002-0668-496A-B1F9-52C901C3D517}"/>
            </c:ext>
          </c:extLst>
        </c:ser>
        <c:ser>
          <c:idx val="2"/>
          <c:order val="3"/>
          <c:tx>
            <c:strRef>
              <c:f>[4]Munka1!$A$6</c:f>
              <c:strCache>
                <c:ptCount val="1"/>
                <c:pt idx="0">
                  <c:v>Szociális, gyermekjóléti, gyermekétkeztetési feladatok támogatása</c:v>
                </c:pt>
              </c:strCache>
            </c:strRef>
          </c:tx>
          <c:invertIfNegative val="0"/>
          <c:val>
            <c:numRef>
              <c:f>[4]Munka1!$B$6:$D$6</c:f>
              <c:numCache>
                <c:formatCode>General</c:formatCode>
                <c:ptCount val="3"/>
                <c:pt idx="0">
                  <c:v>1063921</c:v>
                </c:pt>
                <c:pt idx="1">
                  <c:v>1319428</c:v>
                </c:pt>
                <c:pt idx="2">
                  <c:v>1480333</c:v>
                </c:pt>
              </c:numCache>
            </c:numRef>
          </c:val>
          <c:extLst xmlns:c16r2="http://schemas.microsoft.com/office/drawing/2015/06/chart">
            <c:ext xmlns:c16="http://schemas.microsoft.com/office/drawing/2014/chart" uri="{C3380CC4-5D6E-409C-BE32-E72D297353CC}">
              <c16:uniqueId val="{00000003-0668-496A-B1F9-52C901C3D517}"/>
            </c:ext>
          </c:extLst>
        </c:ser>
        <c:dLbls>
          <c:showLegendKey val="0"/>
          <c:showVal val="0"/>
          <c:showCatName val="0"/>
          <c:showSerName val="0"/>
          <c:showPercent val="0"/>
          <c:showBubbleSize val="0"/>
        </c:dLbls>
        <c:gapWidth val="150"/>
        <c:shape val="cylinder"/>
        <c:axId val="161778688"/>
        <c:axId val="161792768"/>
        <c:axId val="0"/>
      </c:bar3DChart>
      <c:catAx>
        <c:axId val="161778688"/>
        <c:scaling>
          <c:orientation val="minMax"/>
        </c:scaling>
        <c:delete val="0"/>
        <c:axPos val="b"/>
        <c:numFmt formatCode="General" sourceLinked="1"/>
        <c:majorTickMark val="out"/>
        <c:minorTickMark val="none"/>
        <c:tickLblPos val="low"/>
        <c:spPr>
          <a:ln w="3175">
            <a:solidFill>
              <a:srgbClr val="000000"/>
            </a:solidFill>
            <a:prstDash val="solid"/>
          </a:ln>
        </c:spPr>
        <c:txPr>
          <a:bodyPr rot="0" vert="horz"/>
          <a:lstStyle/>
          <a:p>
            <a:pPr>
              <a:defRPr sz="975" b="0" i="0" u="none" strike="noStrike" baseline="0">
                <a:solidFill>
                  <a:srgbClr val="000000"/>
                </a:solidFill>
                <a:latin typeface="Arial"/>
                <a:ea typeface="Arial"/>
                <a:cs typeface="Arial"/>
              </a:defRPr>
            </a:pPr>
            <a:endParaRPr lang="hu-HU"/>
          </a:p>
        </c:txPr>
        <c:crossAx val="161792768"/>
        <c:crosses val="autoZero"/>
        <c:auto val="1"/>
        <c:lblAlgn val="ctr"/>
        <c:lblOffset val="100"/>
        <c:tickLblSkip val="1"/>
        <c:tickMarkSkip val="1"/>
        <c:noMultiLvlLbl val="0"/>
      </c:catAx>
      <c:valAx>
        <c:axId val="161792768"/>
        <c:scaling>
          <c:orientation val="minMax"/>
        </c:scaling>
        <c:delete val="0"/>
        <c:axPos val="l"/>
        <c:majorGridlines>
          <c:spPr>
            <a:ln w="3175">
              <a:solidFill>
                <a:srgbClr val="000000"/>
              </a:solidFill>
              <a:prstDash val="solid"/>
            </a:ln>
          </c:spPr>
        </c:majorGridlines>
        <c:title>
          <c:tx>
            <c:rich>
              <a:bodyPr rot="0" vert="horz"/>
              <a:lstStyle/>
              <a:p>
                <a:pPr algn="ctr">
                  <a:defRPr sz="975" b="0" i="0" u="none" strike="noStrike" baseline="0">
                    <a:solidFill>
                      <a:srgbClr val="000000"/>
                    </a:solidFill>
                    <a:latin typeface="Arial"/>
                    <a:ea typeface="Arial"/>
                    <a:cs typeface="Arial"/>
                  </a:defRPr>
                </a:pPr>
                <a:r>
                  <a:rPr lang="hu-HU"/>
                  <a:t>Ezer forint</a:t>
                </a:r>
              </a:p>
            </c:rich>
          </c:tx>
          <c:layout>
            <c:manualLayout>
              <c:xMode val="edge"/>
              <c:yMode val="edge"/>
              <c:x val="8.9969025670500011E-2"/>
              <c:y val="0.1907216103852947"/>
            </c:manualLayout>
          </c:layout>
          <c:overlay val="0"/>
          <c:spPr>
            <a:noFill/>
            <a:ln w="25400">
              <a:noFill/>
            </a:ln>
          </c:spPr>
        </c:title>
        <c:numFmt formatCode="General" sourceLinked="1"/>
        <c:majorTickMark val="out"/>
        <c:minorTickMark val="none"/>
        <c:tickLblPos val="nextTo"/>
        <c:spPr>
          <a:ln w="3175">
            <a:solidFill>
              <a:srgbClr val="000000"/>
            </a:solidFill>
            <a:prstDash val="solid"/>
          </a:ln>
        </c:spPr>
        <c:txPr>
          <a:bodyPr rot="0" vert="horz"/>
          <a:lstStyle/>
          <a:p>
            <a:pPr>
              <a:defRPr sz="975" b="0" i="0" u="none" strike="noStrike" baseline="0">
                <a:solidFill>
                  <a:srgbClr val="000000"/>
                </a:solidFill>
                <a:latin typeface="Arial"/>
                <a:ea typeface="Arial"/>
                <a:cs typeface="Arial"/>
              </a:defRPr>
            </a:pPr>
            <a:endParaRPr lang="hu-HU"/>
          </a:p>
        </c:txPr>
        <c:crossAx val="161778688"/>
        <c:crosses val="autoZero"/>
        <c:crossBetween val="between"/>
      </c:valAx>
      <c:spPr>
        <a:noFill/>
        <a:ln w="25400">
          <a:noFill/>
        </a:ln>
      </c:spPr>
    </c:plotArea>
    <c:legend>
      <c:legendPos val="r"/>
      <c:legendEntry>
        <c:idx val="3"/>
        <c:delete val="1"/>
      </c:legendEntry>
      <c:layout>
        <c:manualLayout>
          <c:xMode val="edge"/>
          <c:yMode val="edge"/>
          <c:x val="0.77179664371217194"/>
          <c:y val="0.18663803534727813"/>
          <c:w val="0.2254394913679898"/>
          <c:h val="0.36665233896688859"/>
        </c:manualLayout>
      </c:layout>
      <c:overlay val="0"/>
      <c:spPr>
        <a:solidFill>
          <a:srgbClr val="FFFFFF"/>
        </a:solidFill>
        <a:ln w="25400">
          <a:noFill/>
        </a:ln>
      </c:spPr>
      <c:txPr>
        <a:bodyPr/>
        <a:lstStyle/>
        <a:p>
          <a:pPr>
            <a:defRPr sz="1100" b="0" i="0" u="none" strike="noStrike" baseline="0">
              <a:solidFill>
                <a:srgbClr val="000000"/>
              </a:solidFill>
              <a:latin typeface="Arial"/>
              <a:ea typeface="Arial"/>
              <a:cs typeface="Arial"/>
            </a:defRPr>
          </a:pPr>
          <a:endParaRPr lang="hu-HU"/>
        </a:p>
      </c:txPr>
    </c:legend>
    <c:plotVisOnly val="1"/>
    <c:dispBlanksAs val="gap"/>
    <c:showDLblsOverMax val="0"/>
  </c:chart>
  <c:spPr>
    <a:noFill/>
    <a:ln w="9525">
      <a:noFill/>
    </a:ln>
  </c:spPr>
  <c:txPr>
    <a:bodyPr/>
    <a:lstStyle/>
    <a:p>
      <a:pPr>
        <a:defRPr sz="975" b="0" i="0" u="none" strike="noStrike" baseline="0">
          <a:solidFill>
            <a:srgbClr val="000000"/>
          </a:solidFill>
          <a:latin typeface="Arial"/>
          <a:ea typeface="Arial"/>
          <a:cs typeface="Arial"/>
        </a:defRPr>
      </a:pPr>
      <a:endParaRPr lang="hu-HU"/>
    </a:p>
  </c:txPr>
</c:chartSpace>
</file>

<file path=xl/charts/chart4.xml><?xml version="1.0" encoding="utf-8"?>
<c:chartSpace xmlns:c="http://schemas.openxmlformats.org/drawingml/2006/chart" xmlns:a="http://schemas.openxmlformats.org/drawingml/2006/main" xmlns:r="http://schemas.openxmlformats.org/officeDocument/2006/relationships">
  <c:date1904 val="0"/>
  <c:lang val="hu-HU"/>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b="1" i="0" u="none" strike="noStrike" baseline="0">
                <a:solidFill>
                  <a:srgbClr val="000000"/>
                </a:solidFill>
                <a:latin typeface="Arial"/>
                <a:ea typeface="Arial"/>
                <a:cs typeface="Arial"/>
              </a:defRPr>
            </a:pPr>
            <a:r>
              <a:rPr lang="hu-HU"/>
              <a:t>AZ EGYES ÁGAZATOK ÁLLAMI TÁMOGATÁSSAL VALÓ LEFEDETTSÉGE 2020 ÉVBEN
adatok ezer forintban</a:t>
            </a:r>
          </a:p>
        </c:rich>
      </c:tx>
      <c:layout>
        <c:manualLayout>
          <c:xMode val="edge"/>
          <c:yMode val="edge"/>
          <c:x val="0.18821095150905567"/>
          <c:y val="2.0618523187395474E-2"/>
        </c:manualLayout>
      </c:layout>
      <c:overlay val="0"/>
      <c:spPr>
        <a:noFill/>
        <a:ln w="25400">
          <a:noFill/>
        </a:ln>
      </c:spPr>
    </c:title>
    <c:autoTitleDeleted val="0"/>
    <c:plotArea>
      <c:layout>
        <c:manualLayout>
          <c:layoutTarget val="inner"/>
          <c:xMode val="edge"/>
          <c:yMode val="edge"/>
          <c:x val="0.19027921406411583"/>
          <c:y val="0.13745704467353953"/>
          <c:w val="0.65149948293691828"/>
          <c:h val="0.79209621993127144"/>
        </c:manualLayout>
      </c:layout>
      <c:barChart>
        <c:barDir val="bar"/>
        <c:grouping val="percentStacked"/>
        <c:varyColors val="0"/>
        <c:ser>
          <c:idx val="0"/>
          <c:order val="0"/>
          <c:tx>
            <c:strRef>
              <c:f>[5]Munka1!$B$5</c:f>
              <c:strCache>
                <c:ptCount val="1"/>
                <c:pt idx="0">
                  <c:v>Állami támogatás</c:v>
                </c:pt>
              </c:strCache>
            </c:strRef>
          </c:tx>
          <c:spPr>
            <a:solidFill>
              <a:srgbClr val="FFC000"/>
            </a:solidFill>
            <a:ln w="12700">
              <a:solidFill>
                <a:srgbClr val="000000"/>
              </a:solidFill>
              <a:prstDash val="solid"/>
            </a:ln>
          </c:spPr>
          <c:invertIfNegative val="0"/>
          <c:dPt>
            <c:idx val="0"/>
            <c:invertIfNegative val="0"/>
            <c:bubble3D val="0"/>
            <c:extLst xmlns:c16r2="http://schemas.microsoft.com/office/drawing/2015/06/chart">
              <c:ext xmlns:c16="http://schemas.microsoft.com/office/drawing/2014/chart" uri="{C3380CC4-5D6E-409C-BE32-E72D297353CC}">
                <c16:uniqueId val="{00000000-1C92-46C6-962A-6C481E8ED51C}"/>
              </c:ext>
            </c:extLst>
          </c:dPt>
          <c:dPt>
            <c:idx val="1"/>
            <c:invertIfNegative val="0"/>
            <c:bubble3D val="0"/>
            <c:extLst xmlns:c16r2="http://schemas.microsoft.com/office/drawing/2015/06/chart">
              <c:ext xmlns:c16="http://schemas.microsoft.com/office/drawing/2014/chart" uri="{C3380CC4-5D6E-409C-BE32-E72D297353CC}">
                <c16:uniqueId val="{00000001-1C92-46C6-962A-6C481E8ED51C}"/>
              </c:ext>
            </c:extLst>
          </c:dPt>
          <c:dPt>
            <c:idx val="2"/>
            <c:invertIfNegative val="0"/>
            <c:bubble3D val="0"/>
            <c:extLst xmlns:c16r2="http://schemas.microsoft.com/office/drawing/2015/06/chart">
              <c:ext xmlns:c16="http://schemas.microsoft.com/office/drawing/2014/chart" uri="{C3380CC4-5D6E-409C-BE32-E72D297353CC}">
                <c16:uniqueId val="{00000002-1C92-46C6-962A-6C481E8ED51C}"/>
              </c:ext>
            </c:extLst>
          </c:dPt>
          <c:dLbls>
            <c:spPr>
              <a:noFill/>
              <a:ln w="25400">
                <a:noFill/>
              </a:ln>
            </c:spPr>
            <c:txPr>
              <a:bodyPr/>
              <a:lstStyle/>
              <a:p>
                <a:pPr>
                  <a:defRPr sz="775" b="0" i="0" u="none" strike="noStrike" baseline="0">
                    <a:solidFill>
                      <a:srgbClr val="000000"/>
                    </a:solidFill>
                    <a:latin typeface="Arial"/>
                    <a:ea typeface="Arial"/>
                    <a:cs typeface="Arial"/>
                  </a:defRPr>
                </a:pPr>
                <a:endParaRPr lang="hu-HU"/>
              </a:p>
            </c:txPr>
            <c:showLegendKey val="0"/>
            <c:showVal val="1"/>
            <c:showCatName val="0"/>
            <c:showSerName val="0"/>
            <c:showPercent val="0"/>
            <c:showBubbleSize val="0"/>
            <c:showLeaderLines val="0"/>
            <c:extLst xmlns:c16r2="http://schemas.microsoft.com/office/drawing/2015/06/chart">
              <c:ext xmlns:c15="http://schemas.microsoft.com/office/drawing/2012/chart" uri="{CE6537A1-D6FC-4f65-9D91-7224C49458BB}">
                <c15:showLeaderLines val="0"/>
              </c:ext>
            </c:extLst>
          </c:dLbls>
          <c:cat>
            <c:strRef>
              <c:f>[5]Munka1!$A$6:$A$10</c:f>
              <c:strCache>
                <c:ptCount val="5"/>
                <c:pt idx="0">
                  <c:v>Oktatási ágazat</c:v>
                </c:pt>
                <c:pt idx="1">
                  <c:v>Egészségügyi és Szociális kiadások</c:v>
                </c:pt>
                <c:pt idx="2">
                  <c:v>Közművelődés</c:v>
                </c:pt>
                <c:pt idx="3">
                  <c:v>Városműködtetési kiadások</c:v>
                </c:pt>
                <c:pt idx="4">
                  <c:v>Igazgatási és gazdasági feladatok, informatikai  sport és egyéb kiadások</c:v>
                </c:pt>
              </c:strCache>
            </c:strRef>
          </c:cat>
          <c:val>
            <c:numRef>
              <c:f>[5]Munka1!$B$6:$B$10</c:f>
              <c:numCache>
                <c:formatCode>General</c:formatCode>
                <c:ptCount val="5"/>
                <c:pt idx="0">
                  <c:v>1585849</c:v>
                </c:pt>
                <c:pt idx="1">
                  <c:v>1411738</c:v>
                </c:pt>
                <c:pt idx="2">
                  <c:v>1924750</c:v>
                </c:pt>
                <c:pt idx="3">
                  <c:v>55767</c:v>
                </c:pt>
                <c:pt idx="4">
                  <c:v>0</c:v>
                </c:pt>
              </c:numCache>
            </c:numRef>
          </c:val>
          <c:extLst xmlns:c16r2="http://schemas.microsoft.com/office/drawing/2015/06/chart">
            <c:ext xmlns:c16="http://schemas.microsoft.com/office/drawing/2014/chart" uri="{C3380CC4-5D6E-409C-BE32-E72D297353CC}">
              <c16:uniqueId val="{00000003-1C92-46C6-962A-6C481E8ED51C}"/>
            </c:ext>
          </c:extLst>
        </c:ser>
        <c:ser>
          <c:idx val="1"/>
          <c:order val="1"/>
          <c:tx>
            <c:strRef>
              <c:f>[5]Munka1!$F$5</c:f>
              <c:strCache>
                <c:ptCount val="1"/>
                <c:pt idx="0">
                  <c:v>Önkormányzati forrás</c:v>
                </c:pt>
              </c:strCache>
            </c:strRef>
          </c:tx>
          <c:spPr>
            <a:solidFill>
              <a:srgbClr val="00B0F0"/>
            </a:solidFill>
            <a:ln w="12700">
              <a:solidFill>
                <a:srgbClr val="000000"/>
              </a:solidFill>
              <a:prstDash val="solid"/>
            </a:ln>
          </c:spPr>
          <c:invertIfNegative val="0"/>
          <c:dLbls>
            <c:spPr>
              <a:noFill/>
              <a:ln w="25400">
                <a:noFill/>
              </a:ln>
            </c:spPr>
            <c:txPr>
              <a:bodyPr/>
              <a:lstStyle/>
              <a:p>
                <a:pPr>
                  <a:defRPr sz="775" b="0" i="0" u="none" strike="noStrike" baseline="0">
                    <a:solidFill>
                      <a:srgbClr val="000000"/>
                    </a:solidFill>
                    <a:latin typeface="Arial"/>
                    <a:ea typeface="Arial"/>
                    <a:cs typeface="Arial"/>
                  </a:defRPr>
                </a:pPr>
                <a:endParaRPr lang="hu-HU"/>
              </a:p>
            </c:txPr>
            <c:showLegendKey val="0"/>
            <c:showVal val="1"/>
            <c:showCatName val="0"/>
            <c:showSerName val="0"/>
            <c:showPercent val="0"/>
            <c:showBubbleSize val="0"/>
            <c:showLeaderLines val="0"/>
            <c:extLst xmlns:c16r2="http://schemas.microsoft.com/office/drawing/2015/06/chart">
              <c:ext xmlns:c15="http://schemas.microsoft.com/office/drawing/2012/chart" uri="{CE6537A1-D6FC-4f65-9D91-7224C49458BB}">
                <c15:showLeaderLines val="0"/>
              </c:ext>
            </c:extLst>
          </c:dLbls>
          <c:cat>
            <c:strRef>
              <c:f>[5]Munka1!$A$6:$A$10</c:f>
              <c:strCache>
                <c:ptCount val="5"/>
                <c:pt idx="0">
                  <c:v>Oktatási ágazat</c:v>
                </c:pt>
                <c:pt idx="1">
                  <c:v>Egészségügyi és Szociális kiadások</c:v>
                </c:pt>
                <c:pt idx="2">
                  <c:v>Közművelődés</c:v>
                </c:pt>
                <c:pt idx="3">
                  <c:v>Városműködtetési kiadások</c:v>
                </c:pt>
                <c:pt idx="4">
                  <c:v>Igazgatási és gazdasági feladatok, informatikai  sport és egyéb kiadások</c:v>
                </c:pt>
              </c:strCache>
            </c:strRef>
          </c:cat>
          <c:val>
            <c:numRef>
              <c:f>[5]Munka1!$F$6:$F$10</c:f>
              <c:numCache>
                <c:formatCode>General</c:formatCode>
                <c:ptCount val="5"/>
                <c:pt idx="0">
                  <c:v>1081254.7999999998</c:v>
                </c:pt>
                <c:pt idx="1">
                  <c:v>398170</c:v>
                </c:pt>
                <c:pt idx="2">
                  <c:v>770323</c:v>
                </c:pt>
                <c:pt idx="3">
                  <c:v>2464037</c:v>
                </c:pt>
                <c:pt idx="4">
                  <c:v>2968166.2</c:v>
                </c:pt>
              </c:numCache>
            </c:numRef>
          </c:val>
          <c:extLst xmlns:c16r2="http://schemas.microsoft.com/office/drawing/2015/06/chart">
            <c:ext xmlns:c16="http://schemas.microsoft.com/office/drawing/2014/chart" uri="{C3380CC4-5D6E-409C-BE32-E72D297353CC}">
              <c16:uniqueId val="{00000004-1C92-46C6-962A-6C481E8ED51C}"/>
            </c:ext>
          </c:extLst>
        </c:ser>
        <c:dLbls>
          <c:showLegendKey val="0"/>
          <c:showVal val="0"/>
          <c:showCatName val="0"/>
          <c:showSerName val="0"/>
          <c:showPercent val="0"/>
          <c:showBubbleSize val="0"/>
        </c:dLbls>
        <c:gapWidth val="150"/>
        <c:overlap val="100"/>
        <c:axId val="189720064"/>
        <c:axId val="189721600"/>
      </c:barChart>
      <c:catAx>
        <c:axId val="189720064"/>
        <c:scaling>
          <c:orientation val="minMax"/>
        </c:scaling>
        <c:delete val="0"/>
        <c:axPos val="l"/>
        <c:numFmt formatCode="General" sourceLinked="1"/>
        <c:majorTickMark val="out"/>
        <c:minorTickMark val="none"/>
        <c:tickLblPos val="nextTo"/>
        <c:spPr>
          <a:ln w="3175">
            <a:solidFill>
              <a:srgbClr val="000000"/>
            </a:solidFill>
            <a:prstDash val="solid"/>
          </a:ln>
        </c:spPr>
        <c:txPr>
          <a:bodyPr rot="0" vert="horz"/>
          <a:lstStyle/>
          <a:p>
            <a:pPr>
              <a:defRPr sz="950" b="0" i="0" u="none" strike="noStrike" baseline="0">
                <a:solidFill>
                  <a:srgbClr val="000000"/>
                </a:solidFill>
                <a:latin typeface="Arial"/>
                <a:ea typeface="Arial"/>
                <a:cs typeface="Arial"/>
              </a:defRPr>
            </a:pPr>
            <a:endParaRPr lang="hu-HU"/>
          </a:p>
        </c:txPr>
        <c:crossAx val="189721600"/>
        <c:crosses val="autoZero"/>
        <c:auto val="1"/>
        <c:lblAlgn val="ctr"/>
        <c:lblOffset val="100"/>
        <c:tickLblSkip val="1"/>
        <c:tickMarkSkip val="1"/>
        <c:noMultiLvlLbl val="0"/>
      </c:catAx>
      <c:valAx>
        <c:axId val="189721600"/>
        <c:scaling>
          <c:orientation val="minMax"/>
        </c:scaling>
        <c:delete val="0"/>
        <c:axPos val="b"/>
        <c:numFmt formatCode="0%" sourceLinked="1"/>
        <c:majorTickMark val="out"/>
        <c:minorTickMark val="none"/>
        <c:tickLblPos val="nextTo"/>
        <c:spPr>
          <a:ln w="3175">
            <a:solidFill>
              <a:srgbClr val="000000"/>
            </a:solidFill>
            <a:prstDash val="solid"/>
          </a:ln>
        </c:spPr>
        <c:txPr>
          <a:bodyPr rot="0" vert="horz"/>
          <a:lstStyle/>
          <a:p>
            <a:pPr>
              <a:defRPr sz="1000" b="0" i="0" u="none" strike="noStrike" baseline="0">
                <a:solidFill>
                  <a:srgbClr val="000000"/>
                </a:solidFill>
                <a:latin typeface="Arial"/>
                <a:ea typeface="Arial"/>
                <a:cs typeface="Arial"/>
              </a:defRPr>
            </a:pPr>
            <a:endParaRPr lang="hu-HU"/>
          </a:p>
        </c:txPr>
        <c:crossAx val="189720064"/>
        <c:crosses val="autoZero"/>
        <c:crossBetween val="between"/>
      </c:valAx>
      <c:spPr>
        <a:solidFill>
          <a:srgbClr val="C0C0C0"/>
        </a:solidFill>
        <a:ln w="12700">
          <a:solidFill>
            <a:srgbClr val="808080"/>
          </a:solidFill>
          <a:prstDash val="solid"/>
        </a:ln>
      </c:spPr>
    </c:plotArea>
    <c:legend>
      <c:legendPos val="r"/>
      <c:layout>
        <c:manualLayout>
          <c:xMode val="edge"/>
          <c:yMode val="edge"/>
          <c:x val="0.84591515568355791"/>
          <c:y val="0.5068727808620459"/>
          <c:w val="0.14891415943573638"/>
          <c:h val="7.3883071521710031E-2"/>
        </c:manualLayout>
      </c:layout>
      <c:overlay val="0"/>
      <c:spPr>
        <a:solidFill>
          <a:srgbClr val="FFFFFF"/>
        </a:solidFill>
        <a:ln w="3175">
          <a:solidFill>
            <a:srgbClr val="000000"/>
          </a:solidFill>
          <a:prstDash val="solid"/>
        </a:ln>
      </c:spPr>
      <c:txPr>
        <a:bodyPr/>
        <a:lstStyle/>
        <a:p>
          <a:pPr>
            <a:defRPr sz="950" b="0" i="0" u="none" strike="noStrike" baseline="0">
              <a:solidFill>
                <a:srgbClr val="000000"/>
              </a:solidFill>
              <a:latin typeface="Arial"/>
              <a:ea typeface="Arial"/>
              <a:cs typeface="Arial"/>
            </a:defRPr>
          </a:pPr>
          <a:endParaRPr lang="hu-HU"/>
        </a:p>
      </c:txPr>
    </c:legend>
    <c:plotVisOnly val="1"/>
    <c:dispBlanksAs val="gap"/>
    <c:showDLblsOverMax val="0"/>
  </c:chart>
  <c:spPr>
    <a:noFill/>
    <a:ln w="9525">
      <a:noFill/>
    </a:ln>
  </c:spPr>
  <c:txPr>
    <a:bodyPr/>
    <a:lstStyle/>
    <a:p>
      <a:pPr>
        <a:defRPr sz="975" b="0" i="0" u="none" strike="noStrike" baseline="0">
          <a:solidFill>
            <a:srgbClr val="000000"/>
          </a:solidFill>
          <a:latin typeface="Arial"/>
          <a:ea typeface="Arial"/>
          <a:cs typeface="Arial"/>
        </a:defRPr>
      </a:pPr>
      <a:endParaRPr lang="hu-HU"/>
    </a:p>
  </c:txPr>
</c:chartSpace>
</file>

<file path=xl/charts/chart5.xml><?xml version="1.0" encoding="utf-8"?>
<c:chartSpace xmlns:c="http://schemas.openxmlformats.org/drawingml/2006/chart" xmlns:a="http://schemas.openxmlformats.org/drawingml/2006/main" xmlns:r="http://schemas.openxmlformats.org/officeDocument/2006/relationships">
  <c:date1904 val="0"/>
  <c:lang val="hu-HU"/>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b="1" i="0" u="none" strike="noStrike" baseline="0">
                <a:solidFill>
                  <a:srgbClr val="000000"/>
                </a:solidFill>
                <a:latin typeface="Arial"/>
                <a:ea typeface="Arial"/>
                <a:cs typeface="Arial"/>
              </a:defRPr>
            </a:pPr>
            <a:r>
              <a:rPr lang="hu-HU"/>
              <a:t>AZ ÖNKORMÁNYZAT MŰKÖDÉSI KIADÁSAINAK MEGOSZLÁSA 2020. ÉVBEN </a:t>
            </a:r>
          </a:p>
        </c:rich>
      </c:tx>
      <c:layout>
        <c:manualLayout>
          <c:xMode val="edge"/>
          <c:yMode val="edge"/>
          <c:x val="0.22026888607835937"/>
          <c:y val="2.0618446790536725E-2"/>
        </c:manualLayout>
      </c:layout>
      <c:overlay val="0"/>
      <c:spPr>
        <a:noFill/>
        <a:ln w="25400">
          <a:noFill/>
        </a:ln>
      </c:spPr>
    </c:title>
    <c:autoTitleDeleted val="0"/>
    <c:view3D>
      <c:rotX val="15"/>
      <c:rotY val="0"/>
      <c:rAngAx val="0"/>
      <c:perspective val="0"/>
    </c:view3D>
    <c:floor>
      <c:thickness val="0"/>
    </c:floor>
    <c:sideWall>
      <c:thickness val="0"/>
    </c:sideWall>
    <c:backWall>
      <c:thickness val="0"/>
    </c:backWall>
    <c:plotArea>
      <c:layout>
        <c:manualLayout>
          <c:layoutTarget val="inner"/>
          <c:xMode val="edge"/>
          <c:yMode val="edge"/>
          <c:x val="0.28128231644260598"/>
          <c:y val="0.40034364261168387"/>
          <c:w val="0.43743536711478803"/>
          <c:h val="0.28694158075601373"/>
        </c:manualLayout>
      </c:layout>
      <c:pie3DChart>
        <c:varyColors val="1"/>
        <c:ser>
          <c:idx val="0"/>
          <c:order val="0"/>
          <c:spPr>
            <a:solidFill>
              <a:srgbClr val="9999FF"/>
            </a:solidFill>
            <a:ln w="12700">
              <a:solidFill>
                <a:srgbClr val="000000"/>
              </a:solidFill>
              <a:prstDash val="solid"/>
            </a:ln>
          </c:spPr>
          <c:dPt>
            <c:idx val="0"/>
            <c:bubble3D val="0"/>
            <c:extLst xmlns:c16r2="http://schemas.microsoft.com/office/drawing/2015/06/chart">
              <c:ext xmlns:c16="http://schemas.microsoft.com/office/drawing/2014/chart" uri="{C3380CC4-5D6E-409C-BE32-E72D297353CC}">
                <c16:uniqueId val="{00000000-DB5E-4F18-9625-4218E4706F15}"/>
              </c:ext>
            </c:extLst>
          </c:dPt>
          <c:dPt>
            <c:idx val="1"/>
            <c:bubble3D val="0"/>
            <c:spPr>
              <a:solidFill>
                <a:srgbClr val="993366"/>
              </a:solidFill>
              <a:ln w="12700">
                <a:solidFill>
                  <a:srgbClr val="000000"/>
                </a:solidFill>
                <a:prstDash val="solid"/>
              </a:ln>
            </c:spPr>
            <c:extLst xmlns:c16r2="http://schemas.microsoft.com/office/drawing/2015/06/chart">
              <c:ext xmlns:c16="http://schemas.microsoft.com/office/drawing/2014/chart" uri="{C3380CC4-5D6E-409C-BE32-E72D297353CC}">
                <c16:uniqueId val="{00000002-DB5E-4F18-9625-4218E4706F15}"/>
              </c:ext>
            </c:extLst>
          </c:dPt>
          <c:dPt>
            <c:idx val="2"/>
            <c:bubble3D val="0"/>
            <c:spPr>
              <a:solidFill>
                <a:srgbClr val="FFFFCC"/>
              </a:solidFill>
              <a:ln w="12700">
                <a:solidFill>
                  <a:srgbClr val="000000"/>
                </a:solidFill>
                <a:prstDash val="solid"/>
              </a:ln>
            </c:spPr>
            <c:extLst xmlns:c16r2="http://schemas.microsoft.com/office/drawing/2015/06/chart">
              <c:ext xmlns:c16="http://schemas.microsoft.com/office/drawing/2014/chart" uri="{C3380CC4-5D6E-409C-BE32-E72D297353CC}">
                <c16:uniqueId val="{00000004-DB5E-4F18-9625-4218E4706F15}"/>
              </c:ext>
            </c:extLst>
          </c:dPt>
          <c:dPt>
            <c:idx val="3"/>
            <c:bubble3D val="0"/>
            <c:spPr>
              <a:solidFill>
                <a:srgbClr val="CCFFFF"/>
              </a:solidFill>
              <a:ln w="12700">
                <a:solidFill>
                  <a:srgbClr val="000000"/>
                </a:solidFill>
                <a:prstDash val="solid"/>
              </a:ln>
            </c:spPr>
            <c:extLst xmlns:c16r2="http://schemas.microsoft.com/office/drawing/2015/06/chart">
              <c:ext xmlns:c16="http://schemas.microsoft.com/office/drawing/2014/chart" uri="{C3380CC4-5D6E-409C-BE32-E72D297353CC}">
                <c16:uniqueId val="{00000006-DB5E-4F18-9625-4218E4706F15}"/>
              </c:ext>
            </c:extLst>
          </c:dPt>
          <c:dPt>
            <c:idx val="4"/>
            <c:bubble3D val="0"/>
            <c:spPr>
              <a:solidFill>
                <a:srgbClr val="FF8080"/>
              </a:solidFill>
              <a:ln w="12700">
                <a:solidFill>
                  <a:srgbClr val="000000"/>
                </a:solidFill>
                <a:prstDash val="solid"/>
              </a:ln>
            </c:spPr>
            <c:extLst xmlns:c16r2="http://schemas.microsoft.com/office/drawing/2015/06/chart">
              <c:ext xmlns:c16="http://schemas.microsoft.com/office/drawing/2014/chart" uri="{C3380CC4-5D6E-409C-BE32-E72D297353CC}">
                <c16:uniqueId val="{00000008-DB5E-4F18-9625-4218E4706F15}"/>
              </c:ext>
            </c:extLst>
          </c:dPt>
          <c:dPt>
            <c:idx val="5"/>
            <c:bubble3D val="0"/>
            <c:spPr>
              <a:solidFill>
                <a:srgbClr val="99CC00"/>
              </a:solidFill>
              <a:ln w="12700">
                <a:solidFill>
                  <a:srgbClr val="000000"/>
                </a:solidFill>
                <a:prstDash val="solid"/>
              </a:ln>
            </c:spPr>
            <c:extLst xmlns:c16r2="http://schemas.microsoft.com/office/drawing/2015/06/chart">
              <c:ext xmlns:c16="http://schemas.microsoft.com/office/drawing/2014/chart" uri="{C3380CC4-5D6E-409C-BE32-E72D297353CC}">
                <c16:uniqueId val="{0000000A-DB5E-4F18-9625-4218E4706F15}"/>
              </c:ext>
            </c:extLst>
          </c:dPt>
          <c:dLbls>
            <c:dLbl>
              <c:idx val="0"/>
              <c:layout>
                <c:manualLayout>
                  <c:x val="4.0607881615625258E-2"/>
                  <c:y val="-6.8089040416339688E-2"/>
                </c:manualLayout>
              </c:layout>
              <c:dLblPos val="bestFit"/>
              <c:showLegendKey val="0"/>
              <c:showVal val="0"/>
              <c:showCatName val="1"/>
              <c:showSerName val="0"/>
              <c:showPercent val="1"/>
              <c:showBubbleSize val="0"/>
              <c:extLst xmlns:c16r2="http://schemas.microsoft.com/office/drawing/2015/06/chart">
                <c:ext xmlns:c16="http://schemas.microsoft.com/office/drawing/2014/chart" uri="{C3380CC4-5D6E-409C-BE32-E72D297353CC}">
                  <c16:uniqueId val="{00000000-DB5E-4F18-9625-4218E4706F15}"/>
                </c:ext>
                <c:ext xmlns:c15="http://schemas.microsoft.com/office/drawing/2012/chart" uri="{CE6537A1-D6FC-4f65-9D91-7224C49458BB}"/>
              </c:extLst>
            </c:dLbl>
            <c:dLbl>
              <c:idx val="1"/>
              <c:layout>
                <c:manualLayout>
                  <c:x val="5.594356548244292E-2"/>
                  <c:y val="-1.4133722975349764E-2"/>
                </c:manualLayout>
              </c:layout>
              <c:dLblPos val="bestFit"/>
              <c:showLegendKey val="0"/>
              <c:showVal val="0"/>
              <c:showCatName val="1"/>
              <c:showSerName val="0"/>
              <c:showPercent val="1"/>
              <c:showBubbleSize val="0"/>
              <c:extLst xmlns:c16r2="http://schemas.microsoft.com/office/drawing/2015/06/chart">
                <c:ext xmlns:c16="http://schemas.microsoft.com/office/drawing/2014/chart" uri="{C3380CC4-5D6E-409C-BE32-E72D297353CC}">
                  <c16:uniqueId val="{00000002-DB5E-4F18-9625-4218E4706F15}"/>
                </c:ext>
                <c:ext xmlns:c15="http://schemas.microsoft.com/office/drawing/2012/chart" uri="{CE6537A1-D6FC-4f65-9D91-7224C49458BB}"/>
              </c:extLst>
            </c:dLbl>
            <c:dLbl>
              <c:idx val="2"/>
              <c:layout>
                <c:manualLayout>
                  <c:x val="-6.4927489027677129E-2"/>
                  <c:y val="9.201215827403017E-2"/>
                </c:manualLayout>
              </c:layout>
              <c:dLblPos val="bestFit"/>
              <c:showLegendKey val="0"/>
              <c:showVal val="0"/>
              <c:showCatName val="1"/>
              <c:showSerName val="0"/>
              <c:showPercent val="1"/>
              <c:showBubbleSize val="0"/>
              <c:extLst xmlns:c16r2="http://schemas.microsoft.com/office/drawing/2015/06/chart">
                <c:ext xmlns:c16="http://schemas.microsoft.com/office/drawing/2014/chart" uri="{C3380CC4-5D6E-409C-BE32-E72D297353CC}">
                  <c16:uniqueId val="{00000004-DB5E-4F18-9625-4218E4706F15}"/>
                </c:ext>
                <c:ext xmlns:c15="http://schemas.microsoft.com/office/drawing/2012/chart" uri="{CE6537A1-D6FC-4f65-9D91-7224C49458BB}"/>
              </c:extLst>
            </c:dLbl>
            <c:dLbl>
              <c:idx val="3"/>
              <c:layout>
                <c:manualLayout>
                  <c:x val="-7.9367038789230973E-2"/>
                  <c:y val="2.7126841103624899E-2"/>
                </c:manualLayout>
              </c:layout>
              <c:dLblPos val="bestFit"/>
              <c:showLegendKey val="0"/>
              <c:showVal val="0"/>
              <c:showCatName val="1"/>
              <c:showSerName val="0"/>
              <c:showPercent val="1"/>
              <c:showBubbleSize val="0"/>
              <c:extLst xmlns:c16r2="http://schemas.microsoft.com/office/drawing/2015/06/chart">
                <c:ext xmlns:c16="http://schemas.microsoft.com/office/drawing/2014/chart" uri="{C3380CC4-5D6E-409C-BE32-E72D297353CC}">
                  <c16:uniqueId val="{00000006-DB5E-4F18-9625-4218E4706F15}"/>
                </c:ext>
                <c:ext xmlns:c15="http://schemas.microsoft.com/office/drawing/2012/chart" uri="{CE6537A1-D6FC-4f65-9D91-7224C49458BB}"/>
              </c:extLst>
            </c:dLbl>
            <c:dLbl>
              <c:idx val="4"/>
              <c:layout>
                <c:manualLayout>
                  <c:x val="-7.916575061002587E-2"/>
                  <c:y val="-6.158977550486603E-2"/>
                </c:manualLayout>
              </c:layout>
              <c:dLblPos val="bestFit"/>
              <c:showLegendKey val="0"/>
              <c:showVal val="0"/>
              <c:showCatName val="1"/>
              <c:showSerName val="0"/>
              <c:showPercent val="1"/>
              <c:showBubbleSize val="0"/>
              <c:extLst xmlns:c16r2="http://schemas.microsoft.com/office/drawing/2015/06/chart">
                <c:ext xmlns:c16="http://schemas.microsoft.com/office/drawing/2014/chart" uri="{C3380CC4-5D6E-409C-BE32-E72D297353CC}">
                  <c16:uniqueId val="{00000008-DB5E-4F18-9625-4218E4706F15}"/>
                </c:ext>
                <c:ext xmlns:c15="http://schemas.microsoft.com/office/drawing/2012/chart" uri="{CE6537A1-D6FC-4f65-9D91-7224C49458BB}"/>
              </c:extLst>
            </c:dLbl>
            <c:dLbl>
              <c:idx val="5"/>
              <c:layout>
                <c:manualLayout>
                  <c:x val="6.8866939719401693E-2"/>
                  <c:y val="-9.615805756239236E-2"/>
                </c:manualLayout>
              </c:layout>
              <c:dLblPos val="bestFit"/>
              <c:showLegendKey val="0"/>
              <c:showVal val="0"/>
              <c:showCatName val="1"/>
              <c:showSerName val="0"/>
              <c:showPercent val="1"/>
              <c:showBubbleSize val="0"/>
              <c:extLst xmlns:c16r2="http://schemas.microsoft.com/office/drawing/2015/06/chart">
                <c:ext xmlns:c16="http://schemas.microsoft.com/office/drawing/2014/chart" uri="{C3380CC4-5D6E-409C-BE32-E72D297353CC}">
                  <c16:uniqueId val="{0000000A-DB5E-4F18-9625-4218E4706F15}"/>
                </c:ext>
                <c:ext xmlns:c15="http://schemas.microsoft.com/office/drawing/2012/chart" uri="{CE6537A1-D6FC-4f65-9D91-7224C49458BB}"/>
              </c:extLst>
            </c:dLbl>
            <c:numFmt formatCode="0%" sourceLinked="0"/>
            <c:spPr>
              <a:noFill/>
              <a:ln w="25400">
                <a:noFill/>
              </a:ln>
            </c:spPr>
            <c:txPr>
              <a:bodyPr/>
              <a:lstStyle/>
              <a:p>
                <a:pPr>
                  <a:defRPr sz="975" b="0" i="0" u="none" strike="noStrike" baseline="0">
                    <a:solidFill>
                      <a:srgbClr val="000000"/>
                    </a:solidFill>
                    <a:latin typeface="Arial"/>
                    <a:ea typeface="Arial"/>
                    <a:cs typeface="Arial"/>
                  </a:defRPr>
                </a:pPr>
                <a:endParaRPr lang="hu-HU"/>
              </a:p>
            </c:txPr>
            <c:showLegendKey val="0"/>
            <c:showVal val="0"/>
            <c:showCatName val="1"/>
            <c:showSerName val="0"/>
            <c:showPercent val="1"/>
            <c:showBubbleSize val="0"/>
            <c:showLeaderLines val="1"/>
            <c:extLst xmlns:c16r2="http://schemas.microsoft.com/office/drawing/2015/06/chart">
              <c:ext xmlns:c15="http://schemas.microsoft.com/office/drawing/2012/chart" uri="{CE6537A1-D6FC-4f65-9D91-7224C49458BB}"/>
            </c:extLst>
          </c:dLbls>
          <c:cat>
            <c:strRef>
              <c:f>[6]Munka1!$B$7:$B$12</c:f>
              <c:strCache>
                <c:ptCount val="6"/>
                <c:pt idx="0">
                  <c:v>Oktatási ágazat kiadásai</c:v>
                </c:pt>
                <c:pt idx="1">
                  <c:v>Szociális és egészségügyi feladatok kiadásai</c:v>
                </c:pt>
                <c:pt idx="2">
                  <c:v>Közművelődés és kulturális ágazat kiadásai</c:v>
                </c:pt>
                <c:pt idx="3">
                  <c:v>Városműködtetési kiadások</c:v>
                </c:pt>
                <c:pt idx="4">
                  <c:v>Igazgatási és gazdasági feladatok, informatikai kiadások</c:v>
                </c:pt>
                <c:pt idx="5">
                  <c:v>Sport és egyéb működési kiadások</c:v>
                </c:pt>
              </c:strCache>
            </c:strRef>
          </c:cat>
          <c:val>
            <c:numRef>
              <c:f>[6]Munka1!$C$7:$C$12</c:f>
              <c:numCache>
                <c:formatCode>General</c:formatCode>
                <c:ptCount val="6"/>
                <c:pt idx="0">
                  <c:v>2905180.5</c:v>
                </c:pt>
                <c:pt idx="1">
                  <c:v>2031603.6</c:v>
                </c:pt>
                <c:pt idx="2">
                  <c:v>3636521.2800000003</c:v>
                </c:pt>
                <c:pt idx="3">
                  <c:v>2774028</c:v>
                </c:pt>
                <c:pt idx="4">
                  <c:v>2288509.7999999998</c:v>
                </c:pt>
                <c:pt idx="5">
                  <c:v>991640.82000000007</c:v>
                </c:pt>
              </c:numCache>
            </c:numRef>
          </c:val>
          <c:extLst xmlns:c16r2="http://schemas.microsoft.com/office/drawing/2015/06/chart">
            <c:ext xmlns:c16="http://schemas.microsoft.com/office/drawing/2014/chart" uri="{C3380CC4-5D6E-409C-BE32-E72D297353CC}">
              <c16:uniqueId val="{0000000B-DB5E-4F18-9625-4218E4706F15}"/>
            </c:ext>
          </c:extLst>
        </c:ser>
        <c:dLbls>
          <c:showLegendKey val="0"/>
          <c:showVal val="0"/>
          <c:showCatName val="0"/>
          <c:showSerName val="0"/>
          <c:showPercent val="0"/>
          <c:showBubbleSize val="0"/>
          <c:showLeaderLines val="1"/>
        </c:dLbls>
      </c:pie3DChart>
      <c:spPr>
        <a:noFill/>
        <a:ln w="25400">
          <a:noFill/>
        </a:ln>
      </c:spPr>
    </c:plotArea>
    <c:plotVisOnly val="1"/>
    <c:dispBlanksAs val="zero"/>
    <c:showDLblsOverMax val="0"/>
  </c:chart>
  <c:spPr>
    <a:noFill/>
    <a:ln w="9525">
      <a:noFill/>
    </a:ln>
  </c:spPr>
  <c:txPr>
    <a:bodyPr/>
    <a:lstStyle/>
    <a:p>
      <a:pPr>
        <a:defRPr sz="975" b="0" i="0" u="none" strike="noStrike" baseline="0">
          <a:solidFill>
            <a:srgbClr val="000000"/>
          </a:solidFill>
          <a:latin typeface="Arial"/>
          <a:ea typeface="Arial"/>
          <a:cs typeface="Arial"/>
        </a:defRPr>
      </a:pPr>
      <a:endParaRPr lang="hu-HU"/>
    </a:p>
  </c:txPr>
</c:chartSpace>
</file>

<file path=xl/chart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4.bin"/></Relationships>
</file>

<file path=xl/chart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5.bin"/></Relationships>
</file>

<file path=xl/chart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26.bin"/></Relationships>
</file>

<file path=xl/chart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27.bin"/></Relationships>
</file>

<file path=xl/chart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28.bin"/></Relationships>
</file>

<file path=xl/chartsheets/sheet1.xml><?xml version="1.0" encoding="utf-8"?>
<chartsheet xmlns="http://schemas.openxmlformats.org/spreadsheetml/2006/main" xmlns:r="http://schemas.openxmlformats.org/officeDocument/2006/relationships">
  <sheetPr/>
  <sheetViews>
    <sheetView zoomScale="91" workbookViewId="0"/>
  </sheetViews>
  <pageMargins left="0.75" right="0.75" top="1" bottom="1" header="0.5" footer="0.5"/>
  <pageSetup paperSize="9" orientation="landscape" r:id="rId1"/>
  <headerFooter alignWithMargins="0"/>
  <drawing r:id="rId2"/>
</chartsheet>
</file>

<file path=xl/chartsheets/sheet2.xml><?xml version="1.0" encoding="utf-8"?>
<chartsheet xmlns="http://schemas.openxmlformats.org/spreadsheetml/2006/main" xmlns:r="http://schemas.openxmlformats.org/officeDocument/2006/relationships">
  <sheetPr/>
  <sheetViews>
    <sheetView zoomScale="91" workbookViewId="0"/>
  </sheetViews>
  <pageMargins left="0.75" right="0.75" top="1" bottom="1" header="0.5" footer="0.5"/>
  <pageSetup paperSize="9" orientation="landscape" r:id="rId1"/>
  <headerFooter alignWithMargins="0"/>
  <drawing r:id="rId2"/>
</chartsheet>
</file>

<file path=xl/chartsheets/sheet3.xml><?xml version="1.0" encoding="utf-8"?>
<chartsheet xmlns="http://schemas.openxmlformats.org/spreadsheetml/2006/main" xmlns:r="http://schemas.openxmlformats.org/officeDocument/2006/relationships">
  <sheetPr/>
  <sheetViews>
    <sheetView zoomScale="91" workbookViewId="0"/>
  </sheetViews>
  <pageMargins left="0.75" right="0.75" top="1" bottom="1" header="0.5" footer="0.5"/>
  <pageSetup paperSize="9" orientation="landscape" r:id="rId1"/>
  <headerFooter alignWithMargins="0"/>
  <drawing r:id="rId2"/>
</chartsheet>
</file>

<file path=xl/chartsheets/sheet4.xml><?xml version="1.0" encoding="utf-8"?>
<chartsheet xmlns="http://schemas.openxmlformats.org/spreadsheetml/2006/main" xmlns:r="http://schemas.openxmlformats.org/officeDocument/2006/relationships">
  <sheetPr/>
  <sheetViews>
    <sheetView zoomScale="91" workbookViewId="0"/>
  </sheetViews>
  <pageMargins left="0.75" right="0.75" top="1" bottom="1" header="0.5" footer="0.5"/>
  <pageSetup paperSize="9" orientation="landscape" r:id="rId1"/>
  <headerFooter alignWithMargins="0"/>
  <drawing r:id="rId2"/>
</chartsheet>
</file>

<file path=xl/chartsheets/sheet5.xml><?xml version="1.0" encoding="utf-8"?>
<chartsheet xmlns="http://schemas.openxmlformats.org/spreadsheetml/2006/main" xmlns:r="http://schemas.openxmlformats.org/officeDocument/2006/relationships">
  <sheetPr/>
  <sheetViews>
    <sheetView zoomScale="91" workbookViewId="0"/>
  </sheetViews>
  <pageMargins left="0.75" right="0.75" top="1" bottom="1" header="0.5" footer="0.5"/>
  <pageSetup paperSize="9" orientation="landscape" r:id="rId1"/>
  <headerFooter alignWithMargins="0"/>
  <drawing r:id="rId2"/>
</chartsheet>
</file>

<file path=xl/drawings/_rels/drawing1.xml.rels><?xml version="1.0" encoding="UTF-8" standalone="yes"?>
<Relationships xmlns="http://schemas.openxmlformats.org/package/2006/relationships"><Relationship Id="rId1" Type="http://schemas.openxmlformats.org/officeDocument/2006/relationships/chart" Target="../charts/chart1.xml"/></Relationships>
</file>

<file path=xl/drawings/_rels/drawing2.xml.rels><?xml version="1.0" encoding="UTF-8" standalone="yes"?>
<Relationships xmlns="http://schemas.openxmlformats.org/package/2006/relationships"><Relationship Id="rId1" Type="http://schemas.openxmlformats.org/officeDocument/2006/relationships/chart" Target="../charts/chart2.xml"/></Relationships>
</file>

<file path=xl/drawings/_rels/drawing3.xml.rels><?xml version="1.0" encoding="UTF-8" standalone="yes"?>
<Relationships xmlns="http://schemas.openxmlformats.org/package/2006/relationships"><Relationship Id="rId1" Type="http://schemas.openxmlformats.org/officeDocument/2006/relationships/chart" Target="../charts/chart3.xml"/></Relationships>
</file>

<file path=xl/drawings/_rels/drawing4.xml.rels><?xml version="1.0" encoding="UTF-8" standalone="yes"?>
<Relationships xmlns="http://schemas.openxmlformats.org/package/2006/relationships"><Relationship Id="rId1" Type="http://schemas.openxmlformats.org/officeDocument/2006/relationships/chart" Target="../charts/chart4.xml"/></Relationships>
</file>

<file path=xl/drawings/_rels/drawing5.xml.rels><?xml version="1.0" encoding="UTF-8" standalone="yes"?>
<Relationships xmlns="http://schemas.openxmlformats.org/package/2006/relationships"><Relationship Id="rId1" Type="http://schemas.openxmlformats.org/officeDocument/2006/relationships/chart" Target="../charts/chart5.xml"/></Relationships>
</file>

<file path=xl/drawings/drawing1.xml><?xml version="1.0" encoding="utf-8"?>
<xdr:wsDr xmlns:xdr="http://schemas.openxmlformats.org/drawingml/2006/spreadsheetDrawing" xmlns:a="http://schemas.openxmlformats.org/drawingml/2006/main">
  <xdr:absoluteAnchor>
    <xdr:pos x="0" y="0"/>
    <xdr:ext cx="9200522" cy="5610330"/>
    <xdr:graphicFrame macro="">
      <xdr:nvGraphicFramePr>
        <xdr:cNvPr id="2" name="Diagram 1">
          <a:extLst>
            <a:ext uri="{FF2B5EF4-FFF2-40B4-BE49-F238E27FC236}">
              <a16:creationId xmlns:a16="http://schemas.microsoft.com/office/drawing/2014/main" xmlns="" id="{00000000-0008-0000-1700-000002000000}"/>
            </a:ext>
          </a:extLst>
        </xdr:cNvPr>
        <xdr:cNvGraphicFramePr>
          <a:graphicFrameLocks noGrp="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absoluteAnchor>
</xdr:wsDr>
</file>

<file path=xl/drawings/drawing2.xml><?xml version="1.0" encoding="utf-8"?>
<xdr:wsDr xmlns:xdr="http://schemas.openxmlformats.org/drawingml/2006/spreadsheetDrawing" xmlns:a="http://schemas.openxmlformats.org/drawingml/2006/main">
  <xdr:absoluteAnchor>
    <xdr:pos x="0" y="0"/>
    <xdr:ext cx="9200522" cy="5610330"/>
    <xdr:graphicFrame macro="">
      <xdr:nvGraphicFramePr>
        <xdr:cNvPr id="2" name="Diagram 1">
          <a:extLst>
            <a:ext uri="{FF2B5EF4-FFF2-40B4-BE49-F238E27FC236}">
              <a16:creationId xmlns:a16="http://schemas.microsoft.com/office/drawing/2014/main" xmlns="" id="{00000000-0008-0000-1800-000002000000}"/>
            </a:ext>
          </a:extLst>
        </xdr:cNvPr>
        <xdr:cNvGraphicFramePr>
          <a:graphicFrameLocks noGrp="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absoluteAnchor>
</xdr:wsDr>
</file>

<file path=xl/drawings/drawing3.xml><?xml version="1.0" encoding="utf-8"?>
<xdr:wsDr xmlns:xdr="http://schemas.openxmlformats.org/drawingml/2006/spreadsheetDrawing" xmlns:a="http://schemas.openxmlformats.org/drawingml/2006/main">
  <xdr:absoluteAnchor>
    <xdr:pos x="0" y="0"/>
    <xdr:ext cx="9200522" cy="5610330"/>
    <xdr:graphicFrame macro="">
      <xdr:nvGraphicFramePr>
        <xdr:cNvPr id="2" name="Diagram 1">
          <a:extLst>
            <a:ext uri="{FF2B5EF4-FFF2-40B4-BE49-F238E27FC236}">
              <a16:creationId xmlns:a16="http://schemas.microsoft.com/office/drawing/2014/main" xmlns="" id="{00000000-0008-0000-1900-000002000000}"/>
            </a:ext>
          </a:extLst>
        </xdr:cNvPr>
        <xdr:cNvGraphicFramePr>
          <a:graphicFrameLocks noGrp="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absoluteAnchor>
</xdr:wsDr>
</file>

<file path=xl/drawings/drawing4.xml><?xml version="1.0" encoding="utf-8"?>
<xdr:wsDr xmlns:xdr="http://schemas.openxmlformats.org/drawingml/2006/spreadsheetDrawing" xmlns:a="http://schemas.openxmlformats.org/drawingml/2006/main">
  <xdr:absoluteAnchor>
    <xdr:pos x="0" y="0"/>
    <xdr:ext cx="9200522" cy="5610330"/>
    <xdr:graphicFrame macro="">
      <xdr:nvGraphicFramePr>
        <xdr:cNvPr id="2" name="Diagram 1">
          <a:extLst>
            <a:ext uri="{FF2B5EF4-FFF2-40B4-BE49-F238E27FC236}">
              <a16:creationId xmlns:a16="http://schemas.microsoft.com/office/drawing/2014/main" xmlns="" id="{00000000-0008-0000-1A00-000002000000}"/>
            </a:ext>
          </a:extLst>
        </xdr:cNvPr>
        <xdr:cNvGraphicFramePr>
          <a:graphicFrameLocks noGrp="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absoluteAnchor>
</xdr:wsDr>
</file>

<file path=xl/drawings/drawing5.xml><?xml version="1.0" encoding="utf-8"?>
<xdr:wsDr xmlns:xdr="http://schemas.openxmlformats.org/drawingml/2006/spreadsheetDrawing" xmlns:a="http://schemas.openxmlformats.org/drawingml/2006/main">
  <xdr:absoluteAnchor>
    <xdr:pos x="0" y="0"/>
    <xdr:ext cx="9200522" cy="5610330"/>
    <xdr:graphicFrame macro="">
      <xdr:nvGraphicFramePr>
        <xdr:cNvPr id="2" name="Diagram 1">
          <a:extLst>
            <a:ext uri="{FF2B5EF4-FFF2-40B4-BE49-F238E27FC236}">
              <a16:creationId xmlns:a16="http://schemas.microsoft.com/office/drawing/2014/main" xmlns="" id="{00000000-0008-0000-1B00-000002000000}"/>
            </a:ext>
          </a:extLst>
        </xdr:cNvPr>
        <xdr:cNvGraphicFramePr>
          <a:graphicFrameLocks noGrp="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absolute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Users/eckert.szilvia/AppData/Local/Microsoft/Windows/INetCache/Content.Outlook/35E9Q1T3/2020.%20&#233;vi_kv_t&#225;bl&#225;zat_szabina.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koltsegvetes/koltsegvetes2020/Eredeti_v&#233;gleges/Diagram/Bevetelek%20alakulasa%202020.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koltsegvetes/koltsegvetes2020/Eredeti_v&#233;gleges/Diagram/Kiad&#225;sok%20alakul&#225;sa%202020.xlsx"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koltsegvetes/koltsegvetes2020/Eredeti_v&#233;gleges/Diagram/Kozp%20tam%20%20gafikon%20&#233;s%20adatok%202020.xlsx"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koltsegvetes/koltsegvetes2020/Eredeti_v&#233;gleges/Diagram/Lefedettseg%20graf%20&#233;s%20adatok%202020.xlsx"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koltsegvetes/koltsegvetes2020/Eredeti_v&#233;gleges/Diagram/Mukodes%20megoszlas%20grafikon%20&#233;s%20adatok%202020.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1.Onbe"/>
      <sheetName val="2.Norm"/>
      <sheetName val="3.Onki"/>
      <sheetName val="4.Inbe"/>
      <sheetName val="5.Inbe"/>
      <sheetName val="6.Inki"/>
      <sheetName val="7.Infelhki"/>
      <sheetName val="8.Önk.műk."/>
      <sheetName val="8.A Alapítv"/>
      <sheetName val="9.Beruh."/>
      <sheetName val="10.Felúj."/>
      <sheetName val="11.Eu.projekt"/>
      <sheetName val="12.MVP és hazai"/>
      <sheetName val="13.EKG"/>
      <sheetName val="14.Mérleg"/>
      <sheetName val="15.Létszám"/>
      <sheetName val="16. Többéves"/>
      <sheetName val="17.Hitel"/>
      <sheetName val="18.A Beruh.hitel"/>
      <sheetName val="19.Projekt"/>
      <sheetName val="20.Közv.tám."/>
      <sheetName val="Diagram1"/>
      <sheetName val="Diagram2"/>
      <sheetName val="Diagram3"/>
      <sheetName val="Diagram4"/>
      <sheetName val="Diagram5"/>
    </sheetNames>
    <sheetDataSet>
      <sheetData sheetId="0">
        <row r="30">
          <cell r="G30">
            <v>998980</v>
          </cell>
        </row>
      </sheetData>
      <sheetData sheetId="1" refreshError="1"/>
      <sheetData sheetId="2">
        <row r="7">
          <cell r="G7">
            <v>7353582</v>
          </cell>
        </row>
      </sheetData>
      <sheetData sheetId="3">
        <row r="29">
          <cell r="O29">
            <v>1845356</v>
          </cell>
        </row>
        <row r="59">
          <cell r="O59">
            <v>2182328</v>
          </cell>
        </row>
        <row r="63">
          <cell r="O63">
            <v>6363012</v>
          </cell>
        </row>
      </sheetData>
      <sheetData sheetId="4" refreshError="1"/>
      <sheetData sheetId="5">
        <row r="126">
          <cell r="P126">
            <v>67036</v>
          </cell>
        </row>
      </sheetData>
      <sheetData sheetId="6"/>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iagram2"/>
      <sheetName val="Diagram3"/>
      <sheetName val="Munka1"/>
    </sheetNames>
    <sheetDataSet>
      <sheetData sheetId="0" refreshError="1"/>
      <sheetData sheetId="1" refreshError="1"/>
      <sheetData sheetId="2">
        <row r="4">
          <cell r="B4" t="str">
            <v xml:space="preserve">2018.ÉVI TÉNY  </v>
          </cell>
          <cell r="C4" t="str">
            <v xml:space="preserve">2019.ÉVI VÁRHATÓ   </v>
          </cell>
          <cell r="D4" t="str">
            <v xml:space="preserve">2020.ÉVI TERV </v>
          </cell>
        </row>
        <row r="6">
          <cell r="A6" t="str">
            <v>Központi koltségvetési támogatás</v>
          </cell>
          <cell r="B6">
            <v>3393904</v>
          </cell>
          <cell r="C6">
            <v>3676859</v>
          </cell>
          <cell r="D6">
            <v>3066627</v>
          </cell>
        </row>
        <row r="7">
          <cell r="A7" t="str">
            <v>Egyéb kapott támogatás</v>
          </cell>
          <cell r="B7">
            <v>12683797</v>
          </cell>
          <cell r="C7">
            <v>9475025</v>
          </cell>
          <cell r="D7">
            <v>8166069</v>
          </cell>
        </row>
        <row r="8">
          <cell r="A8" t="str">
            <v>Működési célú támogatások</v>
          </cell>
          <cell r="B8">
            <v>582004</v>
          </cell>
          <cell r="C8">
            <v>1401865</v>
          </cell>
          <cell r="D8">
            <v>1573630</v>
          </cell>
        </row>
        <row r="9">
          <cell r="A9" t="str">
            <v>Közhatalmi bevételek (helyi adók,, gépjárműadó, egyéb pótlék, bírság)</v>
          </cell>
          <cell r="B9">
            <v>8049548</v>
          </cell>
          <cell r="C9">
            <v>8108452</v>
          </cell>
          <cell r="D9">
            <v>7945120</v>
          </cell>
        </row>
        <row r="10">
          <cell r="A10" t="str">
            <v>Ingatlanok és tárgyi eszközök értékesítése</v>
          </cell>
          <cell r="B10">
            <v>136583</v>
          </cell>
          <cell r="C10">
            <v>153966</v>
          </cell>
          <cell r="D10">
            <v>190000</v>
          </cell>
        </row>
        <row r="11">
          <cell r="A11" t="str">
            <v xml:space="preserve">Működési bevételek </v>
          </cell>
          <cell r="B11">
            <v>2034526</v>
          </cell>
          <cell r="C11">
            <v>1953150</v>
          </cell>
          <cell r="D11">
            <v>2529882</v>
          </cell>
        </row>
        <row r="12">
          <cell r="A12" t="str">
            <v>Átvett pénzeszközök,felhalmozási bevételek</v>
          </cell>
          <cell r="B12">
            <v>62968</v>
          </cell>
          <cell r="C12">
            <v>641201</v>
          </cell>
          <cell r="D12">
            <v>7543</v>
          </cell>
        </row>
        <row r="13">
          <cell r="A13" t="str">
            <v>Költségvetési maradvány</v>
          </cell>
          <cell r="B13">
            <v>6873658</v>
          </cell>
          <cell r="C13">
            <v>13087077</v>
          </cell>
          <cell r="D13">
            <v>12883374</v>
          </cell>
        </row>
        <row r="14">
          <cell r="A14" t="str">
            <v>Hitelfelvétel</v>
          </cell>
          <cell r="B14">
            <v>51512</v>
          </cell>
          <cell r="C14">
            <v>676488</v>
          </cell>
          <cell r="D14">
            <v>1409800</v>
          </cell>
        </row>
        <row r="15">
          <cell r="B15">
            <v>33868500</v>
          </cell>
          <cell r="C15">
            <v>39174083</v>
          </cell>
          <cell r="D15">
            <v>37772045</v>
          </cell>
        </row>
      </sheetData>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iagram2"/>
      <sheetName val="Munka1"/>
    </sheetNames>
    <sheetDataSet>
      <sheetData sheetId="0" refreshError="1"/>
      <sheetData sheetId="1">
        <row r="6">
          <cell r="C6" t="str">
            <v>2018. évi tény</v>
          </cell>
          <cell r="D6" t="str">
            <v>2019. évi várható</v>
          </cell>
          <cell r="E6" t="str">
            <v>2020. évi terv</v>
          </cell>
        </row>
        <row r="8">
          <cell r="B8" t="str">
            <v>Hiteltörlesztés</v>
          </cell>
          <cell r="C8">
            <v>107595</v>
          </cell>
          <cell r="D8">
            <v>113595</v>
          </cell>
          <cell r="E8">
            <v>108504</v>
          </cell>
        </row>
        <row r="9">
          <cell r="B9" t="str">
            <v>Beruházás, felújítás, egyéb felhalmozás</v>
          </cell>
          <cell r="C9">
            <v>8662579</v>
          </cell>
          <cell r="D9">
            <v>21578471</v>
          </cell>
          <cell r="E9">
            <v>22227115</v>
          </cell>
        </row>
        <row r="10">
          <cell r="B10" t="str">
            <v>Intézmények működési kiadásai</v>
          </cell>
          <cell r="C10">
            <v>7197678</v>
          </cell>
          <cell r="D10">
            <v>8871331</v>
          </cell>
          <cell r="E10">
            <v>7971537</v>
          </cell>
        </row>
        <row r="11">
          <cell r="B11" t="str">
            <v>Önkormányzati feladatok és kötelezettségek működési kiadásai</v>
          </cell>
          <cell r="C11">
            <v>4826496</v>
          </cell>
          <cell r="D11">
            <v>7877817</v>
          </cell>
          <cell r="E11">
            <v>6767214</v>
          </cell>
        </row>
      </sheetData>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iagram2"/>
      <sheetName val="Munka1"/>
      <sheetName val="Munka2"/>
    </sheetNames>
    <sheetDataSet>
      <sheetData sheetId="0" refreshError="1"/>
      <sheetData sheetId="1">
        <row r="3">
          <cell r="B3" t="str">
            <v>2018.évi tény</v>
          </cell>
          <cell r="C3" t="str">
            <v>2019. évi tény</v>
          </cell>
          <cell r="D3" t="str">
            <v>2020.évi terv</v>
          </cell>
        </row>
        <row r="5">
          <cell r="A5" t="str">
            <v>Köznevelési feladatok támogatása</v>
          </cell>
          <cell r="B5">
            <v>1105584</v>
          </cell>
          <cell r="C5">
            <v>1108325</v>
          </cell>
          <cell r="D5">
            <v>1125011</v>
          </cell>
        </row>
        <row r="6">
          <cell r="A6" t="str">
            <v>Szociális, gyermekjóléti, gyermekétkeztetési feladatok támogatása</v>
          </cell>
          <cell r="B6">
            <v>1063921</v>
          </cell>
          <cell r="C6">
            <v>1319428</v>
          </cell>
          <cell r="D6">
            <v>1480333</v>
          </cell>
        </row>
        <row r="7">
          <cell r="A7" t="str">
            <v>Kulturális feladatok támogatása</v>
          </cell>
          <cell r="B7">
            <v>760256</v>
          </cell>
          <cell r="C7">
            <v>766792</v>
          </cell>
          <cell r="D7">
            <v>770083</v>
          </cell>
        </row>
        <row r="8">
          <cell r="A8">
            <v>0</v>
          </cell>
          <cell r="B8">
            <v>0</v>
          </cell>
          <cell r="C8">
            <v>0</v>
          </cell>
          <cell r="D8">
            <v>0</v>
          </cell>
        </row>
      </sheetData>
      <sheetData sheetId="2"/>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2020 norm"/>
      <sheetName val="Diagram1"/>
      <sheetName val="Munka1"/>
      <sheetName val="INBE"/>
      <sheetName val="mukodesi tam"/>
    </sheetNames>
    <sheetDataSet>
      <sheetData sheetId="0"/>
      <sheetData sheetId="1" refreshError="1"/>
      <sheetData sheetId="2">
        <row r="5">
          <cell r="B5" t="str">
            <v>Állami támogatás</v>
          </cell>
          <cell r="F5" t="str">
            <v>Önkormányzati forrás</v>
          </cell>
        </row>
        <row r="6">
          <cell r="A6" t="str">
            <v>Oktatási ágazat</v>
          </cell>
          <cell r="B6">
            <v>1585849</v>
          </cell>
          <cell r="F6">
            <v>1081254.7999999998</v>
          </cell>
        </row>
        <row r="7">
          <cell r="A7" t="str">
            <v>Egészségügyi és Szociális kiadások</v>
          </cell>
          <cell r="B7">
            <v>1411738</v>
          </cell>
          <cell r="F7">
            <v>398170</v>
          </cell>
        </row>
        <row r="8">
          <cell r="A8" t="str">
            <v>Közművelődés</v>
          </cell>
          <cell r="B8">
            <v>1924750</v>
          </cell>
          <cell r="F8">
            <v>770323</v>
          </cell>
        </row>
        <row r="9">
          <cell r="A9" t="str">
            <v>Városműködtetési kiadások</v>
          </cell>
          <cell r="B9">
            <v>55767</v>
          </cell>
          <cell r="F9">
            <v>2464037</v>
          </cell>
        </row>
        <row r="10">
          <cell r="A10" t="str">
            <v>Igazgatási és gazdasági feladatok, informatikai  sport és egyéb kiadások</v>
          </cell>
          <cell r="B10">
            <v>0</v>
          </cell>
          <cell r="F10">
            <v>2968166.2</v>
          </cell>
        </row>
      </sheetData>
      <sheetData sheetId="3"/>
      <sheetData sheetId="4"/>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iagram1"/>
      <sheetName val="Munka1"/>
      <sheetName val="2018"/>
      <sheetName val="2019"/>
      <sheetName val="2020"/>
      <sheetName val="projekt"/>
    </sheetNames>
    <sheetDataSet>
      <sheetData sheetId="0" refreshError="1"/>
      <sheetData sheetId="1">
        <row r="7">
          <cell r="B7" t="str">
            <v>Oktatási ágazat kiadásai</v>
          </cell>
          <cell r="C7">
            <v>2905180.5</v>
          </cell>
        </row>
        <row r="8">
          <cell r="B8" t="str">
            <v>Szociális és egészségügyi feladatok kiadásai</v>
          </cell>
          <cell r="C8">
            <v>2031603.6</v>
          </cell>
        </row>
        <row r="9">
          <cell r="B9" t="str">
            <v>Közművelődés és kulturális ágazat kiadásai</v>
          </cell>
          <cell r="C9">
            <v>3636521.2800000003</v>
          </cell>
        </row>
        <row r="10">
          <cell r="B10" t="str">
            <v>Városműködtetési kiadások</v>
          </cell>
          <cell r="C10">
            <v>2774028</v>
          </cell>
        </row>
        <row r="11">
          <cell r="B11" t="str">
            <v>Igazgatási és gazdasági feladatok, informatikai kiadások</v>
          </cell>
          <cell r="C11">
            <v>2288509.7999999998</v>
          </cell>
        </row>
        <row r="12">
          <cell r="B12" t="str">
            <v>Sport és egyéb működési kiadások</v>
          </cell>
          <cell r="C12">
            <v>991640.82000000007</v>
          </cell>
        </row>
      </sheetData>
      <sheetData sheetId="2"/>
      <sheetData sheetId="3"/>
      <sheetData sheetId="4"/>
      <sheetData sheetId="5"/>
    </sheetDataSet>
  </externalBook>
</externalLink>
</file>

<file path=xl/theme/theme1.xml><?xml version="1.0" encoding="utf-8"?>
<a:theme xmlns:a="http://schemas.openxmlformats.org/drawingml/2006/main" name="Office-téma">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VU643"/>
  <sheetViews>
    <sheetView view="pageBreakPreview" zoomScaleNormal="100" zoomScaleSheetLayoutView="100" workbookViewId="0">
      <selection activeCell="F75" sqref="F75"/>
    </sheetView>
  </sheetViews>
  <sheetFormatPr defaultRowHeight="16.5" x14ac:dyDescent="0.3"/>
  <cols>
    <col min="1" max="1" width="3.5703125" style="1600" bestFit="1" customWidth="1"/>
    <col min="2" max="2" width="3.7109375" style="146" customWidth="1"/>
    <col min="3" max="3" width="4.140625" style="125" customWidth="1"/>
    <col min="4" max="4" width="81.28515625" style="1601" bestFit="1" customWidth="1"/>
    <col min="5" max="5" width="15.28515625" style="71" customWidth="1"/>
    <col min="6" max="6" width="10.28515625" style="146" customWidth="1"/>
    <col min="7" max="7" width="14.28515625" style="146" customWidth="1"/>
    <col min="8" max="8" width="14.42578125" style="146" customWidth="1"/>
    <col min="9" max="9" width="9.140625" style="146" customWidth="1"/>
    <col min="10" max="10" width="15.5703125" style="71" customWidth="1"/>
    <col min="11" max="11" width="7.140625" style="146" customWidth="1"/>
    <col min="12" max="12" width="13.140625" style="71" customWidth="1"/>
    <col min="13" max="13" width="9.7109375" style="146" bestFit="1" customWidth="1"/>
    <col min="14" max="256" width="9.140625" style="146"/>
    <col min="257" max="257" width="3.5703125" style="146" bestFit="1" customWidth="1"/>
    <col min="258" max="258" width="3.7109375" style="146" customWidth="1"/>
    <col min="259" max="259" width="4.140625" style="146" customWidth="1"/>
    <col min="260" max="260" width="81.28515625" style="146" bestFit="1" customWidth="1"/>
    <col min="261" max="261" width="15.28515625" style="146" customWidth="1"/>
    <col min="262" max="266" width="0" style="146" hidden="1" customWidth="1"/>
    <col min="267" max="267" width="7.140625" style="146" customWidth="1"/>
    <col min="268" max="268" width="10.140625" style="146" bestFit="1" customWidth="1"/>
    <col min="269" max="269" width="9.7109375" style="146" bestFit="1" customWidth="1"/>
    <col min="270" max="512" width="9.140625" style="146"/>
    <col min="513" max="513" width="3.5703125" style="146" bestFit="1" customWidth="1"/>
    <col min="514" max="514" width="3.7109375" style="146" customWidth="1"/>
    <col min="515" max="515" width="4.140625" style="146" customWidth="1"/>
    <col min="516" max="516" width="81.28515625" style="146" bestFit="1" customWidth="1"/>
    <col min="517" max="517" width="15.28515625" style="146" customWidth="1"/>
    <col min="518" max="522" width="0" style="146" hidden="1" customWidth="1"/>
    <col min="523" max="523" width="7.140625" style="146" customWidth="1"/>
    <col min="524" max="524" width="10.140625" style="146" bestFit="1" customWidth="1"/>
    <col min="525" max="525" width="9.7109375" style="146" bestFit="1" customWidth="1"/>
    <col min="526" max="768" width="9.140625" style="146"/>
    <col min="769" max="769" width="3.5703125" style="146" bestFit="1" customWidth="1"/>
    <col min="770" max="770" width="3.7109375" style="146" customWidth="1"/>
    <col min="771" max="771" width="4.140625" style="146" customWidth="1"/>
    <col min="772" max="772" width="81.28515625" style="146" bestFit="1" customWidth="1"/>
    <col min="773" max="773" width="15.28515625" style="146" customWidth="1"/>
    <col min="774" max="778" width="0" style="146" hidden="1" customWidth="1"/>
    <col min="779" max="779" width="7.140625" style="146" customWidth="1"/>
    <col min="780" max="780" width="10.140625" style="146" bestFit="1" customWidth="1"/>
    <col min="781" max="781" width="9.7109375" style="146" bestFit="1" customWidth="1"/>
    <col min="782" max="1024" width="9.140625" style="146"/>
    <col min="1025" max="1025" width="3.5703125" style="146" bestFit="1" customWidth="1"/>
    <col min="1026" max="1026" width="3.7109375" style="146" customWidth="1"/>
    <col min="1027" max="1027" width="4.140625" style="146" customWidth="1"/>
    <col min="1028" max="1028" width="81.28515625" style="146" bestFit="1" customWidth="1"/>
    <col min="1029" max="1029" width="15.28515625" style="146" customWidth="1"/>
    <col min="1030" max="1034" width="0" style="146" hidden="1" customWidth="1"/>
    <col min="1035" max="1035" width="7.140625" style="146" customWidth="1"/>
    <col min="1036" max="1036" width="10.140625" style="146" bestFit="1" customWidth="1"/>
    <col min="1037" max="1037" width="9.7109375" style="146" bestFit="1" customWidth="1"/>
    <col min="1038" max="1280" width="9.140625" style="146"/>
    <col min="1281" max="1281" width="3.5703125" style="146" bestFit="1" customWidth="1"/>
    <col min="1282" max="1282" width="3.7109375" style="146" customWidth="1"/>
    <col min="1283" max="1283" width="4.140625" style="146" customWidth="1"/>
    <col min="1284" max="1284" width="81.28515625" style="146" bestFit="1" customWidth="1"/>
    <col min="1285" max="1285" width="15.28515625" style="146" customWidth="1"/>
    <col min="1286" max="1290" width="0" style="146" hidden="1" customWidth="1"/>
    <col min="1291" max="1291" width="7.140625" style="146" customWidth="1"/>
    <col min="1292" max="1292" width="10.140625" style="146" bestFit="1" customWidth="1"/>
    <col min="1293" max="1293" width="9.7109375" style="146" bestFit="1" customWidth="1"/>
    <col min="1294" max="1536" width="9.140625" style="146"/>
    <col min="1537" max="1537" width="3.5703125" style="146" bestFit="1" customWidth="1"/>
    <col min="1538" max="1538" width="3.7109375" style="146" customWidth="1"/>
    <col min="1539" max="1539" width="4.140625" style="146" customWidth="1"/>
    <col min="1540" max="1540" width="81.28515625" style="146" bestFit="1" customWidth="1"/>
    <col min="1541" max="1541" width="15.28515625" style="146" customWidth="1"/>
    <col min="1542" max="1546" width="0" style="146" hidden="1" customWidth="1"/>
    <col min="1547" max="1547" width="7.140625" style="146" customWidth="1"/>
    <col min="1548" max="1548" width="10.140625" style="146" bestFit="1" customWidth="1"/>
    <col min="1549" max="1549" width="9.7109375" style="146" bestFit="1" customWidth="1"/>
    <col min="1550" max="1792" width="9.140625" style="146"/>
    <col min="1793" max="1793" width="3.5703125" style="146" bestFit="1" customWidth="1"/>
    <col min="1794" max="1794" width="3.7109375" style="146" customWidth="1"/>
    <col min="1795" max="1795" width="4.140625" style="146" customWidth="1"/>
    <col min="1796" max="1796" width="81.28515625" style="146" bestFit="1" customWidth="1"/>
    <col min="1797" max="1797" width="15.28515625" style="146" customWidth="1"/>
    <col min="1798" max="1802" width="0" style="146" hidden="1" customWidth="1"/>
    <col min="1803" max="1803" width="7.140625" style="146" customWidth="1"/>
    <col min="1804" max="1804" width="10.140625" style="146" bestFit="1" customWidth="1"/>
    <col min="1805" max="1805" width="9.7109375" style="146" bestFit="1" customWidth="1"/>
    <col min="1806" max="2048" width="9.140625" style="146"/>
    <col min="2049" max="2049" width="3.5703125" style="146" bestFit="1" customWidth="1"/>
    <col min="2050" max="2050" width="3.7109375" style="146" customWidth="1"/>
    <col min="2051" max="2051" width="4.140625" style="146" customWidth="1"/>
    <col min="2052" max="2052" width="81.28515625" style="146" bestFit="1" customWidth="1"/>
    <col min="2053" max="2053" width="15.28515625" style="146" customWidth="1"/>
    <col min="2054" max="2058" width="0" style="146" hidden="1" customWidth="1"/>
    <col min="2059" max="2059" width="7.140625" style="146" customWidth="1"/>
    <col min="2060" max="2060" width="10.140625" style="146" bestFit="1" customWidth="1"/>
    <col min="2061" max="2061" width="9.7109375" style="146" bestFit="1" customWidth="1"/>
    <col min="2062" max="2304" width="9.140625" style="146"/>
    <col min="2305" max="2305" width="3.5703125" style="146" bestFit="1" customWidth="1"/>
    <col min="2306" max="2306" width="3.7109375" style="146" customWidth="1"/>
    <col min="2307" max="2307" width="4.140625" style="146" customWidth="1"/>
    <col min="2308" max="2308" width="81.28515625" style="146" bestFit="1" customWidth="1"/>
    <col min="2309" max="2309" width="15.28515625" style="146" customWidth="1"/>
    <col min="2310" max="2314" width="0" style="146" hidden="1" customWidth="1"/>
    <col min="2315" max="2315" width="7.140625" style="146" customWidth="1"/>
    <col min="2316" max="2316" width="10.140625" style="146" bestFit="1" customWidth="1"/>
    <col min="2317" max="2317" width="9.7109375" style="146" bestFit="1" customWidth="1"/>
    <col min="2318" max="2560" width="9.140625" style="146"/>
    <col min="2561" max="2561" width="3.5703125" style="146" bestFit="1" customWidth="1"/>
    <col min="2562" max="2562" width="3.7109375" style="146" customWidth="1"/>
    <col min="2563" max="2563" width="4.140625" style="146" customWidth="1"/>
    <col min="2564" max="2564" width="81.28515625" style="146" bestFit="1" customWidth="1"/>
    <col min="2565" max="2565" width="15.28515625" style="146" customWidth="1"/>
    <col min="2566" max="2570" width="0" style="146" hidden="1" customWidth="1"/>
    <col min="2571" max="2571" width="7.140625" style="146" customWidth="1"/>
    <col min="2572" max="2572" width="10.140625" style="146" bestFit="1" customWidth="1"/>
    <col min="2573" max="2573" width="9.7109375" style="146" bestFit="1" customWidth="1"/>
    <col min="2574" max="2816" width="9.140625" style="146"/>
    <col min="2817" max="2817" width="3.5703125" style="146" bestFit="1" customWidth="1"/>
    <col min="2818" max="2818" width="3.7109375" style="146" customWidth="1"/>
    <col min="2819" max="2819" width="4.140625" style="146" customWidth="1"/>
    <col min="2820" max="2820" width="81.28515625" style="146" bestFit="1" customWidth="1"/>
    <col min="2821" max="2821" width="15.28515625" style="146" customWidth="1"/>
    <col min="2822" max="2826" width="0" style="146" hidden="1" customWidth="1"/>
    <col min="2827" max="2827" width="7.140625" style="146" customWidth="1"/>
    <col min="2828" max="2828" width="10.140625" style="146" bestFit="1" customWidth="1"/>
    <col min="2829" max="2829" width="9.7109375" style="146" bestFit="1" customWidth="1"/>
    <col min="2830" max="3072" width="9.140625" style="146"/>
    <col min="3073" max="3073" width="3.5703125" style="146" bestFit="1" customWidth="1"/>
    <col min="3074" max="3074" width="3.7109375" style="146" customWidth="1"/>
    <col min="3075" max="3075" width="4.140625" style="146" customWidth="1"/>
    <col min="3076" max="3076" width="81.28515625" style="146" bestFit="1" customWidth="1"/>
    <col min="3077" max="3077" width="15.28515625" style="146" customWidth="1"/>
    <col min="3078" max="3082" width="0" style="146" hidden="1" customWidth="1"/>
    <col min="3083" max="3083" width="7.140625" style="146" customWidth="1"/>
    <col min="3084" max="3084" width="10.140625" style="146" bestFit="1" customWidth="1"/>
    <col min="3085" max="3085" width="9.7109375" style="146" bestFit="1" customWidth="1"/>
    <col min="3086" max="3328" width="9.140625" style="146"/>
    <col min="3329" max="3329" width="3.5703125" style="146" bestFit="1" customWidth="1"/>
    <col min="3330" max="3330" width="3.7109375" style="146" customWidth="1"/>
    <col min="3331" max="3331" width="4.140625" style="146" customWidth="1"/>
    <col min="3332" max="3332" width="81.28515625" style="146" bestFit="1" customWidth="1"/>
    <col min="3333" max="3333" width="15.28515625" style="146" customWidth="1"/>
    <col min="3334" max="3338" width="0" style="146" hidden="1" customWidth="1"/>
    <col min="3339" max="3339" width="7.140625" style="146" customWidth="1"/>
    <col min="3340" max="3340" width="10.140625" style="146" bestFit="1" customWidth="1"/>
    <col min="3341" max="3341" width="9.7109375" style="146" bestFit="1" customWidth="1"/>
    <col min="3342" max="3584" width="9.140625" style="146"/>
    <col min="3585" max="3585" width="3.5703125" style="146" bestFit="1" customWidth="1"/>
    <col min="3586" max="3586" width="3.7109375" style="146" customWidth="1"/>
    <col min="3587" max="3587" width="4.140625" style="146" customWidth="1"/>
    <col min="3588" max="3588" width="81.28515625" style="146" bestFit="1" customWidth="1"/>
    <col min="3589" max="3589" width="15.28515625" style="146" customWidth="1"/>
    <col min="3590" max="3594" width="0" style="146" hidden="1" customWidth="1"/>
    <col min="3595" max="3595" width="7.140625" style="146" customWidth="1"/>
    <col min="3596" max="3596" width="10.140625" style="146" bestFit="1" customWidth="1"/>
    <col min="3597" max="3597" width="9.7109375" style="146" bestFit="1" customWidth="1"/>
    <col min="3598" max="3840" width="9.140625" style="146"/>
    <col min="3841" max="3841" width="3.5703125" style="146" bestFit="1" customWidth="1"/>
    <col min="3842" max="3842" width="3.7109375" style="146" customWidth="1"/>
    <col min="3843" max="3843" width="4.140625" style="146" customWidth="1"/>
    <col min="3844" max="3844" width="81.28515625" style="146" bestFit="1" customWidth="1"/>
    <col min="3845" max="3845" width="15.28515625" style="146" customWidth="1"/>
    <col min="3846" max="3850" width="0" style="146" hidden="1" customWidth="1"/>
    <col min="3851" max="3851" width="7.140625" style="146" customWidth="1"/>
    <col min="3852" max="3852" width="10.140625" style="146" bestFit="1" customWidth="1"/>
    <col min="3853" max="3853" width="9.7109375" style="146" bestFit="1" customWidth="1"/>
    <col min="3854" max="4096" width="9.140625" style="146"/>
    <col min="4097" max="4097" width="3.5703125" style="146" bestFit="1" customWidth="1"/>
    <col min="4098" max="4098" width="3.7109375" style="146" customWidth="1"/>
    <col min="4099" max="4099" width="4.140625" style="146" customWidth="1"/>
    <col min="4100" max="4100" width="81.28515625" style="146" bestFit="1" customWidth="1"/>
    <col min="4101" max="4101" width="15.28515625" style="146" customWidth="1"/>
    <col min="4102" max="4106" width="0" style="146" hidden="1" customWidth="1"/>
    <col min="4107" max="4107" width="7.140625" style="146" customWidth="1"/>
    <col min="4108" max="4108" width="10.140625" style="146" bestFit="1" customWidth="1"/>
    <col min="4109" max="4109" width="9.7109375" style="146" bestFit="1" customWidth="1"/>
    <col min="4110" max="4352" width="9.140625" style="146"/>
    <col min="4353" max="4353" width="3.5703125" style="146" bestFit="1" customWidth="1"/>
    <col min="4354" max="4354" width="3.7109375" style="146" customWidth="1"/>
    <col min="4355" max="4355" width="4.140625" style="146" customWidth="1"/>
    <col min="4356" max="4356" width="81.28515625" style="146" bestFit="1" customWidth="1"/>
    <col min="4357" max="4357" width="15.28515625" style="146" customWidth="1"/>
    <col min="4358" max="4362" width="0" style="146" hidden="1" customWidth="1"/>
    <col min="4363" max="4363" width="7.140625" style="146" customWidth="1"/>
    <col min="4364" max="4364" width="10.140625" style="146" bestFit="1" customWidth="1"/>
    <col min="4365" max="4365" width="9.7109375" style="146" bestFit="1" customWidth="1"/>
    <col min="4366" max="4608" width="9.140625" style="146"/>
    <col min="4609" max="4609" width="3.5703125" style="146" bestFit="1" customWidth="1"/>
    <col min="4610" max="4610" width="3.7109375" style="146" customWidth="1"/>
    <col min="4611" max="4611" width="4.140625" style="146" customWidth="1"/>
    <col min="4612" max="4612" width="81.28515625" style="146" bestFit="1" customWidth="1"/>
    <col min="4613" max="4613" width="15.28515625" style="146" customWidth="1"/>
    <col min="4614" max="4618" width="0" style="146" hidden="1" customWidth="1"/>
    <col min="4619" max="4619" width="7.140625" style="146" customWidth="1"/>
    <col min="4620" max="4620" width="10.140625" style="146" bestFit="1" customWidth="1"/>
    <col min="4621" max="4621" width="9.7109375" style="146" bestFit="1" customWidth="1"/>
    <col min="4622" max="4864" width="9.140625" style="146"/>
    <col min="4865" max="4865" width="3.5703125" style="146" bestFit="1" customWidth="1"/>
    <col min="4866" max="4866" width="3.7109375" style="146" customWidth="1"/>
    <col min="4867" max="4867" width="4.140625" style="146" customWidth="1"/>
    <col min="4868" max="4868" width="81.28515625" style="146" bestFit="1" customWidth="1"/>
    <col min="4869" max="4869" width="15.28515625" style="146" customWidth="1"/>
    <col min="4870" max="4874" width="0" style="146" hidden="1" customWidth="1"/>
    <col min="4875" max="4875" width="7.140625" style="146" customWidth="1"/>
    <col min="4876" max="4876" width="10.140625" style="146" bestFit="1" customWidth="1"/>
    <col min="4877" max="4877" width="9.7109375" style="146" bestFit="1" customWidth="1"/>
    <col min="4878" max="5120" width="9.140625" style="146"/>
    <col min="5121" max="5121" width="3.5703125" style="146" bestFit="1" customWidth="1"/>
    <col min="5122" max="5122" width="3.7109375" style="146" customWidth="1"/>
    <col min="5123" max="5123" width="4.140625" style="146" customWidth="1"/>
    <col min="5124" max="5124" width="81.28515625" style="146" bestFit="1" customWidth="1"/>
    <col min="5125" max="5125" width="15.28515625" style="146" customWidth="1"/>
    <col min="5126" max="5130" width="0" style="146" hidden="1" customWidth="1"/>
    <col min="5131" max="5131" width="7.140625" style="146" customWidth="1"/>
    <col min="5132" max="5132" width="10.140625" style="146" bestFit="1" customWidth="1"/>
    <col min="5133" max="5133" width="9.7109375" style="146" bestFit="1" customWidth="1"/>
    <col min="5134" max="5376" width="9.140625" style="146"/>
    <col min="5377" max="5377" width="3.5703125" style="146" bestFit="1" customWidth="1"/>
    <col min="5378" max="5378" width="3.7109375" style="146" customWidth="1"/>
    <col min="5379" max="5379" width="4.140625" style="146" customWidth="1"/>
    <col min="5380" max="5380" width="81.28515625" style="146" bestFit="1" customWidth="1"/>
    <col min="5381" max="5381" width="15.28515625" style="146" customWidth="1"/>
    <col min="5382" max="5386" width="0" style="146" hidden="1" customWidth="1"/>
    <col min="5387" max="5387" width="7.140625" style="146" customWidth="1"/>
    <col min="5388" max="5388" width="10.140625" style="146" bestFit="1" customWidth="1"/>
    <col min="5389" max="5389" width="9.7109375" style="146" bestFit="1" customWidth="1"/>
    <col min="5390" max="5632" width="9.140625" style="146"/>
    <col min="5633" max="5633" width="3.5703125" style="146" bestFit="1" customWidth="1"/>
    <col min="5634" max="5634" width="3.7109375" style="146" customWidth="1"/>
    <col min="5635" max="5635" width="4.140625" style="146" customWidth="1"/>
    <col min="5636" max="5636" width="81.28515625" style="146" bestFit="1" customWidth="1"/>
    <col min="5637" max="5637" width="15.28515625" style="146" customWidth="1"/>
    <col min="5638" max="5642" width="0" style="146" hidden="1" customWidth="1"/>
    <col min="5643" max="5643" width="7.140625" style="146" customWidth="1"/>
    <col min="5644" max="5644" width="10.140625" style="146" bestFit="1" customWidth="1"/>
    <col min="5645" max="5645" width="9.7109375" style="146" bestFit="1" customWidth="1"/>
    <col min="5646" max="5888" width="9.140625" style="146"/>
    <col min="5889" max="5889" width="3.5703125" style="146" bestFit="1" customWidth="1"/>
    <col min="5890" max="5890" width="3.7109375" style="146" customWidth="1"/>
    <col min="5891" max="5891" width="4.140625" style="146" customWidth="1"/>
    <col min="5892" max="5892" width="81.28515625" style="146" bestFit="1" customWidth="1"/>
    <col min="5893" max="5893" width="15.28515625" style="146" customWidth="1"/>
    <col min="5894" max="5898" width="0" style="146" hidden="1" customWidth="1"/>
    <col min="5899" max="5899" width="7.140625" style="146" customWidth="1"/>
    <col min="5900" max="5900" width="10.140625" style="146" bestFit="1" customWidth="1"/>
    <col min="5901" max="5901" width="9.7109375" style="146" bestFit="1" customWidth="1"/>
    <col min="5902" max="6144" width="9.140625" style="146"/>
    <col min="6145" max="6145" width="3.5703125" style="146" bestFit="1" customWidth="1"/>
    <col min="6146" max="6146" width="3.7109375" style="146" customWidth="1"/>
    <col min="6147" max="6147" width="4.140625" style="146" customWidth="1"/>
    <col min="6148" max="6148" width="81.28515625" style="146" bestFit="1" customWidth="1"/>
    <col min="6149" max="6149" width="15.28515625" style="146" customWidth="1"/>
    <col min="6150" max="6154" width="0" style="146" hidden="1" customWidth="1"/>
    <col min="6155" max="6155" width="7.140625" style="146" customWidth="1"/>
    <col min="6156" max="6156" width="10.140625" style="146" bestFit="1" customWidth="1"/>
    <col min="6157" max="6157" width="9.7109375" style="146" bestFit="1" customWidth="1"/>
    <col min="6158" max="6400" width="9.140625" style="146"/>
    <col min="6401" max="6401" width="3.5703125" style="146" bestFit="1" customWidth="1"/>
    <col min="6402" max="6402" width="3.7109375" style="146" customWidth="1"/>
    <col min="6403" max="6403" width="4.140625" style="146" customWidth="1"/>
    <col min="6404" max="6404" width="81.28515625" style="146" bestFit="1" customWidth="1"/>
    <col min="6405" max="6405" width="15.28515625" style="146" customWidth="1"/>
    <col min="6406" max="6410" width="0" style="146" hidden="1" customWidth="1"/>
    <col min="6411" max="6411" width="7.140625" style="146" customWidth="1"/>
    <col min="6412" max="6412" width="10.140625" style="146" bestFit="1" customWidth="1"/>
    <col min="6413" max="6413" width="9.7109375" style="146" bestFit="1" customWidth="1"/>
    <col min="6414" max="6656" width="9.140625" style="146"/>
    <col min="6657" max="6657" width="3.5703125" style="146" bestFit="1" customWidth="1"/>
    <col min="6658" max="6658" width="3.7109375" style="146" customWidth="1"/>
    <col min="6659" max="6659" width="4.140625" style="146" customWidth="1"/>
    <col min="6660" max="6660" width="81.28515625" style="146" bestFit="1" customWidth="1"/>
    <col min="6661" max="6661" width="15.28515625" style="146" customWidth="1"/>
    <col min="6662" max="6666" width="0" style="146" hidden="1" customWidth="1"/>
    <col min="6667" max="6667" width="7.140625" style="146" customWidth="1"/>
    <col min="6668" max="6668" width="10.140625" style="146" bestFit="1" customWidth="1"/>
    <col min="6669" max="6669" width="9.7109375" style="146" bestFit="1" customWidth="1"/>
    <col min="6670" max="6912" width="9.140625" style="146"/>
    <col min="6913" max="6913" width="3.5703125" style="146" bestFit="1" customWidth="1"/>
    <col min="6914" max="6914" width="3.7109375" style="146" customWidth="1"/>
    <col min="6915" max="6915" width="4.140625" style="146" customWidth="1"/>
    <col min="6916" max="6916" width="81.28515625" style="146" bestFit="1" customWidth="1"/>
    <col min="6917" max="6917" width="15.28515625" style="146" customWidth="1"/>
    <col min="6918" max="6922" width="0" style="146" hidden="1" customWidth="1"/>
    <col min="6923" max="6923" width="7.140625" style="146" customWidth="1"/>
    <col min="6924" max="6924" width="10.140625" style="146" bestFit="1" customWidth="1"/>
    <col min="6925" max="6925" width="9.7109375" style="146" bestFit="1" customWidth="1"/>
    <col min="6926" max="7168" width="9.140625" style="146"/>
    <col min="7169" max="7169" width="3.5703125" style="146" bestFit="1" customWidth="1"/>
    <col min="7170" max="7170" width="3.7109375" style="146" customWidth="1"/>
    <col min="7171" max="7171" width="4.140625" style="146" customWidth="1"/>
    <col min="7172" max="7172" width="81.28515625" style="146" bestFit="1" customWidth="1"/>
    <col min="7173" max="7173" width="15.28515625" style="146" customWidth="1"/>
    <col min="7174" max="7178" width="0" style="146" hidden="1" customWidth="1"/>
    <col min="7179" max="7179" width="7.140625" style="146" customWidth="1"/>
    <col min="7180" max="7180" width="10.140625" style="146" bestFit="1" customWidth="1"/>
    <col min="7181" max="7181" width="9.7109375" style="146" bestFit="1" customWidth="1"/>
    <col min="7182" max="7424" width="9.140625" style="146"/>
    <col min="7425" max="7425" width="3.5703125" style="146" bestFit="1" customWidth="1"/>
    <col min="7426" max="7426" width="3.7109375" style="146" customWidth="1"/>
    <col min="7427" max="7427" width="4.140625" style="146" customWidth="1"/>
    <col min="7428" max="7428" width="81.28515625" style="146" bestFit="1" customWidth="1"/>
    <col min="7429" max="7429" width="15.28515625" style="146" customWidth="1"/>
    <col min="7430" max="7434" width="0" style="146" hidden="1" customWidth="1"/>
    <col min="7435" max="7435" width="7.140625" style="146" customWidth="1"/>
    <col min="7436" max="7436" width="10.140625" style="146" bestFit="1" customWidth="1"/>
    <col min="7437" max="7437" width="9.7109375" style="146" bestFit="1" customWidth="1"/>
    <col min="7438" max="7680" width="9.140625" style="146"/>
    <col min="7681" max="7681" width="3.5703125" style="146" bestFit="1" customWidth="1"/>
    <col min="7682" max="7682" width="3.7109375" style="146" customWidth="1"/>
    <col min="7683" max="7683" width="4.140625" style="146" customWidth="1"/>
    <col min="7684" max="7684" width="81.28515625" style="146" bestFit="1" customWidth="1"/>
    <col min="7685" max="7685" width="15.28515625" style="146" customWidth="1"/>
    <col min="7686" max="7690" width="0" style="146" hidden="1" customWidth="1"/>
    <col min="7691" max="7691" width="7.140625" style="146" customWidth="1"/>
    <col min="7692" max="7692" width="10.140625" style="146" bestFit="1" customWidth="1"/>
    <col min="7693" max="7693" width="9.7109375" style="146" bestFit="1" customWidth="1"/>
    <col min="7694" max="7936" width="9.140625" style="146"/>
    <col min="7937" max="7937" width="3.5703125" style="146" bestFit="1" customWidth="1"/>
    <col min="7938" max="7938" width="3.7109375" style="146" customWidth="1"/>
    <col min="7939" max="7939" width="4.140625" style="146" customWidth="1"/>
    <col min="7940" max="7940" width="81.28515625" style="146" bestFit="1" customWidth="1"/>
    <col min="7941" max="7941" width="15.28515625" style="146" customWidth="1"/>
    <col min="7942" max="7946" width="0" style="146" hidden="1" customWidth="1"/>
    <col min="7947" max="7947" width="7.140625" style="146" customWidth="1"/>
    <col min="7948" max="7948" width="10.140625" style="146" bestFit="1" customWidth="1"/>
    <col min="7949" max="7949" width="9.7109375" style="146" bestFit="1" customWidth="1"/>
    <col min="7950" max="8192" width="9.140625" style="146"/>
    <col min="8193" max="8193" width="3.5703125" style="146" bestFit="1" customWidth="1"/>
    <col min="8194" max="8194" width="3.7109375" style="146" customWidth="1"/>
    <col min="8195" max="8195" width="4.140625" style="146" customWidth="1"/>
    <col min="8196" max="8196" width="81.28515625" style="146" bestFit="1" customWidth="1"/>
    <col min="8197" max="8197" width="15.28515625" style="146" customWidth="1"/>
    <col min="8198" max="8202" width="0" style="146" hidden="1" customWidth="1"/>
    <col min="8203" max="8203" width="7.140625" style="146" customWidth="1"/>
    <col min="8204" max="8204" width="10.140625" style="146" bestFit="1" customWidth="1"/>
    <col min="8205" max="8205" width="9.7109375" style="146" bestFit="1" customWidth="1"/>
    <col min="8206" max="8448" width="9.140625" style="146"/>
    <col min="8449" max="8449" width="3.5703125" style="146" bestFit="1" customWidth="1"/>
    <col min="8450" max="8450" width="3.7109375" style="146" customWidth="1"/>
    <col min="8451" max="8451" width="4.140625" style="146" customWidth="1"/>
    <col min="8452" max="8452" width="81.28515625" style="146" bestFit="1" customWidth="1"/>
    <col min="8453" max="8453" width="15.28515625" style="146" customWidth="1"/>
    <col min="8454" max="8458" width="0" style="146" hidden="1" customWidth="1"/>
    <col min="8459" max="8459" width="7.140625" style="146" customWidth="1"/>
    <col min="8460" max="8460" width="10.140625" style="146" bestFit="1" customWidth="1"/>
    <col min="8461" max="8461" width="9.7109375" style="146" bestFit="1" customWidth="1"/>
    <col min="8462" max="8704" width="9.140625" style="146"/>
    <col min="8705" max="8705" width="3.5703125" style="146" bestFit="1" customWidth="1"/>
    <col min="8706" max="8706" width="3.7109375" style="146" customWidth="1"/>
    <col min="8707" max="8707" width="4.140625" style="146" customWidth="1"/>
    <col min="8708" max="8708" width="81.28515625" style="146" bestFit="1" customWidth="1"/>
    <col min="8709" max="8709" width="15.28515625" style="146" customWidth="1"/>
    <col min="8710" max="8714" width="0" style="146" hidden="1" customWidth="1"/>
    <col min="8715" max="8715" width="7.140625" style="146" customWidth="1"/>
    <col min="8716" max="8716" width="10.140625" style="146" bestFit="1" customWidth="1"/>
    <col min="8717" max="8717" width="9.7109375" style="146" bestFit="1" customWidth="1"/>
    <col min="8718" max="8960" width="9.140625" style="146"/>
    <col min="8961" max="8961" width="3.5703125" style="146" bestFit="1" customWidth="1"/>
    <col min="8962" max="8962" width="3.7109375" style="146" customWidth="1"/>
    <col min="8963" max="8963" width="4.140625" style="146" customWidth="1"/>
    <col min="8964" max="8964" width="81.28515625" style="146" bestFit="1" customWidth="1"/>
    <col min="8965" max="8965" width="15.28515625" style="146" customWidth="1"/>
    <col min="8966" max="8970" width="0" style="146" hidden="1" customWidth="1"/>
    <col min="8971" max="8971" width="7.140625" style="146" customWidth="1"/>
    <col min="8972" max="8972" width="10.140625" style="146" bestFit="1" customWidth="1"/>
    <col min="8973" max="8973" width="9.7109375" style="146" bestFit="1" customWidth="1"/>
    <col min="8974" max="9216" width="9.140625" style="146"/>
    <col min="9217" max="9217" width="3.5703125" style="146" bestFit="1" customWidth="1"/>
    <col min="9218" max="9218" width="3.7109375" style="146" customWidth="1"/>
    <col min="9219" max="9219" width="4.140625" style="146" customWidth="1"/>
    <col min="9220" max="9220" width="81.28515625" style="146" bestFit="1" customWidth="1"/>
    <col min="9221" max="9221" width="15.28515625" style="146" customWidth="1"/>
    <col min="9222" max="9226" width="0" style="146" hidden="1" customWidth="1"/>
    <col min="9227" max="9227" width="7.140625" style="146" customWidth="1"/>
    <col min="9228" max="9228" width="10.140625" style="146" bestFit="1" customWidth="1"/>
    <col min="9229" max="9229" width="9.7109375" style="146" bestFit="1" customWidth="1"/>
    <col min="9230" max="9472" width="9.140625" style="146"/>
    <col min="9473" max="9473" width="3.5703125" style="146" bestFit="1" customWidth="1"/>
    <col min="9474" max="9474" width="3.7109375" style="146" customWidth="1"/>
    <col min="9475" max="9475" width="4.140625" style="146" customWidth="1"/>
    <col min="9476" max="9476" width="81.28515625" style="146" bestFit="1" customWidth="1"/>
    <col min="9477" max="9477" width="15.28515625" style="146" customWidth="1"/>
    <col min="9478" max="9482" width="0" style="146" hidden="1" customWidth="1"/>
    <col min="9483" max="9483" width="7.140625" style="146" customWidth="1"/>
    <col min="9484" max="9484" width="10.140625" style="146" bestFit="1" customWidth="1"/>
    <col min="9485" max="9485" width="9.7109375" style="146" bestFit="1" customWidth="1"/>
    <col min="9486" max="9728" width="9.140625" style="146"/>
    <col min="9729" max="9729" width="3.5703125" style="146" bestFit="1" customWidth="1"/>
    <col min="9730" max="9730" width="3.7109375" style="146" customWidth="1"/>
    <col min="9731" max="9731" width="4.140625" style="146" customWidth="1"/>
    <col min="9732" max="9732" width="81.28515625" style="146" bestFit="1" customWidth="1"/>
    <col min="9733" max="9733" width="15.28515625" style="146" customWidth="1"/>
    <col min="9734" max="9738" width="0" style="146" hidden="1" customWidth="1"/>
    <col min="9739" max="9739" width="7.140625" style="146" customWidth="1"/>
    <col min="9740" max="9740" width="10.140625" style="146" bestFit="1" customWidth="1"/>
    <col min="9741" max="9741" width="9.7109375" style="146" bestFit="1" customWidth="1"/>
    <col min="9742" max="9984" width="9.140625" style="146"/>
    <col min="9985" max="9985" width="3.5703125" style="146" bestFit="1" customWidth="1"/>
    <col min="9986" max="9986" width="3.7109375" style="146" customWidth="1"/>
    <col min="9987" max="9987" width="4.140625" style="146" customWidth="1"/>
    <col min="9988" max="9988" width="81.28515625" style="146" bestFit="1" customWidth="1"/>
    <col min="9989" max="9989" width="15.28515625" style="146" customWidth="1"/>
    <col min="9990" max="9994" width="0" style="146" hidden="1" customWidth="1"/>
    <col min="9995" max="9995" width="7.140625" style="146" customWidth="1"/>
    <col min="9996" max="9996" width="10.140625" style="146" bestFit="1" customWidth="1"/>
    <col min="9997" max="9997" width="9.7109375" style="146" bestFit="1" customWidth="1"/>
    <col min="9998" max="10240" width="9.140625" style="146"/>
    <col min="10241" max="10241" width="3.5703125" style="146" bestFit="1" customWidth="1"/>
    <col min="10242" max="10242" width="3.7109375" style="146" customWidth="1"/>
    <col min="10243" max="10243" width="4.140625" style="146" customWidth="1"/>
    <col min="10244" max="10244" width="81.28515625" style="146" bestFit="1" customWidth="1"/>
    <col min="10245" max="10245" width="15.28515625" style="146" customWidth="1"/>
    <col min="10246" max="10250" width="0" style="146" hidden="1" customWidth="1"/>
    <col min="10251" max="10251" width="7.140625" style="146" customWidth="1"/>
    <col min="10252" max="10252" width="10.140625" style="146" bestFit="1" customWidth="1"/>
    <col min="10253" max="10253" width="9.7109375" style="146" bestFit="1" customWidth="1"/>
    <col min="10254" max="10496" width="9.140625" style="146"/>
    <col min="10497" max="10497" width="3.5703125" style="146" bestFit="1" customWidth="1"/>
    <col min="10498" max="10498" width="3.7109375" style="146" customWidth="1"/>
    <col min="10499" max="10499" width="4.140625" style="146" customWidth="1"/>
    <col min="10500" max="10500" width="81.28515625" style="146" bestFit="1" customWidth="1"/>
    <col min="10501" max="10501" width="15.28515625" style="146" customWidth="1"/>
    <col min="10502" max="10506" width="0" style="146" hidden="1" customWidth="1"/>
    <col min="10507" max="10507" width="7.140625" style="146" customWidth="1"/>
    <col min="10508" max="10508" width="10.140625" style="146" bestFit="1" customWidth="1"/>
    <col min="10509" max="10509" width="9.7109375" style="146" bestFit="1" customWidth="1"/>
    <col min="10510" max="10752" width="9.140625" style="146"/>
    <col min="10753" max="10753" width="3.5703125" style="146" bestFit="1" customWidth="1"/>
    <col min="10754" max="10754" width="3.7109375" style="146" customWidth="1"/>
    <col min="10755" max="10755" width="4.140625" style="146" customWidth="1"/>
    <col min="10756" max="10756" width="81.28515625" style="146" bestFit="1" customWidth="1"/>
    <col min="10757" max="10757" width="15.28515625" style="146" customWidth="1"/>
    <col min="10758" max="10762" width="0" style="146" hidden="1" customWidth="1"/>
    <col min="10763" max="10763" width="7.140625" style="146" customWidth="1"/>
    <col min="10764" max="10764" width="10.140625" style="146" bestFit="1" customWidth="1"/>
    <col min="10765" max="10765" width="9.7109375" style="146" bestFit="1" customWidth="1"/>
    <col min="10766" max="11008" width="9.140625" style="146"/>
    <col min="11009" max="11009" width="3.5703125" style="146" bestFit="1" customWidth="1"/>
    <col min="11010" max="11010" width="3.7109375" style="146" customWidth="1"/>
    <col min="11011" max="11011" width="4.140625" style="146" customWidth="1"/>
    <col min="11012" max="11012" width="81.28515625" style="146" bestFit="1" customWidth="1"/>
    <col min="11013" max="11013" width="15.28515625" style="146" customWidth="1"/>
    <col min="11014" max="11018" width="0" style="146" hidden="1" customWidth="1"/>
    <col min="11019" max="11019" width="7.140625" style="146" customWidth="1"/>
    <col min="11020" max="11020" width="10.140625" style="146" bestFit="1" customWidth="1"/>
    <col min="11021" max="11021" width="9.7109375" style="146" bestFit="1" customWidth="1"/>
    <col min="11022" max="11264" width="9.140625" style="146"/>
    <col min="11265" max="11265" width="3.5703125" style="146" bestFit="1" customWidth="1"/>
    <col min="11266" max="11266" width="3.7109375" style="146" customWidth="1"/>
    <col min="11267" max="11267" width="4.140625" style="146" customWidth="1"/>
    <col min="11268" max="11268" width="81.28515625" style="146" bestFit="1" customWidth="1"/>
    <col min="11269" max="11269" width="15.28515625" style="146" customWidth="1"/>
    <col min="11270" max="11274" width="0" style="146" hidden="1" customWidth="1"/>
    <col min="11275" max="11275" width="7.140625" style="146" customWidth="1"/>
    <col min="11276" max="11276" width="10.140625" style="146" bestFit="1" customWidth="1"/>
    <col min="11277" max="11277" width="9.7109375" style="146" bestFit="1" customWidth="1"/>
    <col min="11278" max="11520" width="9.140625" style="146"/>
    <col min="11521" max="11521" width="3.5703125" style="146" bestFit="1" customWidth="1"/>
    <col min="11522" max="11522" width="3.7109375" style="146" customWidth="1"/>
    <col min="11523" max="11523" width="4.140625" style="146" customWidth="1"/>
    <col min="11524" max="11524" width="81.28515625" style="146" bestFit="1" customWidth="1"/>
    <col min="11525" max="11525" width="15.28515625" style="146" customWidth="1"/>
    <col min="11526" max="11530" width="0" style="146" hidden="1" customWidth="1"/>
    <col min="11531" max="11531" width="7.140625" style="146" customWidth="1"/>
    <col min="11532" max="11532" width="10.140625" style="146" bestFit="1" customWidth="1"/>
    <col min="11533" max="11533" width="9.7109375" style="146" bestFit="1" customWidth="1"/>
    <col min="11534" max="11776" width="9.140625" style="146"/>
    <col min="11777" max="11777" width="3.5703125" style="146" bestFit="1" customWidth="1"/>
    <col min="11778" max="11778" width="3.7109375" style="146" customWidth="1"/>
    <col min="11779" max="11779" width="4.140625" style="146" customWidth="1"/>
    <col min="11780" max="11780" width="81.28515625" style="146" bestFit="1" customWidth="1"/>
    <col min="11781" max="11781" width="15.28515625" style="146" customWidth="1"/>
    <col min="11782" max="11786" width="0" style="146" hidden="1" customWidth="1"/>
    <col min="11787" max="11787" width="7.140625" style="146" customWidth="1"/>
    <col min="11788" max="11788" width="10.140625" style="146" bestFit="1" customWidth="1"/>
    <col min="11789" max="11789" width="9.7109375" style="146" bestFit="1" customWidth="1"/>
    <col min="11790" max="12032" width="9.140625" style="146"/>
    <col min="12033" max="12033" width="3.5703125" style="146" bestFit="1" customWidth="1"/>
    <col min="12034" max="12034" width="3.7109375" style="146" customWidth="1"/>
    <col min="12035" max="12035" width="4.140625" style="146" customWidth="1"/>
    <col min="12036" max="12036" width="81.28515625" style="146" bestFit="1" customWidth="1"/>
    <col min="12037" max="12037" width="15.28515625" style="146" customWidth="1"/>
    <col min="12038" max="12042" width="0" style="146" hidden="1" customWidth="1"/>
    <col min="12043" max="12043" width="7.140625" style="146" customWidth="1"/>
    <col min="12044" max="12044" width="10.140625" style="146" bestFit="1" customWidth="1"/>
    <col min="12045" max="12045" width="9.7109375" style="146" bestFit="1" customWidth="1"/>
    <col min="12046" max="12288" width="9.140625" style="146"/>
    <col min="12289" max="12289" width="3.5703125" style="146" bestFit="1" customWidth="1"/>
    <col min="12290" max="12290" width="3.7109375" style="146" customWidth="1"/>
    <col min="12291" max="12291" width="4.140625" style="146" customWidth="1"/>
    <col min="12292" max="12292" width="81.28515625" style="146" bestFit="1" customWidth="1"/>
    <col min="12293" max="12293" width="15.28515625" style="146" customWidth="1"/>
    <col min="12294" max="12298" width="0" style="146" hidden="1" customWidth="1"/>
    <col min="12299" max="12299" width="7.140625" style="146" customWidth="1"/>
    <col min="12300" max="12300" width="10.140625" style="146" bestFit="1" customWidth="1"/>
    <col min="12301" max="12301" width="9.7109375" style="146" bestFit="1" customWidth="1"/>
    <col min="12302" max="12544" width="9.140625" style="146"/>
    <col min="12545" max="12545" width="3.5703125" style="146" bestFit="1" customWidth="1"/>
    <col min="12546" max="12546" width="3.7109375" style="146" customWidth="1"/>
    <col min="12547" max="12547" width="4.140625" style="146" customWidth="1"/>
    <col min="12548" max="12548" width="81.28515625" style="146" bestFit="1" customWidth="1"/>
    <col min="12549" max="12549" width="15.28515625" style="146" customWidth="1"/>
    <col min="12550" max="12554" width="0" style="146" hidden="1" customWidth="1"/>
    <col min="12555" max="12555" width="7.140625" style="146" customWidth="1"/>
    <col min="12556" max="12556" width="10.140625" style="146" bestFit="1" customWidth="1"/>
    <col min="12557" max="12557" width="9.7109375" style="146" bestFit="1" customWidth="1"/>
    <col min="12558" max="12800" width="9.140625" style="146"/>
    <col min="12801" max="12801" width="3.5703125" style="146" bestFit="1" customWidth="1"/>
    <col min="12802" max="12802" width="3.7109375" style="146" customWidth="1"/>
    <col min="12803" max="12803" width="4.140625" style="146" customWidth="1"/>
    <col min="12804" max="12804" width="81.28515625" style="146" bestFit="1" customWidth="1"/>
    <col min="12805" max="12805" width="15.28515625" style="146" customWidth="1"/>
    <col min="12806" max="12810" width="0" style="146" hidden="1" customWidth="1"/>
    <col min="12811" max="12811" width="7.140625" style="146" customWidth="1"/>
    <col min="12812" max="12812" width="10.140625" style="146" bestFit="1" customWidth="1"/>
    <col min="12813" max="12813" width="9.7109375" style="146" bestFit="1" customWidth="1"/>
    <col min="12814" max="13056" width="9.140625" style="146"/>
    <col min="13057" max="13057" width="3.5703125" style="146" bestFit="1" customWidth="1"/>
    <col min="13058" max="13058" width="3.7109375" style="146" customWidth="1"/>
    <col min="13059" max="13059" width="4.140625" style="146" customWidth="1"/>
    <col min="13060" max="13060" width="81.28515625" style="146" bestFit="1" customWidth="1"/>
    <col min="13061" max="13061" width="15.28515625" style="146" customWidth="1"/>
    <col min="13062" max="13066" width="0" style="146" hidden="1" customWidth="1"/>
    <col min="13067" max="13067" width="7.140625" style="146" customWidth="1"/>
    <col min="13068" max="13068" width="10.140625" style="146" bestFit="1" customWidth="1"/>
    <col min="13069" max="13069" width="9.7109375" style="146" bestFit="1" customWidth="1"/>
    <col min="13070" max="13312" width="9.140625" style="146"/>
    <col min="13313" max="13313" width="3.5703125" style="146" bestFit="1" customWidth="1"/>
    <col min="13314" max="13314" width="3.7109375" style="146" customWidth="1"/>
    <col min="13315" max="13315" width="4.140625" style="146" customWidth="1"/>
    <col min="13316" max="13316" width="81.28515625" style="146" bestFit="1" customWidth="1"/>
    <col min="13317" max="13317" width="15.28515625" style="146" customWidth="1"/>
    <col min="13318" max="13322" width="0" style="146" hidden="1" customWidth="1"/>
    <col min="13323" max="13323" width="7.140625" style="146" customWidth="1"/>
    <col min="13324" max="13324" width="10.140625" style="146" bestFit="1" customWidth="1"/>
    <col min="13325" max="13325" width="9.7109375" style="146" bestFit="1" customWidth="1"/>
    <col min="13326" max="13568" width="9.140625" style="146"/>
    <col min="13569" max="13569" width="3.5703125" style="146" bestFit="1" customWidth="1"/>
    <col min="13570" max="13570" width="3.7109375" style="146" customWidth="1"/>
    <col min="13571" max="13571" width="4.140625" style="146" customWidth="1"/>
    <col min="13572" max="13572" width="81.28515625" style="146" bestFit="1" customWidth="1"/>
    <col min="13573" max="13573" width="15.28515625" style="146" customWidth="1"/>
    <col min="13574" max="13578" width="0" style="146" hidden="1" customWidth="1"/>
    <col min="13579" max="13579" width="7.140625" style="146" customWidth="1"/>
    <col min="13580" max="13580" width="10.140625" style="146" bestFit="1" customWidth="1"/>
    <col min="13581" max="13581" width="9.7109375" style="146" bestFit="1" customWidth="1"/>
    <col min="13582" max="13824" width="9.140625" style="146"/>
    <col min="13825" max="13825" width="3.5703125" style="146" bestFit="1" customWidth="1"/>
    <col min="13826" max="13826" width="3.7109375" style="146" customWidth="1"/>
    <col min="13827" max="13827" width="4.140625" style="146" customWidth="1"/>
    <col min="13828" max="13828" width="81.28515625" style="146" bestFit="1" customWidth="1"/>
    <col min="13829" max="13829" width="15.28515625" style="146" customWidth="1"/>
    <col min="13830" max="13834" width="0" style="146" hidden="1" customWidth="1"/>
    <col min="13835" max="13835" width="7.140625" style="146" customWidth="1"/>
    <col min="13836" max="13836" width="10.140625" style="146" bestFit="1" customWidth="1"/>
    <col min="13837" max="13837" width="9.7109375" style="146" bestFit="1" customWidth="1"/>
    <col min="13838" max="14080" width="9.140625" style="146"/>
    <col min="14081" max="14081" width="3.5703125" style="146" bestFit="1" customWidth="1"/>
    <col min="14082" max="14082" width="3.7109375" style="146" customWidth="1"/>
    <col min="14083" max="14083" width="4.140625" style="146" customWidth="1"/>
    <col min="14084" max="14084" width="81.28515625" style="146" bestFit="1" customWidth="1"/>
    <col min="14085" max="14085" width="15.28515625" style="146" customWidth="1"/>
    <col min="14086" max="14090" width="0" style="146" hidden="1" customWidth="1"/>
    <col min="14091" max="14091" width="7.140625" style="146" customWidth="1"/>
    <col min="14092" max="14092" width="10.140625" style="146" bestFit="1" customWidth="1"/>
    <col min="14093" max="14093" width="9.7109375" style="146" bestFit="1" customWidth="1"/>
    <col min="14094" max="14336" width="9.140625" style="146"/>
    <col min="14337" max="14337" width="3.5703125" style="146" bestFit="1" customWidth="1"/>
    <col min="14338" max="14338" width="3.7109375" style="146" customWidth="1"/>
    <col min="14339" max="14339" width="4.140625" style="146" customWidth="1"/>
    <col min="14340" max="14340" width="81.28515625" style="146" bestFit="1" customWidth="1"/>
    <col min="14341" max="14341" width="15.28515625" style="146" customWidth="1"/>
    <col min="14342" max="14346" width="0" style="146" hidden="1" customWidth="1"/>
    <col min="14347" max="14347" width="7.140625" style="146" customWidth="1"/>
    <col min="14348" max="14348" width="10.140625" style="146" bestFit="1" customWidth="1"/>
    <col min="14349" max="14349" width="9.7109375" style="146" bestFit="1" customWidth="1"/>
    <col min="14350" max="14592" width="9.140625" style="146"/>
    <col min="14593" max="14593" width="3.5703125" style="146" bestFit="1" customWidth="1"/>
    <col min="14594" max="14594" width="3.7109375" style="146" customWidth="1"/>
    <col min="14595" max="14595" width="4.140625" style="146" customWidth="1"/>
    <col min="14596" max="14596" width="81.28515625" style="146" bestFit="1" customWidth="1"/>
    <col min="14597" max="14597" width="15.28515625" style="146" customWidth="1"/>
    <col min="14598" max="14602" width="0" style="146" hidden="1" customWidth="1"/>
    <col min="14603" max="14603" width="7.140625" style="146" customWidth="1"/>
    <col min="14604" max="14604" width="10.140625" style="146" bestFit="1" customWidth="1"/>
    <col min="14605" max="14605" width="9.7109375" style="146" bestFit="1" customWidth="1"/>
    <col min="14606" max="14848" width="9.140625" style="146"/>
    <col min="14849" max="14849" width="3.5703125" style="146" bestFit="1" customWidth="1"/>
    <col min="14850" max="14850" width="3.7109375" style="146" customWidth="1"/>
    <col min="14851" max="14851" width="4.140625" style="146" customWidth="1"/>
    <col min="14852" max="14852" width="81.28515625" style="146" bestFit="1" customWidth="1"/>
    <col min="14853" max="14853" width="15.28515625" style="146" customWidth="1"/>
    <col min="14854" max="14858" width="0" style="146" hidden="1" customWidth="1"/>
    <col min="14859" max="14859" width="7.140625" style="146" customWidth="1"/>
    <col min="14860" max="14860" width="10.140625" style="146" bestFit="1" customWidth="1"/>
    <col min="14861" max="14861" width="9.7109375" style="146" bestFit="1" customWidth="1"/>
    <col min="14862" max="15104" width="9.140625" style="146"/>
    <col min="15105" max="15105" width="3.5703125" style="146" bestFit="1" customWidth="1"/>
    <col min="15106" max="15106" width="3.7109375" style="146" customWidth="1"/>
    <col min="15107" max="15107" width="4.140625" style="146" customWidth="1"/>
    <col min="15108" max="15108" width="81.28515625" style="146" bestFit="1" customWidth="1"/>
    <col min="15109" max="15109" width="15.28515625" style="146" customWidth="1"/>
    <col min="15110" max="15114" width="0" style="146" hidden="1" customWidth="1"/>
    <col min="15115" max="15115" width="7.140625" style="146" customWidth="1"/>
    <col min="15116" max="15116" width="10.140625" style="146" bestFit="1" customWidth="1"/>
    <col min="15117" max="15117" width="9.7109375" style="146" bestFit="1" customWidth="1"/>
    <col min="15118" max="15360" width="9.140625" style="146"/>
    <col min="15361" max="15361" width="3.5703125" style="146" bestFit="1" customWidth="1"/>
    <col min="15362" max="15362" width="3.7109375" style="146" customWidth="1"/>
    <col min="15363" max="15363" width="4.140625" style="146" customWidth="1"/>
    <col min="15364" max="15364" width="81.28515625" style="146" bestFit="1" customWidth="1"/>
    <col min="15365" max="15365" width="15.28515625" style="146" customWidth="1"/>
    <col min="15366" max="15370" width="0" style="146" hidden="1" customWidth="1"/>
    <col min="15371" max="15371" width="7.140625" style="146" customWidth="1"/>
    <col min="15372" max="15372" width="10.140625" style="146" bestFit="1" customWidth="1"/>
    <col min="15373" max="15373" width="9.7109375" style="146" bestFit="1" customWidth="1"/>
    <col min="15374" max="15616" width="9.140625" style="146"/>
    <col min="15617" max="15617" width="3.5703125" style="146" bestFit="1" customWidth="1"/>
    <col min="15618" max="15618" width="3.7109375" style="146" customWidth="1"/>
    <col min="15619" max="15619" width="4.140625" style="146" customWidth="1"/>
    <col min="15620" max="15620" width="81.28515625" style="146" bestFit="1" customWidth="1"/>
    <col min="15621" max="15621" width="15.28515625" style="146" customWidth="1"/>
    <col min="15622" max="15626" width="0" style="146" hidden="1" customWidth="1"/>
    <col min="15627" max="15627" width="7.140625" style="146" customWidth="1"/>
    <col min="15628" max="15628" width="10.140625" style="146" bestFit="1" customWidth="1"/>
    <col min="15629" max="15629" width="9.7109375" style="146" bestFit="1" customWidth="1"/>
    <col min="15630" max="15872" width="9.140625" style="146"/>
    <col min="15873" max="15873" width="3.5703125" style="146" bestFit="1" customWidth="1"/>
    <col min="15874" max="15874" width="3.7109375" style="146" customWidth="1"/>
    <col min="15875" max="15875" width="4.140625" style="146" customWidth="1"/>
    <col min="15876" max="15876" width="81.28515625" style="146" bestFit="1" customWidth="1"/>
    <col min="15877" max="15877" width="15.28515625" style="146" customWidth="1"/>
    <col min="15878" max="15882" width="0" style="146" hidden="1" customWidth="1"/>
    <col min="15883" max="15883" width="7.140625" style="146" customWidth="1"/>
    <col min="15884" max="15884" width="10.140625" style="146" bestFit="1" customWidth="1"/>
    <col min="15885" max="15885" width="9.7109375" style="146" bestFit="1" customWidth="1"/>
    <col min="15886" max="16128" width="9.140625" style="146"/>
    <col min="16129" max="16129" width="3.5703125" style="146" bestFit="1" customWidth="1"/>
    <col min="16130" max="16130" width="3.7109375" style="146" customWidth="1"/>
    <col min="16131" max="16131" width="4.140625" style="146" customWidth="1"/>
    <col min="16132" max="16132" width="81.28515625" style="146" bestFit="1" customWidth="1"/>
    <col min="16133" max="16133" width="15.28515625" style="146" customWidth="1"/>
    <col min="16134" max="16138" width="0" style="146" hidden="1" customWidth="1"/>
    <col min="16139" max="16139" width="7.140625" style="146" customWidth="1"/>
    <col min="16140" max="16140" width="10.140625" style="146" bestFit="1" customWidth="1"/>
    <col min="16141" max="16141" width="9.7109375" style="146" bestFit="1" customWidth="1"/>
    <col min="16142" max="16384" width="9.140625" style="146"/>
  </cols>
  <sheetData>
    <row r="1" spans="1:256" ht="30" customHeight="1" x14ac:dyDescent="0.35">
      <c r="B1" s="2141" t="s">
        <v>948</v>
      </c>
      <c r="C1" s="2141"/>
      <c r="D1" s="2141"/>
      <c r="E1" s="2141"/>
      <c r="F1" s="123"/>
      <c r="G1" s="123"/>
      <c r="H1" s="123"/>
      <c r="I1" s="123"/>
      <c r="J1" s="1615"/>
      <c r="K1" s="123"/>
      <c r="L1" s="1615"/>
      <c r="M1" s="123"/>
      <c r="N1" s="123"/>
      <c r="O1" s="123"/>
      <c r="P1" s="123"/>
      <c r="Q1" s="123"/>
      <c r="R1" s="123"/>
      <c r="S1" s="123"/>
      <c r="T1" s="123"/>
      <c r="U1" s="123"/>
      <c r="V1" s="123"/>
      <c r="W1" s="123"/>
      <c r="X1" s="123"/>
      <c r="Y1" s="123"/>
      <c r="Z1" s="123"/>
      <c r="AA1" s="123"/>
      <c r="AB1" s="123"/>
      <c r="AC1" s="123"/>
      <c r="AD1" s="123"/>
      <c r="AE1" s="123"/>
      <c r="AF1" s="123"/>
      <c r="AG1" s="123"/>
      <c r="AH1" s="123"/>
      <c r="AI1" s="123"/>
      <c r="AJ1" s="123"/>
      <c r="AK1" s="123"/>
      <c r="AL1" s="123"/>
      <c r="AM1" s="123"/>
      <c r="AN1" s="123"/>
      <c r="AO1" s="123"/>
      <c r="AP1" s="123"/>
      <c r="AQ1" s="123"/>
      <c r="AR1" s="123"/>
      <c r="AS1" s="123"/>
      <c r="AT1" s="123"/>
      <c r="AU1" s="123"/>
      <c r="AV1" s="123"/>
      <c r="AW1" s="123"/>
      <c r="AX1" s="123"/>
      <c r="AY1" s="123"/>
      <c r="AZ1" s="123"/>
      <c r="BA1" s="123"/>
      <c r="BB1" s="123"/>
      <c r="BC1" s="123"/>
      <c r="BD1" s="123"/>
      <c r="BE1" s="123"/>
      <c r="BF1" s="123"/>
      <c r="BG1" s="123"/>
      <c r="BH1" s="123"/>
      <c r="BI1" s="123"/>
      <c r="BJ1" s="123"/>
      <c r="BK1" s="123"/>
      <c r="BL1" s="123"/>
      <c r="BM1" s="123"/>
      <c r="BN1" s="123"/>
      <c r="BO1" s="123"/>
      <c r="BP1" s="123"/>
      <c r="BQ1" s="123"/>
      <c r="BR1" s="123"/>
      <c r="BS1" s="123"/>
      <c r="BT1" s="123"/>
      <c r="BU1" s="123"/>
      <c r="BV1" s="123"/>
      <c r="BW1" s="123"/>
      <c r="BX1" s="123"/>
      <c r="BY1" s="123"/>
      <c r="BZ1" s="123"/>
      <c r="CA1" s="123"/>
      <c r="CB1" s="123"/>
      <c r="CC1" s="123"/>
      <c r="CD1" s="123"/>
      <c r="CE1" s="123"/>
      <c r="CF1" s="123"/>
      <c r="CG1" s="123"/>
      <c r="CH1" s="123"/>
      <c r="CI1" s="123"/>
      <c r="CJ1" s="123"/>
      <c r="CK1" s="123"/>
      <c r="CL1" s="123"/>
      <c r="CM1" s="123"/>
      <c r="CN1" s="123"/>
      <c r="CO1" s="123"/>
      <c r="CP1" s="123"/>
      <c r="CQ1" s="123"/>
      <c r="CR1" s="123"/>
      <c r="CS1" s="123"/>
      <c r="CT1" s="123"/>
      <c r="CU1" s="123"/>
      <c r="CV1" s="123"/>
      <c r="CW1" s="123"/>
      <c r="CX1" s="123"/>
      <c r="CY1" s="123"/>
      <c r="CZ1" s="123"/>
      <c r="DA1" s="123"/>
      <c r="DB1" s="123"/>
      <c r="DC1" s="123"/>
      <c r="DD1" s="123"/>
      <c r="DE1" s="123"/>
      <c r="DF1" s="123"/>
      <c r="DG1" s="123"/>
      <c r="DH1" s="123"/>
      <c r="DI1" s="123"/>
      <c r="DJ1" s="123"/>
      <c r="DK1" s="123"/>
      <c r="DL1" s="123"/>
      <c r="DM1" s="123"/>
      <c r="DN1" s="123"/>
      <c r="DO1" s="123"/>
      <c r="DP1" s="123"/>
      <c r="DQ1" s="123"/>
      <c r="DR1" s="123"/>
      <c r="DS1" s="123"/>
      <c r="DT1" s="123"/>
      <c r="DU1" s="123"/>
      <c r="DV1" s="123"/>
      <c r="DW1" s="123"/>
      <c r="DX1" s="123"/>
      <c r="DY1" s="123"/>
      <c r="DZ1" s="123"/>
      <c r="EA1" s="123"/>
      <c r="EB1" s="123"/>
      <c r="EC1" s="123"/>
      <c r="ED1" s="123"/>
      <c r="EE1" s="123"/>
      <c r="EF1" s="123"/>
      <c r="EG1" s="123"/>
      <c r="EH1" s="123"/>
      <c r="EI1" s="123"/>
      <c r="EJ1" s="123"/>
      <c r="EK1" s="123"/>
      <c r="EL1" s="123"/>
      <c r="EM1" s="123"/>
      <c r="EN1" s="123"/>
      <c r="EO1" s="123"/>
      <c r="EP1" s="123"/>
      <c r="EQ1" s="123"/>
      <c r="ER1" s="123"/>
      <c r="ES1" s="123"/>
      <c r="ET1" s="123"/>
      <c r="EU1" s="123"/>
      <c r="EV1" s="123"/>
      <c r="EW1" s="123"/>
      <c r="EX1" s="123"/>
      <c r="EY1" s="123"/>
      <c r="EZ1" s="123"/>
      <c r="FA1" s="123"/>
      <c r="FB1" s="123"/>
      <c r="FC1" s="123"/>
      <c r="FD1" s="123"/>
      <c r="FE1" s="123"/>
      <c r="FF1" s="123"/>
      <c r="FG1" s="123"/>
      <c r="FH1" s="123"/>
      <c r="FI1" s="123"/>
      <c r="FJ1" s="123"/>
      <c r="FK1" s="123"/>
      <c r="FL1" s="123"/>
      <c r="FM1" s="123"/>
      <c r="FN1" s="123"/>
      <c r="FO1" s="123"/>
      <c r="FP1" s="123"/>
      <c r="FQ1" s="123"/>
      <c r="FR1" s="123"/>
      <c r="FS1" s="123"/>
      <c r="FT1" s="123"/>
      <c r="FU1" s="123"/>
      <c r="FV1" s="123"/>
      <c r="FW1" s="123"/>
      <c r="FX1" s="123"/>
      <c r="FY1" s="123"/>
      <c r="FZ1" s="123"/>
      <c r="GA1" s="123"/>
      <c r="GB1" s="123"/>
      <c r="GC1" s="123"/>
      <c r="GD1" s="123"/>
      <c r="GE1" s="123"/>
      <c r="GF1" s="123"/>
      <c r="GG1" s="123"/>
      <c r="GH1" s="123"/>
      <c r="GI1" s="123"/>
      <c r="GJ1" s="123"/>
      <c r="GK1" s="123"/>
      <c r="GL1" s="123"/>
      <c r="GM1" s="123"/>
      <c r="GN1" s="123"/>
      <c r="GO1" s="123"/>
      <c r="GP1" s="123"/>
      <c r="GQ1" s="123"/>
      <c r="GR1" s="123"/>
      <c r="GS1" s="123"/>
      <c r="GT1" s="123"/>
      <c r="GU1" s="123"/>
      <c r="GV1" s="123"/>
      <c r="GW1" s="123"/>
      <c r="GX1" s="123"/>
      <c r="GY1" s="123"/>
      <c r="GZ1" s="123"/>
      <c r="HA1" s="123"/>
      <c r="HB1" s="123"/>
      <c r="HC1" s="123"/>
      <c r="HD1" s="123"/>
      <c r="HE1" s="123"/>
      <c r="HF1" s="123"/>
      <c r="HG1" s="123"/>
      <c r="HH1" s="123"/>
      <c r="HI1" s="123"/>
      <c r="HJ1" s="123"/>
      <c r="HK1" s="123"/>
      <c r="HL1" s="123"/>
      <c r="HM1" s="123"/>
      <c r="HN1" s="123"/>
      <c r="HO1" s="123"/>
      <c r="HP1" s="123"/>
      <c r="HQ1" s="123"/>
      <c r="HR1" s="123"/>
      <c r="HS1" s="123"/>
      <c r="HT1" s="123"/>
      <c r="HU1" s="123"/>
      <c r="HV1" s="123"/>
      <c r="HW1" s="123"/>
      <c r="HX1" s="123"/>
      <c r="HY1" s="123"/>
      <c r="HZ1" s="123"/>
      <c r="IA1" s="123"/>
      <c r="IB1" s="123"/>
      <c r="IC1" s="123"/>
      <c r="ID1" s="123"/>
      <c r="IE1" s="123"/>
      <c r="IF1" s="123"/>
      <c r="IG1" s="123"/>
      <c r="IH1" s="123"/>
      <c r="II1" s="123"/>
      <c r="IJ1" s="123"/>
      <c r="IK1" s="123"/>
      <c r="IL1" s="123"/>
      <c r="IM1" s="123"/>
      <c r="IN1" s="123"/>
      <c r="IO1" s="123"/>
      <c r="IP1" s="123"/>
      <c r="IQ1" s="123"/>
      <c r="IR1" s="123"/>
      <c r="IS1" s="123"/>
      <c r="IT1" s="123"/>
      <c r="IU1" s="123"/>
      <c r="IV1" s="123"/>
    </row>
    <row r="2" spans="1:256" x14ac:dyDescent="0.3">
      <c r="B2" s="2142" t="s">
        <v>949</v>
      </c>
      <c r="C2" s="2142"/>
      <c r="D2" s="2142"/>
      <c r="E2" s="2142"/>
      <c r="F2" s="23"/>
      <c r="G2" s="23"/>
      <c r="H2" s="23"/>
      <c r="I2" s="23"/>
      <c r="J2" s="704"/>
      <c r="K2" s="23"/>
      <c r="L2" s="704"/>
      <c r="M2" s="23"/>
      <c r="N2" s="23"/>
      <c r="O2" s="23"/>
      <c r="P2" s="23"/>
      <c r="Q2" s="23"/>
      <c r="R2" s="23"/>
      <c r="S2" s="23"/>
      <c r="T2" s="23"/>
      <c r="U2" s="23"/>
      <c r="V2" s="23"/>
      <c r="W2" s="23"/>
      <c r="X2" s="23"/>
      <c r="Y2" s="23"/>
      <c r="Z2" s="23"/>
      <c r="AA2" s="23"/>
      <c r="AB2" s="23"/>
      <c r="AC2" s="23"/>
      <c r="AD2" s="23"/>
      <c r="AE2" s="23"/>
      <c r="AF2" s="23"/>
      <c r="AG2" s="23"/>
      <c r="AH2" s="23"/>
      <c r="AI2" s="23"/>
      <c r="AJ2" s="23"/>
      <c r="AK2" s="23"/>
      <c r="AL2" s="23"/>
      <c r="AM2" s="23"/>
      <c r="AN2" s="23"/>
      <c r="AO2" s="23"/>
      <c r="AP2" s="23"/>
      <c r="AQ2" s="23"/>
      <c r="AR2" s="23"/>
      <c r="AS2" s="23"/>
      <c r="AT2" s="23"/>
      <c r="AU2" s="23"/>
      <c r="AV2" s="23"/>
      <c r="AW2" s="23"/>
      <c r="AX2" s="23"/>
      <c r="AY2" s="23"/>
      <c r="AZ2" s="23"/>
      <c r="BA2" s="23"/>
      <c r="BB2" s="23"/>
      <c r="BC2" s="23"/>
      <c r="BD2" s="23"/>
      <c r="BE2" s="23"/>
      <c r="BF2" s="23"/>
      <c r="BG2" s="23"/>
      <c r="BH2" s="23"/>
      <c r="BI2" s="23"/>
      <c r="BJ2" s="23"/>
      <c r="BK2" s="23"/>
      <c r="BL2" s="23"/>
      <c r="BM2" s="23"/>
      <c r="BN2" s="23"/>
      <c r="BO2" s="23"/>
      <c r="BP2" s="23"/>
      <c r="BQ2" s="23"/>
      <c r="BR2" s="23"/>
      <c r="BS2" s="23"/>
      <c r="BT2" s="23"/>
      <c r="BU2" s="23"/>
      <c r="BV2" s="23"/>
      <c r="BW2" s="23"/>
      <c r="BX2" s="23"/>
      <c r="BY2" s="23"/>
      <c r="BZ2" s="23"/>
      <c r="CA2" s="23"/>
      <c r="CB2" s="23"/>
      <c r="CC2" s="23"/>
      <c r="CD2" s="23"/>
      <c r="CE2" s="23"/>
      <c r="CF2" s="23"/>
      <c r="CG2" s="23"/>
      <c r="CH2" s="23"/>
      <c r="CI2" s="23"/>
      <c r="CJ2" s="23"/>
      <c r="CK2" s="23"/>
      <c r="CL2" s="23"/>
      <c r="CM2" s="23"/>
      <c r="CN2" s="23"/>
      <c r="CO2" s="23"/>
      <c r="CP2" s="23"/>
      <c r="CQ2" s="23"/>
      <c r="CR2" s="23"/>
      <c r="CS2" s="23"/>
      <c r="CT2" s="23"/>
      <c r="CU2" s="23"/>
      <c r="CV2" s="23"/>
      <c r="CW2" s="23"/>
      <c r="CX2" s="23"/>
      <c r="CY2" s="23"/>
      <c r="CZ2" s="23"/>
      <c r="DA2" s="23"/>
      <c r="DB2" s="23"/>
      <c r="DC2" s="23"/>
      <c r="DD2" s="23"/>
      <c r="DE2" s="23"/>
      <c r="DF2" s="23"/>
      <c r="DG2" s="23"/>
      <c r="DH2" s="23"/>
      <c r="DI2" s="23"/>
      <c r="DJ2" s="23"/>
      <c r="DK2" s="23"/>
      <c r="DL2" s="23"/>
      <c r="DM2" s="23"/>
      <c r="DN2" s="23"/>
      <c r="DO2" s="23"/>
      <c r="DP2" s="23"/>
      <c r="DQ2" s="23"/>
      <c r="DR2" s="23"/>
      <c r="DS2" s="23"/>
      <c r="DT2" s="23"/>
      <c r="DU2" s="23"/>
      <c r="DV2" s="23"/>
      <c r="DW2" s="23"/>
      <c r="DX2" s="23"/>
      <c r="DY2" s="23"/>
      <c r="DZ2" s="23"/>
      <c r="EA2" s="23"/>
      <c r="EB2" s="23"/>
      <c r="EC2" s="23"/>
      <c r="ED2" s="23"/>
      <c r="EE2" s="23"/>
      <c r="EF2" s="23"/>
      <c r="EG2" s="23"/>
      <c r="EH2" s="23"/>
      <c r="EI2" s="23"/>
      <c r="EJ2" s="23"/>
      <c r="EK2" s="23"/>
      <c r="EL2" s="23"/>
      <c r="EM2" s="23"/>
      <c r="EN2" s="23"/>
      <c r="EO2" s="23"/>
      <c r="EP2" s="23"/>
      <c r="EQ2" s="23"/>
      <c r="ER2" s="23"/>
      <c r="ES2" s="23"/>
      <c r="ET2" s="23"/>
      <c r="EU2" s="23"/>
      <c r="EV2" s="23"/>
      <c r="EW2" s="23"/>
      <c r="EX2" s="23"/>
      <c r="EY2" s="23"/>
      <c r="EZ2" s="23"/>
      <c r="FA2" s="23"/>
      <c r="FB2" s="23"/>
      <c r="FC2" s="23"/>
      <c r="FD2" s="23"/>
      <c r="FE2" s="23"/>
      <c r="FF2" s="23"/>
      <c r="FG2" s="23"/>
      <c r="FH2" s="23"/>
      <c r="FI2" s="23"/>
      <c r="FJ2" s="23"/>
      <c r="FK2" s="23"/>
      <c r="FL2" s="23"/>
      <c r="FM2" s="23"/>
      <c r="FN2" s="23"/>
      <c r="FO2" s="23"/>
      <c r="FP2" s="23"/>
      <c r="FQ2" s="23"/>
      <c r="FR2" s="23"/>
      <c r="FS2" s="23"/>
      <c r="FT2" s="23"/>
      <c r="FU2" s="23"/>
      <c r="FV2" s="23"/>
      <c r="FW2" s="23"/>
      <c r="FX2" s="23"/>
      <c r="FY2" s="23"/>
      <c r="FZ2" s="23"/>
      <c r="GA2" s="23"/>
      <c r="GB2" s="23"/>
      <c r="GC2" s="23"/>
      <c r="GD2" s="23"/>
      <c r="GE2" s="23"/>
      <c r="GF2" s="23"/>
      <c r="GG2" s="23"/>
      <c r="GH2" s="23"/>
      <c r="GI2" s="23"/>
      <c r="GJ2" s="23"/>
      <c r="GK2" s="23"/>
      <c r="GL2" s="23"/>
      <c r="GM2" s="23"/>
      <c r="GN2" s="23"/>
      <c r="GO2" s="23"/>
      <c r="GP2" s="23"/>
      <c r="GQ2" s="23"/>
      <c r="GR2" s="23"/>
      <c r="GS2" s="23"/>
      <c r="GT2" s="23"/>
      <c r="GU2" s="23"/>
      <c r="GV2" s="23"/>
      <c r="GW2" s="23"/>
      <c r="GX2" s="23"/>
      <c r="GY2" s="23"/>
      <c r="GZ2" s="23"/>
      <c r="HA2" s="23"/>
      <c r="HB2" s="23"/>
      <c r="HC2" s="23"/>
      <c r="HD2" s="23"/>
      <c r="HE2" s="23"/>
      <c r="HF2" s="23"/>
      <c r="HG2" s="23"/>
      <c r="HH2" s="23"/>
      <c r="HI2" s="23"/>
      <c r="HJ2" s="23"/>
      <c r="HK2" s="23"/>
      <c r="HL2" s="23"/>
      <c r="HM2" s="23"/>
      <c r="HN2" s="23"/>
      <c r="HO2" s="23"/>
      <c r="HP2" s="23"/>
      <c r="HQ2" s="23"/>
      <c r="HR2" s="23"/>
      <c r="HS2" s="23"/>
      <c r="HT2" s="23"/>
      <c r="HU2" s="23"/>
      <c r="HV2" s="23"/>
      <c r="HW2" s="23"/>
      <c r="HX2" s="23"/>
      <c r="HY2" s="23"/>
      <c r="HZ2" s="23"/>
      <c r="IA2" s="23"/>
      <c r="IB2" s="23"/>
      <c r="IC2" s="23"/>
      <c r="ID2" s="23"/>
      <c r="IE2" s="23"/>
      <c r="IF2" s="23"/>
      <c r="IG2" s="23"/>
      <c r="IH2" s="23"/>
      <c r="II2" s="23"/>
      <c r="IJ2" s="23"/>
      <c r="IK2" s="23"/>
      <c r="IL2" s="23"/>
      <c r="IM2" s="23"/>
      <c r="IN2" s="23"/>
      <c r="IO2" s="23"/>
      <c r="IP2" s="23"/>
      <c r="IQ2" s="23"/>
      <c r="IR2" s="23"/>
      <c r="IS2" s="23"/>
      <c r="IT2" s="23"/>
      <c r="IU2" s="23"/>
      <c r="IV2" s="23"/>
    </row>
    <row r="3" spans="1:256" x14ac:dyDescent="0.3">
      <c r="B3" s="2142" t="s">
        <v>1247</v>
      </c>
      <c r="C3" s="2142"/>
      <c r="D3" s="2142"/>
      <c r="E3" s="2142"/>
      <c r="F3" s="23"/>
      <c r="G3" s="23"/>
      <c r="H3" s="23"/>
      <c r="I3" s="23"/>
      <c r="J3" s="704"/>
      <c r="K3" s="23"/>
      <c r="L3" s="704"/>
      <c r="M3" s="23"/>
      <c r="N3" s="23"/>
      <c r="O3" s="23"/>
      <c r="P3" s="23"/>
      <c r="Q3" s="23"/>
      <c r="R3" s="23"/>
      <c r="S3" s="23"/>
      <c r="T3" s="23"/>
      <c r="U3" s="23"/>
      <c r="V3" s="23"/>
      <c r="W3" s="23"/>
      <c r="X3" s="23"/>
      <c r="Y3" s="23"/>
      <c r="Z3" s="23"/>
      <c r="AA3" s="23"/>
      <c r="AB3" s="23"/>
      <c r="AC3" s="23"/>
      <c r="AD3" s="23"/>
      <c r="AE3" s="23"/>
      <c r="AF3" s="23"/>
      <c r="AG3" s="23"/>
      <c r="AH3" s="23"/>
      <c r="AI3" s="23"/>
      <c r="AJ3" s="23"/>
      <c r="AK3" s="23"/>
      <c r="AL3" s="23"/>
      <c r="AM3" s="23"/>
      <c r="AN3" s="23"/>
      <c r="AO3" s="23"/>
      <c r="AP3" s="23"/>
      <c r="AQ3" s="23"/>
      <c r="AR3" s="23"/>
      <c r="AS3" s="23"/>
      <c r="AT3" s="23"/>
      <c r="AU3" s="23"/>
      <c r="AV3" s="23"/>
      <c r="AW3" s="23"/>
      <c r="AX3" s="23"/>
      <c r="AY3" s="23"/>
      <c r="AZ3" s="23"/>
      <c r="BA3" s="23"/>
      <c r="BB3" s="23"/>
      <c r="BC3" s="23"/>
      <c r="BD3" s="23"/>
      <c r="BE3" s="23"/>
      <c r="BF3" s="23"/>
      <c r="BG3" s="23"/>
      <c r="BH3" s="23"/>
      <c r="BI3" s="23"/>
      <c r="BJ3" s="23"/>
      <c r="BK3" s="23"/>
      <c r="BL3" s="23"/>
      <c r="BM3" s="23"/>
      <c r="BN3" s="23"/>
      <c r="BO3" s="23"/>
      <c r="BP3" s="23"/>
      <c r="BQ3" s="23"/>
      <c r="BR3" s="23"/>
      <c r="BS3" s="23"/>
      <c r="BT3" s="23"/>
      <c r="BU3" s="23"/>
      <c r="BV3" s="23"/>
      <c r="BW3" s="23"/>
      <c r="BX3" s="23"/>
      <c r="BY3" s="23"/>
      <c r="BZ3" s="23"/>
      <c r="CA3" s="23"/>
      <c r="CB3" s="23"/>
      <c r="CC3" s="23"/>
      <c r="CD3" s="23"/>
      <c r="CE3" s="23"/>
      <c r="CF3" s="23"/>
      <c r="CG3" s="23"/>
      <c r="CH3" s="23"/>
      <c r="CI3" s="23"/>
      <c r="CJ3" s="23"/>
      <c r="CK3" s="23"/>
      <c r="CL3" s="23"/>
      <c r="CM3" s="23"/>
      <c r="CN3" s="23"/>
      <c r="CO3" s="23"/>
      <c r="CP3" s="23"/>
      <c r="CQ3" s="23"/>
      <c r="CR3" s="23"/>
      <c r="CS3" s="23"/>
      <c r="CT3" s="23"/>
      <c r="CU3" s="23"/>
      <c r="CV3" s="23"/>
      <c r="CW3" s="23"/>
      <c r="CX3" s="23"/>
      <c r="CY3" s="23"/>
      <c r="CZ3" s="23"/>
      <c r="DA3" s="23"/>
      <c r="DB3" s="23"/>
      <c r="DC3" s="23"/>
      <c r="DD3" s="23"/>
      <c r="DE3" s="23"/>
      <c r="DF3" s="23"/>
      <c r="DG3" s="23"/>
      <c r="DH3" s="23"/>
      <c r="DI3" s="23"/>
      <c r="DJ3" s="23"/>
      <c r="DK3" s="23"/>
      <c r="DL3" s="23"/>
      <c r="DM3" s="23"/>
      <c r="DN3" s="23"/>
      <c r="DO3" s="23"/>
      <c r="DP3" s="23"/>
      <c r="DQ3" s="23"/>
      <c r="DR3" s="23"/>
      <c r="DS3" s="23"/>
      <c r="DT3" s="23"/>
      <c r="DU3" s="23"/>
      <c r="DV3" s="23"/>
      <c r="DW3" s="23"/>
      <c r="DX3" s="23"/>
      <c r="DY3" s="23"/>
      <c r="DZ3" s="23"/>
      <c r="EA3" s="23"/>
      <c r="EB3" s="23"/>
      <c r="EC3" s="23"/>
      <c r="ED3" s="23"/>
      <c r="EE3" s="23"/>
      <c r="EF3" s="23"/>
      <c r="EG3" s="23"/>
      <c r="EH3" s="23"/>
      <c r="EI3" s="23"/>
      <c r="EJ3" s="23"/>
      <c r="EK3" s="23"/>
      <c r="EL3" s="23"/>
      <c r="EM3" s="23"/>
      <c r="EN3" s="23"/>
      <c r="EO3" s="23"/>
      <c r="EP3" s="23"/>
      <c r="EQ3" s="23"/>
      <c r="ER3" s="23"/>
      <c r="ES3" s="23"/>
      <c r="ET3" s="23"/>
      <c r="EU3" s="23"/>
      <c r="EV3" s="23"/>
      <c r="EW3" s="23"/>
      <c r="EX3" s="23"/>
      <c r="EY3" s="23"/>
      <c r="EZ3" s="23"/>
      <c r="FA3" s="23"/>
      <c r="FB3" s="23"/>
      <c r="FC3" s="23"/>
      <c r="FD3" s="23"/>
      <c r="FE3" s="23"/>
      <c r="FF3" s="23"/>
      <c r="FG3" s="23"/>
      <c r="FH3" s="23"/>
      <c r="FI3" s="23"/>
      <c r="FJ3" s="23"/>
      <c r="FK3" s="23"/>
      <c r="FL3" s="23"/>
      <c r="FM3" s="23"/>
      <c r="FN3" s="23"/>
      <c r="FO3" s="23"/>
      <c r="FP3" s="23"/>
      <c r="FQ3" s="23"/>
      <c r="FR3" s="23"/>
      <c r="FS3" s="23"/>
      <c r="FT3" s="23"/>
      <c r="FU3" s="23"/>
      <c r="FV3" s="23"/>
      <c r="FW3" s="23"/>
      <c r="FX3" s="23"/>
      <c r="FY3" s="23"/>
      <c r="FZ3" s="23"/>
      <c r="GA3" s="23"/>
      <c r="GB3" s="23"/>
      <c r="GC3" s="23"/>
      <c r="GD3" s="23"/>
      <c r="GE3" s="23"/>
      <c r="GF3" s="23"/>
      <c r="GG3" s="23"/>
      <c r="GH3" s="23"/>
      <c r="GI3" s="23"/>
      <c r="GJ3" s="23"/>
      <c r="GK3" s="23"/>
      <c r="GL3" s="23"/>
      <c r="GM3" s="23"/>
      <c r="GN3" s="23"/>
      <c r="GO3" s="23"/>
      <c r="GP3" s="23"/>
      <c r="GQ3" s="23"/>
      <c r="GR3" s="23"/>
      <c r="GS3" s="23"/>
      <c r="GT3" s="23"/>
      <c r="GU3" s="23"/>
      <c r="GV3" s="23"/>
      <c r="GW3" s="23"/>
      <c r="GX3" s="23"/>
      <c r="GY3" s="23"/>
      <c r="GZ3" s="23"/>
      <c r="HA3" s="23"/>
      <c r="HB3" s="23"/>
      <c r="HC3" s="23"/>
      <c r="HD3" s="23"/>
      <c r="HE3" s="23"/>
      <c r="HF3" s="23"/>
      <c r="HG3" s="23"/>
      <c r="HH3" s="23"/>
      <c r="HI3" s="23"/>
      <c r="HJ3" s="23"/>
      <c r="HK3" s="23"/>
      <c r="HL3" s="23"/>
      <c r="HM3" s="23"/>
      <c r="HN3" s="23"/>
      <c r="HO3" s="23"/>
      <c r="HP3" s="23"/>
      <c r="HQ3" s="23"/>
      <c r="HR3" s="23"/>
      <c r="HS3" s="23"/>
      <c r="HT3" s="23"/>
      <c r="HU3" s="23"/>
      <c r="HV3" s="23"/>
      <c r="HW3" s="23"/>
      <c r="HX3" s="23"/>
      <c r="HY3" s="23"/>
      <c r="HZ3" s="23"/>
      <c r="IA3" s="23"/>
      <c r="IB3" s="23"/>
      <c r="IC3" s="23"/>
      <c r="ID3" s="23"/>
      <c r="IE3" s="23"/>
      <c r="IF3" s="23"/>
      <c r="IG3" s="23"/>
      <c r="IH3" s="23"/>
      <c r="II3" s="23"/>
      <c r="IJ3" s="23"/>
      <c r="IK3" s="23"/>
      <c r="IL3" s="23"/>
      <c r="IM3" s="23"/>
      <c r="IN3" s="23"/>
      <c r="IO3" s="23"/>
      <c r="IP3" s="23"/>
      <c r="IQ3" s="23"/>
      <c r="IR3" s="23"/>
      <c r="IS3" s="23"/>
      <c r="IT3" s="23"/>
      <c r="IU3" s="23"/>
      <c r="IV3" s="23"/>
    </row>
    <row r="4" spans="1:256" s="786" customFormat="1" ht="15" x14ac:dyDescent="0.3">
      <c r="A4" s="1978"/>
      <c r="C4" s="1979" t="s">
        <v>950</v>
      </c>
      <c r="D4" s="1980"/>
      <c r="E4" s="2098" t="s">
        <v>0</v>
      </c>
      <c r="J4" s="290"/>
      <c r="L4" s="290"/>
    </row>
    <row r="5" spans="1:256" s="133" customFormat="1" ht="18" customHeight="1" thickBot="1" x14ac:dyDescent="0.25">
      <c r="A5" s="130"/>
      <c r="B5" s="130"/>
      <c r="C5" s="130"/>
      <c r="D5" s="132" t="s">
        <v>1</v>
      </c>
      <c r="E5" s="61" t="s">
        <v>3</v>
      </c>
      <c r="F5" s="130"/>
      <c r="G5" s="130"/>
      <c r="H5" s="130"/>
      <c r="I5" s="130"/>
      <c r="J5" s="61"/>
      <c r="K5" s="130"/>
      <c r="L5" s="61"/>
      <c r="M5" s="130"/>
      <c r="N5" s="130"/>
      <c r="O5" s="130"/>
      <c r="P5" s="130"/>
      <c r="Q5" s="130"/>
      <c r="R5" s="130"/>
      <c r="S5" s="130"/>
      <c r="T5" s="130"/>
      <c r="U5" s="130"/>
      <c r="V5" s="130"/>
      <c r="W5" s="130"/>
      <c r="X5" s="130"/>
      <c r="Y5" s="130"/>
      <c r="Z5" s="130"/>
      <c r="AA5" s="130"/>
      <c r="AB5" s="130"/>
      <c r="AC5" s="130"/>
      <c r="AD5" s="130"/>
      <c r="AE5" s="130"/>
      <c r="AF5" s="130"/>
      <c r="AG5" s="130"/>
      <c r="AH5" s="130"/>
      <c r="AI5" s="130"/>
      <c r="AJ5" s="130"/>
      <c r="AK5" s="130"/>
      <c r="AL5" s="130"/>
      <c r="AM5" s="130"/>
      <c r="AN5" s="130"/>
      <c r="AO5" s="130"/>
      <c r="AP5" s="130"/>
      <c r="AQ5" s="130"/>
      <c r="AR5" s="130"/>
      <c r="AS5" s="130"/>
      <c r="AT5" s="130"/>
      <c r="AU5" s="130"/>
      <c r="AV5" s="130"/>
      <c r="AW5" s="130"/>
      <c r="AX5" s="130"/>
      <c r="AY5" s="130"/>
      <c r="AZ5" s="130"/>
      <c r="BA5" s="130"/>
      <c r="BB5" s="130"/>
      <c r="BC5" s="130"/>
      <c r="BD5" s="130"/>
      <c r="BE5" s="130"/>
      <c r="BF5" s="130"/>
      <c r="BG5" s="130"/>
      <c r="BH5" s="130"/>
      <c r="BI5" s="130"/>
      <c r="BJ5" s="130"/>
      <c r="BK5" s="130"/>
      <c r="BL5" s="130"/>
      <c r="BM5" s="130"/>
      <c r="BN5" s="130"/>
      <c r="BO5" s="130"/>
      <c r="BP5" s="130"/>
      <c r="BQ5" s="130"/>
      <c r="BR5" s="130"/>
      <c r="BS5" s="130"/>
      <c r="BT5" s="130"/>
      <c r="BU5" s="130"/>
      <c r="BV5" s="130"/>
      <c r="BW5" s="130"/>
      <c r="BX5" s="130"/>
      <c r="BY5" s="130"/>
      <c r="BZ5" s="130"/>
      <c r="CA5" s="130"/>
      <c r="CB5" s="130"/>
      <c r="CC5" s="130"/>
      <c r="CD5" s="130"/>
      <c r="CE5" s="130"/>
      <c r="CF5" s="130"/>
      <c r="CG5" s="130"/>
      <c r="CH5" s="130"/>
      <c r="CI5" s="130"/>
      <c r="CJ5" s="130"/>
      <c r="CK5" s="130"/>
      <c r="CL5" s="130"/>
      <c r="CM5" s="130"/>
      <c r="CN5" s="130"/>
      <c r="CO5" s="130"/>
      <c r="CP5" s="130"/>
      <c r="CQ5" s="130"/>
      <c r="CR5" s="130"/>
      <c r="CS5" s="130"/>
      <c r="CT5" s="130"/>
      <c r="CU5" s="130"/>
      <c r="CV5" s="130"/>
      <c r="CW5" s="130"/>
      <c r="CX5" s="130"/>
      <c r="CY5" s="130"/>
      <c r="CZ5" s="130"/>
      <c r="DA5" s="130"/>
      <c r="DB5" s="130"/>
      <c r="DC5" s="130"/>
      <c r="DD5" s="130"/>
      <c r="DE5" s="130"/>
      <c r="DF5" s="130"/>
      <c r="DG5" s="130"/>
      <c r="DH5" s="130"/>
      <c r="DI5" s="130"/>
      <c r="DJ5" s="130"/>
      <c r="DK5" s="130"/>
      <c r="DL5" s="130"/>
      <c r="DM5" s="130"/>
      <c r="DN5" s="130"/>
      <c r="DO5" s="130"/>
      <c r="DP5" s="130"/>
      <c r="DQ5" s="130"/>
      <c r="DR5" s="130"/>
      <c r="DS5" s="130"/>
      <c r="DT5" s="130"/>
      <c r="DU5" s="130"/>
      <c r="DV5" s="130"/>
      <c r="DW5" s="130"/>
      <c r="DX5" s="130"/>
      <c r="DY5" s="130"/>
      <c r="DZ5" s="130"/>
      <c r="EA5" s="130"/>
      <c r="EB5" s="130"/>
      <c r="EC5" s="130"/>
      <c r="ED5" s="130"/>
      <c r="EE5" s="130"/>
      <c r="EF5" s="130"/>
      <c r="EG5" s="130"/>
      <c r="EH5" s="130"/>
      <c r="EI5" s="130"/>
      <c r="EJ5" s="130"/>
      <c r="EK5" s="130"/>
      <c r="EL5" s="130"/>
      <c r="EM5" s="130"/>
      <c r="EN5" s="130"/>
      <c r="EO5" s="130"/>
      <c r="EP5" s="130"/>
      <c r="EQ5" s="130"/>
      <c r="ER5" s="130"/>
      <c r="ES5" s="130"/>
      <c r="ET5" s="130"/>
      <c r="EU5" s="130"/>
      <c r="EV5" s="130"/>
      <c r="EW5" s="130"/>
      <c r="EX5" s="130"/>
      <c r="EY5" s="130"/>
      <c r="EZ5" s="130"/>
      <c r="FA5" s="130"/>
      <c r="FB5" s="130"/>
      <c r="FC5" s="130"/>
      <c r="FD5" s="130"/>
      <c r="FE5" s="130"/>
      <c r="FF5" s="130"/>
      <c r="FG5" s="130"/>
      <c r="FH5" s="130"/>
      <c r="FI5" s="130"/>
      <c r="FJ5" s="130"/>
      <c r="FK5" s="130"/>
      <c r="FL5" s="130"/>
      <c r="FM5" s="130"/>
      <c r="FN5" s="130"/>
      <c r="FO5" s="130"/>
      <c r="FP5" s="130"/>
      <c r="FQ5" s="130"/>
      <c r="FR5" s="130"/>
      <c r="FS5" s="130"/>
      <c r="FT5" s="130"/>
      <c r="FU5" s="130"/>
      <c r="FV5" s="130"/>
      <c r="FW5" s="130"/>
      <c r="FX5" s="130"/>
      <c r="FY5" s="130"/>
      <c r="FZ5" s="130"/>
      <c r="GA5" s="130"/>
      <c r="GB5" s="130"/>
      <c r="GC5" s="130"/>
      <c r="GD5" s="130"/>
      <c r="GE5" s="130"/>
      <c r="GF5" s="130"/>
      <c r="GG5" s="130"/>
      <c r="GH5" s="130"/>
      <c r="GI5" s="130"/>
      <c r="GJ5" s="130"/>
      <c r="GK5" s="130"/>
      <c r="GL5" s="130"/>
      <c r="GM5" s="130"/>
      <c r="GN5" s="130"/>
      <c r="GO5" s="130"/>
      <c r="GP5" s="130"/>
      <c r="GQ5" s="130"/>
      <c r="GR5" s="130"/>
      <c r="GS5" s="130"/>
      <c r="GT5" s="130"/>
      <c r="GU5" s="130"/>
      <c r="GV5" s="130"/>
      <c r="GW5" s="130"/>
      <c r="GX5" s="130"/>
      <c r="GY5" s="130"/>
      <c r="GZ5" s="130"/>
      <c r="HA5" s="130"/>
      <c r="HB5" s="130"/>
      <c r="HC5" s="130"/>
      <c r="HD5" s="130"/>
      <c r="HE5" s="130"/>
      <c r="HF5" s="130"/>
      <c r="HG5" s="130"/>
      <c r="HH5" s="130"/>
      <c r="HI5" s="130"/>
      <c r="HJ5" s="130"/>
      <c r="HK5" s="130"/>
      <c r="HL5" s="130"/>
      <c r="HM5" s="130"/>
      <c r="HN5" s="130"/>
      <c r="HO5" s="130"/>
      <c r="HP5" s="130"/>
      <c r="HQ5" s="130"/>
      <c r="HR5" s="130"/>
      <c r="HS5" s="130"/>
      <c r="HT5" s="130"/>
      <c r="HU5" s="130"/>
      <c r="HV5" s="130"/>
      <c r="HW5" s="130"/>
      <c r="HX5" s="130"/>
      <c r="HY5" s="130"/>
      <c r="HZ5" s="130"/>
      <c r="IA5" s="130"/>
      <c r="IB5" s="130"/>
      <c r="IC5" s="130"/>
      <c r="ID5" s="130"/>
      <c r="IE5" s="130"/>
      <c r="IF5" s="130"/>
      <c r="IG5" s="130"/>
      <c r="IH5" s="130"/>
      <c r="II5" s="130"/>
      <c r="IJ5" s="130"/>
      <c r="IK5" s="130"/>
      <c r="IL5" s="130"/>
      <c r="IM5" s="130"/>
      <c r="IN5" s="130"/>
      <c r="IO5" s="130"/>
      <c r="IP5" s="130"/>
      <c r="IQ5" s="130"/>
      <c r="IR5" s="130"/>
      <c r="IS5" s="130"/>
      <c r="IT5" s="130"/>
      <c r="IU5" s="130"/>
      <c r="IV5" s="130"/>
    </row>
    <row r="6" spans="1:256" ht="18" thickBot="1" x14ac:dyDescent="0.35">
      <c r="B6" s="1602"/>
      <c r="C6" s="1603"/>
      <c r="D6" s="1604" t="s">
        <v>6</v>
      </c>
      <c r="E6" s="1926" t="s">
        <v>129</v>
      </c>
      <c r="F6" s="2121"/>
      <c r="G6" s="2122"/>
      <c r="H6" s="2123"/>
      <c r="I6" s="2124"/>
      <c r="J6" s="2123"/>
      <c r="K6" s="2123"/>
      <c r="L6" s="2125"/>
      <c r="M6" s="30"/>
      <c r="N6" s="30"/>
      <c r="O6" s="30"/>
      <c r="P6" s="30"/>
      <c r="Q6" s="30"/>
      <c r="R6" s="30"/>
      <c r="S6" s="30"/>
      <c r="T6" s="30"/>
      <c r="U6" s="30"/>
      <c r="V6" s="30"/>
      <c r="W6" s="30"/>
      <c r="X6" s="30"/>
      <c r="Y6" s="30"/>
      <c r="Z6" s="30"/>
      <c r="AA6" s="30"/>
      <c r="AB6" s="30"/>
      <c r="AC6" s="30"/>
      <c r="AD6" s="30"/>
      <c r="AE6" s="30"/>
      <c r="AF6" s="30"/>
      <c r="AG6" s="30"/>
      <c r="AH6" s="30"/>
      <c r="AI6" s="30"/>
      <c r="AJ6" s="30"/>
      <c r="AK6" s="30"/>
      <c r="AL6" s="30"/>
      <c r="AM6" s="30"/>
      <c r="AN6" s="30"/>
      <c r="AO6" s="30"/>
      <c r="AP6" s="30"/>
      <c r="AQ6" s="30"/>
      <c r="AR6" s="30"/>
      <c r="AS6" s="30"/>
      <c r="AT6" s="30"/>
      <c r="AU6" s="30"/>
      <c r="AV6" s="30"/>
      <c r="AW6" s="30"/>
      <c r="AX6" s="30"/>
      <c r="AY6" s="30"/>
      <c r="AZ6" s="30"/>
      <c r="BA6" s="30"/>
      <c r="BB6" s="30"/>
      <c r="BC6" s="30"/>
      <c r="BD6" s="30"/>
      <c r="BE6" s="30"/>
      <c r="BF6" s="30"/>
      <c r="BG6" s="30"/>
      <c r="BH6" s="30"/>
      <c r="BI6" s="30"/>
      <c r="BJ6" s="30"/>
      <c r="BK6" s="30"/>
      <c r="BL6" s="30"/>
      <c r="BM6" s="30"/>
      <c r="BN6" s="30"/>
      <c r="BO6" s="30"/>
      <c r="BP6" s="30"/>
      <c r="BQ6" s="30"/>
      <c r="BR6" s="30"/>
      <c r="BS6" s="30"/>
      <c r="BT6" s="30"/>
      <c r="BU6" s="30"/>
      <c r="BV6" s="30"/>
      <c r="BW6" s="30"/>
      <c r="BX6" s="30"/>
      <c r="BY6" s="30"/>
      <c r="BZ6" s="30"/>
      <c r="CA6" s="30"/>
      <c r="CB6" s="30"/>
      <c r="CC6" s="30"/>
      <c r="CD6" s="30"/>
      <c r="CE6" s="30"/>
      <c r="CF6" s="30"/>
      <c r="CG6" s="30"/>
      <c r="CH6" s="30"/>
      <c r="CI6" s="30"/>
      <c r="CJ6" s="30"/>
      <c r="CK6" s="30"/>
      <c r="CL6" s="30"/>
      <c r="CM6" s="30"/>
      <c r="CN6" s="30"/>
      <c r="CO6" s="30"/>
      <c r="CP6" s="30"/>
      <c r="CQ6" s="30"/>
      <c r="CR6" s="30"/>
      <c r="CS6" s="30"/>
      <c r="CT6" s="30"/>
      <c r="CU6" s="30"/>
      <c r="CV6" s="30"/>
      <c r="CW6" s="30"/>
      <c r="CX6" s="30"/>
      <c r="CY6" s="30"/>
      <c r="CZ6" s="30"/>
      <c r="DA6" s="30"/>
      <c r="DB6" s="30"/>
      <c r="DC6" s="30"/>
      <c r="DD6" s="30"/>
      <c r="DE6" s="30"/>
      <c r="DF6" s="30"/>
      <c r="DG6" s="30"/>
      <c r="DH6" s="30"/>
      <c r="DI6" s="30"/>
      <c r="DJ6" s="30"/>
      <c r="DK6" s="30"/>
      <c r="DL6" s="30"/>
      <c r="DM6" s="30"/>
      <c r="DN6" s="30"/>
      <c r="DO6" s="30"/>
      <c r="DP6" s="30"/>
      <c r="DQ6" s="30"/>
      <c r="DR6" s="30"/>
      <c r="DS6" s="30"/>
      <c r="DT6" s="30"/>
      <c r="DU6" s="30"/>
      <c r="DV6" s="30"/>
      <c r="DW6" s="30"/>
      <c r="DX6" s="30"/>
      <c r="DY6" s="30"/>
      <c r="DZ6" s="30"/>
      <c r="EA6" s="30"/>
      <c r="EB6" s="30"/>
      <c r="EC6" s="30"/>
      <c r="ED6" s="30"/>
      <c r="EE6" s="30"/>
      <c r="EF6" s="30"/>
      <c r="EG6" s="30"/>
      <c r="EH6" s="30"/>
      <c r="EI6" s="30"/>
      <c r="EJ6" s="30"/>
      <c r="EK6" s="30"/>
      <c r="EL6" s="30"/>
      <c r="EM6" s="30"/>
      <c r="EN6" s="30"/>
      <c r="EO6" s="30"/>
      <c r="EP6" s="30"/>
      <c r="EQ6" s="30"/>
      <c r="ER6" s="30"/>
      <c r="ES6" s="30"/>
      <c r="ET6" s="30"/>
      <c r="EU6" s="30"/>
      <c r="EV6" s="30"/>
      <c r="EW6" s="30"/>
      <c r="EX6" s="30"/>
      <c r="EY6" s="30"/>
      <c r="EZ6" s="30"/>
      <c r="FA6" s="30"/>
      <c r="FB6" s="30"/>
      <c r="FC6" s="30"/>
      <c r="FD6" s="30"/>
      <c r="FE6" s="30"/>
      <c r="FF6" s="30"/>
      <c r="FG6" s="30"/>
      <c r="FH6" s="30"/>
      <c r="FI6" s="30"/>
      <c r="FJ6" s="30"/>
      <c r="FK6" s="30"/>
      <c r="FL6" s="30"/>
      <c r="FM6" s="30"/>
      <c r="FN6" s="30"/>
      <c r="FO6" s="30"/>
      <c r="FP6" s="30"/>
      <c r="FQ6" s="30"/>
      <c r="FR6" s="30"/>
      <c r="FS6" s="30"/>
      <c r="FT6" s="30"/>
      <c r="FU6" s="30"/>
      <c r="FV6" s="30"/>
      <c r="FW6" s="30"/>
      <c r="FX6" s="30"/>
      <c r="FY6" s="30"/>
      <c r="FZ6" s="30"/>
      <c r="GA6" s="30"/>
      <c r="GB6" s="30"/>
      <c r="GC6" s="30"/>
      <c r="GD6" s="30"/>
      <c r="GE6" s="30"/>
      <c r="GF6" s="30"/>
      <c r="GG6" s="30"/>
      <c r="GH6" s="30"/>
      <c r="GI6" s="30"/>
      <c r="GJ6" s="30"/>
      <c r="GK6" s="30"/>
      <c r="GL6" s="30"/>
      <c r="GM6" s="30"/>
      <c r="GN6" s="30"/>
      <c r="GO6" s="30"/>
      <c r="GP6" s="30"/>
      <c r="GQ6" s="30"/>
      <c r="GR6" s="30"/>
      <c r="GS6" s="30"/>
      <c r="GT6" s="30"/>
      <c r="GU6" s="30"/>
      <c r="GV6" s="30"/>
      <c r="GW6" s="30"/>
      <c r="GX6" s="30"/>
      <c r="GY6" s="30"/>
      <c r="GZ6" s="30"/>
      <c r="HA6" s="30"/>
      <c r="HB6" s="30"/>
      <c r="HC6" s="30"/>
      <c r="HD6" s="30"/>
      <c r="HE6" s="30"/>
      <c r="HF6" s="30"/>
      <c r="HG6" s="30"/>
      <c r="HH6" s="30"/>
      <c r="HI6" s="30"/>
      <c r="HJ6" s="30"/>
      <c r="HK6" s="30"/>
      <c r="HL6" s="30"/>
      <c r="HM6" s="30"/>
      <c r="HN6" s="30"/>
      <c r="HO6" s="30"/>
      <c r="HP6" s="30"/>
      <c r="HQ6" s="30"/>
      <c r="HR6" s="30"/>
      <c r="HS6" s="30"/>
      <c r="HT6" s="30"/>
      <c r="HU6" s="30"/>
      <c r="HV6" s="30"/>
      <c r="HW6" s="30"/>
      <c r="HX6" s="30"/>
      <c r="HY6" s="30"/>
      <c r="HZ6" s="30"/>
      <c r="IA6" s="30"/>
      <c r="IB6" s="30"/>
      <c r="IC6" s="30"/>
      <c r="ID6" s="30"/>
      <c r="IE6" s="30"/>
      <c r="IF6" s="30"/>
      <c r="IG6" s="30"/>
      <c r="IH6" s="30"/>
      <c r="II6" s="30"/>
      <c r="IJ6" s="30"/>
      <c r="IK6" s="30"/>
      <c r="IL6" s="30"/>
      <c r="IM6" s="30"/>
      <c r="IN6" s="30"/>
      <c r="IO6" s="30"/>
      <c r="IP6" s="30"/>
      <c r="IQ6" s="30"/>
      <c r="IR6" s="30"/>
      <c r="IS6" s="30"/>
      <c r="IT6" s="30"/>
      <c r="IU6" s="30"/>
      <c r="IV6" s="30"/>
    </row>
    <row r="7" spans="1:256" ht="24.95" customHeight="1" x14ac:dyDescent="0.35">
      <c r="A7" s="1600">
        <v>1</v>
      </c>
      <c r="B7" s="257" t="s">
        <v>254</v>
      </c>
      <c r="C7" s="1605"/>
      <c r="D7" s="1606" t="s">
        <v>951</v>
      </c>
      <c r="G7" s="1921"/>
    </row>
    <row r="8" spans="1:256" ht="24.95" customHeight="1" x14ac:dyDescent="0.35">
      <c r="A8" s="1600">
        <v>2</v>
      </c>
      <c r="B8" s="123"/>
      <c r="C8" s="1607" t="s">
        <v>130</v>
      </c>
      <c r="D8" s="1608" t="s">
        <v>952</v>
      </c>
      <c r="E8" s="1609"/>
      <c r="F8" s="123"/>
      <c r="G8" s="2066"/>
      <c r="H8" s="123"/>
      <c r="I8" s="123"/>
      <c r="J8" s="1615"/>
      <c r="K8" s="123"/>
      <c r="L8" s="1615"/>
      <c r="M8" s="123"/>
      <c r="N8" s="123"/>
      <c r="O8" s="123"/>
      <c r="P8" s="123"/>
      <c r="Q8" s="123"/>
      <c r="R8" s="123"/>
      <c r="S8" s="123"/>
      <c r="T8" s="123"/>
      <c r="U8" s="123"/>
      <c r="V8" s="123"/>
      <c r="W8" s="123"/>
      <c r="X8" s="123"/>
      <c r="Y8" s="123"/>
      <c r="Z8" s="123"/>
      <c r="AA8" s="123"/>
      <c r="AB8" s="123"/>
      <c r="AC8" s="123"/>
      <c r="AD8" s="123"/>
      <c r="AE8" s="123"/>
      <c r="AF8" s="123"/>
      <c r="AG8" s="123"/>
      <c r="AH8" s="123"/>
      <c r="AI8" s="123"/>
      <c r="AJ8" s="123"/>
      <c r="AK8" s="123"/>
      <c r="AL8" s="123"/>
      <c r="AM8" s="123"/>
      <c r="AN8" s="123"/>
      <c r="AO8" s="123"/>
      <c r="AP8" s="123"/>
      <c r="AQ8" s="123"/>
      <c r="AR8" s="123"/>
      <c r="AS8" s="123"/>
      <c r="AT8" s="123"/>
      <c r="AU8" s="123"/>
      <c r="AV8" s="123"/>
      <c r="AW8" s="123"/>
      <c r="AX8" s="123"/>
      <c r="AY8" s="123"/>
      <c r="AZ8" s="123"/>
      <c r="BA8" s="123"/>
      <c r="BB8" s="123"/>
      <c r="BC8" s="123"/>
      <c r="BD8" s="123"/>
      <c r="BE8" s="123"/>
      <c r="BF8" s="123"/>
      <c r="BG8" s="123"/>
      <c r="BH8" s="123"/>
      <c r="BI8" s="123"/>
      <c r="BJ8" s="123"/>
      <c r="BK8" s="123"/>
      <c r="BL8" s="123"/>
      <c r="BM8" s="123"/>
      <c r="BN8" s="123"/>
      <c r="BO8" s="123"/>
      <c r="BP8" s="123"/>
      <c r="BQ8" s="123"/>
      <c r="BR8" s="123"/>
      <c r="BS8" s="123"/>
      <c r="BT8" s="123"/>
      <c r="BU8" s="123"/>
      <c r="BV8" s="123"/>
      <c r="BW8" s="123"/>
      <c r="BX8" s="123"/>
      <c r="BY8" s="123"/>
      <c r="BZ8" s="123"/>
      <c r="CA8" s="123"/>
      <c r="CB8" s="123"/>
      <c r="CC8" s="123"/>
      <c r="CD8" s="123"/>
      <c r="CE8" s="123"/>
      <c r="CF8" s="123"/>
      <c r="CG8" s="123"/>
      <c r="CH8" s="123"/>
      <c r="CI8" s="123"/>
      <c r="CJ8" s="123"/>
      <c r="CK8" s="123"/>
      <c r="CL8" s="123"/>
      <c r="CM8" s="123"/>
      <c r="CN8" s="123"/>
      <c r="CO8" s="123"/>
      <c r="CP8" s="123"/>
      <c r="CQ8" s="123"/>
      <c r="CR8" s="123"/>
      <c r="CS8" s="123"/>
      <c r="CT8" s="123"/>
      <c r="CU8" s="123"/>
      <c r="CV8" s="123"/>
      <c r="CW8" s="123"/>
      <c r="CX8" s="123"/>
      <c r="CY8" s="123"/>
      <c r="CZ8" s="123"/>
      <c r="DA8" s="123"/>
      <c r="DB8" s="123"/>
      <c r="DC8" s="123"/>
      <c r="DD8" s="123"/>
      <c r="DE8" s="123"/>
      <c r="DF8" s="123"/>
      <c r="DG8" s="123"/>
      <c r="DH8" s="123"/>
      <c r="DI8" s="123"/>
      <c r="DJ8" s="123"/>
      <c r="DK8" s="123"/>
      <c r="DL8" s="123"/>
      <c r="DM8" s="123"/>
      <c r="DN8" s="123"/>
      <c r="DO8" s="123"/>
      <c r="DP8" s="123"/>
      <c r="DQ8" s="123"/>
      <c r="DR8" s="123"/>
      <c r="DS8" s="123"/>
      <c r="DT8" s="123"/>
      <c r="DU8" s="123"/>
      <c r="DV8" s="123"/>
      <c r="DW8" s="123"/>
      <c r="DX8" s="123"/>
      <c r="DY8" s="123"/>
      <c r="DZ8" s="123"/>
      <c r="EA8" s="123"/>
      <c r="EB8" s="123"/>
      <c r="EC8" s="123"/>
      <c r="ED8" s="123"/>
      <c r="EE8" s="123"/>
      <c r="EF8" s="123"/>
      <c r="EG8" s="123"/>
      <c r="EH8" s="123"/>
      <c r="EI8" s="123"/>
      <c r="EJ8" s="123"/>
      <c r="EK8" s="123"/>
      <c r="EL8" s="123"/>
      <c r="EM8" s="123"/>
      <c r="EN8" s="123"/>
      <c r="EO8" s="123"/>
      <c r="EP8" s="123"/>
      <c r="EQ8" s="123"/>
      <c r="ER8" s="123"/>
      <c r="ES8" s="123"/>
      <c r="ET8" s="123"/>
      <c r="EU8" s="123"/>
      <c r="EV8" s="123"/>
      <c r="EW8" s="123"/>
      <c r="EX8" s="123"/>
      <c r="EY8" s="123"/>
      <c r="EZ8" s="123"/>
      <c r="FA8" s="123"/>
      <c r="FB8" s="123"/>
      <c r="FC8" s="123"/>
      <c r="FD8" s="123"/>
      <c r="FE8" s="123"/>
      <c r="FF8" s="123"/>
      <c r="FG8" s="123"/>
      <c r="FH8" s="123"/>
      <c r="FI8" s="123"/>
      <c r="FJ8" s="123"/>
      <c r="FK8" s="123"/>
      <c r="FL8" s="123"/>
      <c r="FM8" s="123"/>
      <c r="FN8" s="123"/>
      <c r="FO8" s="123"/>
      <c r="FP8" s="123"/>
      <c r="FQ8" s="123"/>
      <c r="FR8" s="123"/>
      <c r="FS8" s="123"/>
      <c r="FT8" s="123"/>
      <c r="FU8" s="123"/>
      <c r="FV8" s="123"/>
      <c r="FW8" s="123"/>
      <c r="FX8" s="123"/>
      <c r="FY8" s="123"/>
      <c r="FZ8" s="123"/>
      <c r="GA8" s="123"/>
      <c r="GB8" s="123"/>
      <c r="GC8" s="123"/>
      <c r="GD8" s="123"/>
      <c r="GE8" s="123"/>
      <c r="GF8" s="123"/>
      <c r="GG8" s="123"/>
      <c r="GH8" s="123"/>
      <c r="GI8" s="123"/>
      <c r="GJ8" s="123"/>
      <c r="GK8" s="123"/>
      <c r="GL8" s="123"/>
      <c r="GM8" s="123"/>
      <c r="GN8" s="123"/>
      <c r="GO8" s="123"/>
      <c r="GP8" s="123"/>
      <c r="GQ8" s="123"/>
      <c r="GR8" s="123"/>
      <c r="GS8" s="123"/>
      <c r="GT8" s="123"/>
      <c r="GU8" s="123"/>
      <c r="GV8" s="123"/>
      <c r="GW8" s="123"/>
      <c r="GX8" s="123"/>
      <c r="GY8" s="123"/>
      <c r="GZ8" s="123"/>
      <c r="HA8" s="123"/>
      <c r="HB8" s="123"/>
      <c r="HC8" s="123"/>
      <c r="HD8" s="123"/>
      <c r="HE8" s="123"/>
      <c r="HF8" s="123"/>
      <c r="HG8" s="123"/>
      <c r="HH8" s="123"/>
      <c r="HI8" s="123"/>
      <c r="HJ8" s="123"/>
      <c r="HK8" s="123"/>
      <c r="HL8" s="123"/>
      <c r="HM8" s="123"/>
      <c r="HN8" s="123"/>
      <c r="HO8" s="123"/>
      <c r="HP8" s="123"/>
      <c r="HQ8" s="123"/>
      <c r="HR8" s="123"/>
      <c r="HS8" s="123"/>
      <c r="HT8" s="123"/>
      <c r="HU8" s="123"/>
      <c r="HV8" s="123"/>
      <c r="HW8" s="123"/>
      <c r="HX8" s="123"/>
      <c r="HY8" s="123"/>
      <c r="HZ8" s="123"/>
      <c r="IA8" s="123"/>
      <c r="IB8" s="123"/>
      <c r="IC8" s="123"/>
      <c r="ID8" s="123"/>
      <c r="IE8" s="123"/>
      <c r="IF8" s="123"/>
      <c r="IG8" s="123"/>
      <c r="IH8" s="123"/>
      <c r="II8" s="123"/>
      <c r="IJ8" s="123"/>
      <c r="IK8" s="123"/>
      <c r="IL8" s="123"/>
      <c r="IM8" s="123"/>
      <c r="IN8" s="123"/>
      <c r="IO8" s="123"/>
      <c r="IP8" s="123"/>
      <c r="IQ8" s="123"/>
      <c r="IR8" s="123"/>
      <c r="IS8" s="123"/>
      <c r="IT8" s="123"/>
      <c r="IU8" s="123"/>
      <c r="IV8" s="123"/>
    </row>
    <row r="9" spans="1:256" ht="20.100000000000001" customHeight="1" x14ac:dyDescent="0.35">
      <c r="A9" s="1600">
        <v>3</v>
      </c>
      <c r="D9" s="1983" t="s">
        <v>175</v>
      </c>
      <c r="E9" s="1611"/>
      <c r="F9" s="23"/>
      <c r="G9" s="1923"/>
      <c r="H9" s="23"/>
      <c r="I9" s="23"/>
    </row>
    <row r="10" spans="1:256" ht="33" customHeight="1" x14ac:dyDescent="0.3">
      <c r="A10" s="1600">
        <v>4</v>
      </c>
      <c r="D10" s="1667" t="s">
        <v>1255</v>
      </c>
      <c r="E10" s="1616">
        <v>140058</v>
      </c>
      <c r="F10" s="2085"/>
      <c r="G10" s="2086"/>
      <c r="H10" s="2087"/>
      <c r="I10" s="2085"/>
      <c r="J10" s="2088"/>
    </row>
    <row r="11" spans="1:256" ht="33" customHeight="1" x14ac:dyDescent="0.3">
      <c r="A11" s="1600">
        <v>5</v>
      </c>
      <c r="D11" s="1667" t="s">
        <v>1256</v>
      </c>
      <c r="E11" s="1611">
        <v>1380000</v>
      </c>
      <c r="F11" s="2085"/>
      <c r="G11" s="2086"/>
      <c r="H11" s="2089"/>
      <c r="I11" s="2085"/>
      <c r="J11" s="2088"/>
    </row>
    <row r="12" spans="1:256" ht="20.100000000000001" customHeight="1" x14ac:dyDescent="0.35">
      <c r="A12" s="1600">
        <v>6</v>
      </c>
      <c r="D12" s="1949" t="s">
        <v>1128</v>
      </c>
      <c r="E12" s="1611"/>
      <c r="F12" s="2085"/>
      <c r="G12" s="2086"/>
      <c r="H12" s="2089"/>
      <c r="I12" s="2085"/>
      <c r="J12" s="2088"/>
    </row>
    <row r="13" spans="1:256" ht="18" customHeight="1" x14ac:dyDescent="0.3">
      <c r="A13" s="1600">
        <v>7</v>
      </c>
      <c r="D13" s="1617" t="s">
        <v>1287</v>
      </c>
      <c r="E13" s="1612">
        <v>18903</v>
      </c>
      <c r="F13" s="2089"/>
      <c r="G13" s="2086"/>
      <c r="H13" s="2089"/>
      <c r="I13" s="2085"/>
      <c r="J13" s="2095"/>
    </row>
    <row r="14" spans="1:256" x14ac:dyDescent="0.3">
      <c r="A14" s="1600">
        <v>8</v>
      </c>
      <c r="D14" s="1623" t="s">
        <v>129</v>
      </c>
      <c r="E14" s="1613">
        <f>SUM(E9:E13)</f>
        <v>1538961</v>
      </c>
      <c r="G14" s="1921"/>
    </row>
    <row r="15" spans="1:256" ht="24.95" customHeight="1" x14ac:dyDescent="0.35">
      <c r="A15" s="1600">
        <v>9</v>
      </c>
      <c r="B15" s="123"/>
      <c r="C15" s="1607" t="s">
        <v>137</v>
      </c>
      <c r="D15" s="1614" t="s">
        <v>953</v>
      </c>
      <c r="E15" s="1609"/>
      <c r="F15" s="123"/>
      <c r="G15" s="2066"/>
      <c r="H15" s="1617"/>
      <c r="I15" s="123"/>
      <c r="J15" s="1615"/>
      <c r="K15" s="123"/>
      <c r="L15" s="1615"/>
      <c r="M15" s="123"/>
      <c r="N15" s="123"/>
      <c r="O15" s="123"/>
      <c r="P15" s="123"/>
      <c r="Q15" s="123"/>
      <c r="R15" s="123"/>
      <c r="S15" s="123"/>
      <c r="T15" s="123"/>
      <c r="U15" s="123"/>
      <c r="V15" s="123"/>
      <c r="W15" s="123"/>
      <c r="X15" s="123"/>
      <c r="Y15" s="123"/>
      <c r="Z15" s="123"/>
      <c r="AA15" s="123"/>
      <c r="AB15" s="123"/>
      <c r="AC15" s="123"/>
      <c r="AD15" s="123"/>
      <c r="AE15" s="123"/>
      <c r="AF15" s="123"/>
      <c r="AG15" s="123"/>
      <c r="AH15" s="123"/>
      <c r="AI15" s="123"/>
      <c r="AJ15" s="123"/>
      <c r="AK15" s="123"/>
      <c r="AL15" s="123"/>
      <c r="AM15" s="123"/>
      <c r="AN15" s="123"/>
      <c r="AO15" s="123"/>
      <c r="AP15" s="123"/>
      <c r="AQ15" s="123"/>
      <c r="AR15" s="123"/>
      <c r="AS15" s="123"/>
      <c r="AT15" s="123"/>
      <c r="AU15" s="123"/>
      <c r="AV15" s="123"/>
      <c r="AW15" s="123"/>
      <c r="AX15" s="123"/>
      <c r="AY15" s="123"/>
      <c r="AZ15" s="123"/>
      <c r="BA15" s="123"/>
      <c r="BB15" s="123"/>
      <c r="BC15" s="123"/>
      <c r="BD15" s="123"/>
      <c r="BE15" s="123"/>
      <c r="BF15" s="123"/>
      <c r="BG15" s="123"/>
      <c r="BH15" s="123"/>
      <c r="BI15" s="123"/>
      <c r="BJ15" s="123"/>
      <c r="BK15" s="123"/>
      <c r="BL15" s="123"/>
      <c r="BM15" s="123"/>
      <c r="BN15" s="123"/>
      <c r="BO15" s="123"/>
      <c r="BP15" s="123"/>
      <c r="BQ15" s="123"/>
      <c r="BR15" s="123"/>
      <c r="BS15" s="123"/>
      <c r="BT15" s="123"/>
      <c r="BU15" s="123"/>
      <c r="BV15" s="123"/>
      <c r="BW15" s="123"/>
      <c r="BX15" s="123"/>
      <c r="BY15" s="123"/>
      <c r="BZ15" s="123"/>
      <c r="CA15" s="123"/>
      <c r="CB15" s="123"/>
      <c r="CC15" s="123"/>
      <c r="CD15" s="123"/>
      <c r="CE15" s="123"/>
      <c r="CF15" s="123"/>
      <c r="CG15" s="123"/>
      <c r="CH15" s="123"/>
      <c r="CI15" s="123"/>
      <c r="CJ15" s="123"/>
      <c r="CK15" s="123"/>
      <c r="CL15" s="123"/>
      <c r="CM15" s="123"/>
      <c r="CN15" s="123"/>
      <c r="CO15" s="123"/>
      <c r="CP15" s="123"/>
      <c r="CQ15" s="123"/>
      <c r="CR15" s="123"/>
      <c r="CS15" s="123"/>
      <c r="CT15" s="123"/>
      <c r="CU15" s="123"/>
      <c r="CV15" s="123"/>
      <c r="CW15" s="123"/>
      <c r="CX15" s="123"/>
      <c r="CY15" s="123"/>
      <c r="CZ15" s="123"/>
      <c r="DA15" s="123"/>
      <c r="DB15" s="123"/>
      <c r="DC15" s="123"/>
      <c r="DD15" s="123"/>
      <c r="DE15" s="123"/>
      <c r="DF15" s="123"/>
      <c r="DG15" s="123"/>
      <c r="DH15" s="123"/>
      <c r="DI15" s="123"/>
      <c r="DJ15" s="123"/>
      <c r="DK15" s="123"/>
      <c r="DL15" s="123"/>
      <c r="DM15" s="123"/>
      <c r="DN15" s="123"/>
      <c r="DO15" s="123"/>
      <c r="DP15" s="123"/>
      <c r="DQ15" s="123"/>
      <c r="DR15" s="123"/>
      <c r="DS15" s="123"/>
      <c r="DT15" s="123"/>
      <c r="DU15" s="123"/>
      <c r="DV15" s="123"/>
      <c r="DW15" s="123"/>
      <c r="DX15" s="123"/>
      <c r="DY15" s="123"/>
      <c r="DZ15" s="123"/>
      <c r="EA15" s="123"/>
      <c r="EB15" s="123"/>
      <c r="EC15" s="123"/>
      <c r="ED15" s="123"/>
      <c r="EE15" s="123"/>
      <c r="EF15" s="123"/>
      <c r="EG15" s="123"/>
      <c r="EH15" s="123"/>
      <c r="EI15" s="123"/>
      <c r="EJ15" s="123"/>
      <c r="EK15" s="123"/>
      <c r="EL15" s="123"/>
      <c r="EM15" s="123"/>
      <c r="EN15" s="123"/>
      <c r="EO15" s="123"/>
      <c r="EP15" s="123"/>
      <c r="EQ15" s="123"/>
      <c r="ER15" s="123"/>
      <c r="ES15" s="123"/>
      <c r="ET15" s="123"/>
      <c r="EU15" s="123"/>
      <c r="EV15" s="123"/>
      <c r="EW15" s="123"/>
      <c r="EX15" s="123"/>
      <c r="EY15" s="123"/>
      <c r="EZ15" s="123"/>
      <c r="FA15" s="123"/>
      <c r="FB15" s="123"/>
      <c r="FC15" s="123"/>
      <c r="FD15" s="123"/>
      <c r="FE15" s="123"/>
      <c r="FF15" s="123"/>
      <c r="FG15" s="123"/>
      <c r="FH15" s="123"/>
      <c r="FI15" s="123"/>
      <c r="FJ15" s="123"/>
      <c r="FK15" s="123"/>
      <c r="FL15" s="123"/>
      <c r="FM15" s="123"/>
      <c r="FN15" s="123"/>
      <c r="FO15" s="123"/>
      <c r="FP15" s="123"/>
      <c r="FQ15" s="123"/>
      <c r="FR15" s="123"/>
      <c r="FS15" s="123"/>
      <c r="FT15" s="123"/>
      <c r="FU15" s="123"/>
      <c r="FV15" s="123"/>
      <c r="FW15" s="123"/>
      <c r="FX15" s="123"/>
      <c r="FY15" s="123"/>
      <c r="FZ15" s="123"/>
      <c r="GA15" s="123"/>
      <c r="GB15" s="123"/>
      <c r="GC15" s="123"/>
      <c r="GD15" s="123"/>
      <c r="GE15" s="123"/>
      <c r="GF15" s="123"/>
      <c r="GG15" s="123"/>
      <c r="GH15" s="123"/>
      <c r="GI15" s="123"/>
      <c r="GJ15" s="123"/>
      <c r="GK15" s="123"/>
      <c r="GL15" s="123"/>
      <c r="GM15" s="123"/>
      <c r="GN15" s="123"/>
      <c r="GO15" s="123"/>
      <c r="GP15" s="123"/>
      <c r="GQ15" s="123"/>
      <c r="GR15" s="123"/>
      <c r="GS15" s="123"/>
      <c r="GT15" s="123"/>
      <c r="GU15" s="123"/>
      <c r="GV15" s="123"/>
      <c r="GW15" s="123"/>
      <c r="GX15" s="123"/>
      <c r="GY15" s="123"/>
      <c r="GZ15" s="123"/>
      <c r="HA15" s="123"/>
      <c r="HB15" s="123"/>
      <c r="HC15" s="123"/>
      <c r="HD15" s="123"/>
      <c r="HE15" s="123"/>
      <c r="HF15" s="123"/>
      <c r="HG15" s="123"/>
      <c r="HH15" s="123"/>
      <c r="HI15" s="123"/>
      <c r="HJ15" s="123"/>
      <c r="HK15" s="123"/>
      <c r="HL15" s="123"/>
      <c r="HM15" s="123"/>
      <c r="HN15" s="123"/>
      <c r="HO15" s="123"/>
      <c r="HP15" s="123"/>
      <c r="HQ15" s="123"/>
      <c r="HR15" s="123"/>
      <c r="HS15" s="123"/>
      <c r="HT15" s="123"/>
      <c r="HU15" s="123"/>
      <c r="HV15" s="123"/>
      <c r="HW15" s="123"/>
      <c r="HX15" s="123"/>
      <c r="HY15" s="123"/>
      <c r="HZ15" s="123"/>
      <c r="IA15" s="123"/>
      <c r="IB15" s="123"/>
      <c r="IC15" s="123"/>
      <c r="ID15" s="123"/>
      <c r="IE15" s="123"/>
      <c r="IF15" s="123"/>
      <c r="IG15" s="123"/>
      <c r="IH15" s="123"/>
      <c r="II15" s="123"/>
      <c r="IJ15" s="123"/>
      <c r="IK15" s="123"/>
      <c r="IL15" s="123"/>
      <c r="IM15" s="123"/>
      <c r="IN15" s="123"/>
      <c r="IO15" s="123"/>
      <c r="IP15" s="123"/>
      <c r="IQ15" s="123"/>
      <c r="IR15" s="123"/>
      <c r="IS15" s="123"/>
      <c r="IT15" s="123"/>
      <c r="IU15" s="123"/>
      <c r="IV15" s="123"/>
    </row>
    <row r="16" spans="1:256" ht="33.75" customHeight="1" x14ac:dyDescent="0.3">
      <c r="A16" s="1600">
        <v>10</v>
      </c>
      <c r="B16" s="123"/>
      <c r="C16" s="1607"/>
      <c r="D16" s="1667" t="s">
        <v>537</v>
      </c>
      <c r="E16" s="1616">
        <v>2010</v>
      </c>
      <c r="F16" s="2090"/>
      <c r="G16" s="2091"/>
      <c r="H16" s="2092"/>
      <c r="I16" s="2090"/>
      <c r="J16" s="2093"/>
      <c r="K16" s="123"/>
      <c r="L16" s="1615"/>
      <c r="M16" s="123"/>
      <c r="N16" s="123"/>
      <c r="O16" s="123"/>
      <c r="P16" s="123"/>
      <c r="Q16" s="123"/>
      <c r="R16" s="123"/>
      <c r="S16" s="123"/>
      <c r="T16" s="123"/>
      <c r="U16" s="123"/>
      <c r="V16" s="123"/>
      <c r="W16" s="123"/>
      <c r="X16" s="123"/>
      <c r="Y16" s="123"/>
      <c r="Z16" s="123"/>
      <c r="AA16" s="123"/>
      <c r="AB16" s="123"/>
      <c r="AC16" s="123"/>
      <c r="AD16" s="123"/>
      <c r="AE16" s="123"/>
      <c r="AF16" s="123"/>
      <c r="AG16" s="123"/>
      <c r="AH16" s="123"/>
      <c r="AI16" s="123"/>
      <c r="AJ16" s="123"/>
      <c r="AK16" s="123"/>
      <c r="AL16" s="123"/>
      <c r="AM16" s="123"/>
      <c r="AN16" s="123"/>
      <c r="AO16" s="123"/>
      <c r="AP16" s="123"/>
      <c r="AQ16" s="123"/>
      <c r="AR16" s="123"/>
      <c r="AS16" s="123"/>
      <c r="AT16" s="123"/>
      <c r="AU16" s="123"/>
      <c r="AV16" s="123"/>
      <c r="AW16" s="123"/>
      <c r="AX16" s="123"/>
      <c r="AY16" s="123"/>
      <c r="AZ16" s="123"/>
      <c r="BA16" s="123"/>
      <c r="BB16" s="123"/>
      <c r="BC16" s="123"/>
      <c r="BD16" s="123"/>
      <c r="BE16" s="123"/>
      <c r="BF16" s="123"/>
      <c r="BG16" s="123"/>
      <c r="BH16" s="123"/>
      <c r="BI16" s="123"/>
      <c r="BJ16" s="123"/>
      <c r="BK16" s="123"/>
      <c r="BL16" s="123"/>
      <c r="BM16" s="123"/>
      <c r="BN16" s="123"/>
      <c r="BO16" s="123"/>
      <c r="BP16" s="123"/>
      <c r="BQ16" s="123"/>
      <c r="BR16" s="123"/>
      <c r="BS16" s="123"/>
      <c r="BT16" s="123"/>
      <c r="BU16" s="123"/>
      <c r="BV16" s="123"/>
      <c r="BW16" s="123"/>
      <c r="BX16" s="123"/>
      <c r="BY16" s="123"/>
      <c r="BZ16" s="123"/>
      <c r="CA16" s="123"/>
      <c r="CB16" s="123"/>
      <c r="CC16" s="123"/>
      <c r="CD16" s="123"/>
      <c r="CE16" s="123"/>
      <c r="CF16" s="123"/>
      <c r="CG16" s="123"/>
      <c r="CH16" s="123"/>
      <c r="CI16" s="123"/>
      <c r="CJ16" s="123"/>
      <c r="CK16" s="123"/>
      <c r="CL16" s="123"/>
      <c r="CM16" s="123"/>
      <c r="CN16" s="123"/>
      <c r="CO16" s="123"/>
      <c r="CP16" s="123"/>
      <c r="CQ16" s="123"/>
      <c r="CR16" s="123"/>
      <c r="CS16" s="123"/>
      <c r="CT16" s="123"/>
      <c r="CU16" s="123"/>
      <c r="CV16" s="123"/>
      <c r="CW16" s="123"/>
      <c r="CX16" s="123"/>
      <c r="CY16" s="123"/>
      <c r="CZ16" s="123"/>
      <c r="DA16" s="123"/>
      <c r="DB16" s="123"/>
      <c r="DC16" s="123"/>
      <c r="DD16" s="123"/>
      <c r="DE16" s="123"/>
      <c r="DF16" s="123"/>
      <c r="DG16" s="123"/>
      <c r="DH16" s="123"/>
      <c r="DI16" s="123"/>
      <c r="DJ16" s="123"/>
      <c r="DK16" s="123"/>
      <c r="DL16" s="123"/>
      <c r="DM16" s="123"/>
      <c r="DN16" s="123"/>
      <c r="DO16" s="123"/>
      <c r="DP16" s="123"/>
      <c r="DQ16" s="123"/>
      <c r="DR16" s="123"/>
      <c r="DS16" s="123"/>
      <c r="DT16" s="123"/>
      <c r="DU16" s="123"/>
      <c r="DV16" s="123"/>
      <c r="DW16" s="123"/>
      <c r="DX16" s="123"/>
      <c r="DY16" s="123"/>
      <c r="DZ16" s="123"/>
      <c r="EA16" s="123"/>
      <c r="EB16" s="123"/>
      <c r="EC16" s="123"/>
      <c r="ED16" s="123"/>
      <c r="EE16" s="123"/>
      <c r="EF16" s="123"/>
      <c r="EG16" s="123"/>
      <c r="EH16" s="123"/>
      <c r="EI16" s="123"/>
      <c r="EJ16" s="123"/>
      <c r="EK16" s="123"/>
      <c r="EL16" s="123"/>
      <c r="EM16" s="123"/>
      <c r="EN16" s="123"/>
      <c r="EO16" s="123"/>
      <c r="EP16" s="123"/>
      <c r="EQ16" s="123"/>
      <c r="ER16" s="123"/>
      <c r="ES16" s="123"/>
      <c r="ET16" s="123"/>
      <c r="EU16" s="123"/>
      <c r="EV16" s="123"/>
      <c r="EW16" s="123"/>
      <c r="EX16" s="123"/>
      <c r="EY16" s="123"/>
      <c r="EZ16" s="123"/>
      <c r="FA16" s="123"/>
      <c r="FB16" s="123"/>
      <c r="FC16" s="123"/>
      <c r="FD16" s="123"/>
      <c r="FE16" s="123"/>
      <c r="FF16" s="123"/>
      <c r="FG16" s="123"/>
      <c r="FH16" s="123"/>
      <c r="FI16" s="123"/>
      <c r="FJ16" s="123"/>
      <c r="FK16" s="123"/>
      <c r="FL16" s="123"/>
      <c r="FM16" s="123"/>
      <c r="FN16" s="123"/>
      <c r="FO16" s="123"/>
      <c r="FP16" s="123"/>
      <c r="FQ16" s="123"/>
      <c r="FR16" s="123"/>
      <c r="FS16" s="123"/>
      <c r="FT16" s="123"/>
      <c r="FU16" s="123"/>
      <c r="FV16" s="123"/>
      <c r="FW16" s="123"/>
      <c r="FX16" s="123"/>
      <c r="FY16" s="123"/>
      <c r="FZ16" s="123"/>
      <c r="GA16" s="123"/>
      <c r="GB16" s="123"/>
      <c r="GC16" s="123"/>
      <c r="GD16" s="123"/>
      <c r="GE16" s="123"/>
      <c r="GF16" s="123"/>
      <c r="GG16" s="123"/>
      <c r="GH16" s="123"/>
      <c r="GI16" s="123"/>
      <c r="GJ16" s="123"/>
      <c r="GK16" s="123"/>
      <c r="GL16" s="123"/>
      <c r="GM16" s="123"/>
      <c r="GN16" s="123"/>
      <c r="GO16" s="123"/>
      <c r="GP16" s="123"/>
      <c r="GQ16" s="123"/>
      <c r="GR16" s="123"/>
      <c r="GS16" s="123"/>
      <c r="GT16" s="123"/>
      <c r="GU16" s="123"/>
      <c r="GV16" s="123"/>
      <c r="GW16" s="123"/>
      <c r="GX16" s="123"/>
      <c r="GY16" s="123"/>
      <c r="GZ16" s="123"/>
      <c r="HA16" s="123"/>
      <c r="HB16" s="123"/>
      <c r="HC16" s="123"/>
      <c r="HD16" s="123"/>
      <c r="HE16" s="123"/>
      <c r="HF16" s="123"/>
      <c r="HG16" s="123"/>
      <c r="HH16" s="123"/>
      <c r="HI16" s="123"/>
      <c r="HJ16" s="123"/>
      <c r="HK16" s="123"/>
      <c r="HL16" s="123"/>
      <c r="HM16" s="123"/>
      <c r="HN16" s="123"/>
      <c r="HO16" s="123"/>
      <c r="HP16" s="123"/>
      <c r="HQ16" s="123"/>
      <c r="HR16" s="123"/>
      <c r="HS16" s="123"/>
      <c r="HT16" s="123"/>
      <c r="HU16" s="123"/>
      <c r="HV16" s="123"/>
      <c r="HW16" s="123"/>
      <c r="HX16" s="123"/>
      <c r="HY16" s="123"/>
      <c r="HZ16" s="123"/>
      <c r="IA16" s="123"/>
      <c r="IB16" s="123"/>
      <c r="IC16" s="123"/>
      <c r="ID16" s="123"/>
      <c r="IE16" s="123"/>
      <c r="IF16" s="123"/>
      <c r="IG16" s="123"/>
      <c r="IH16" s="123"/>
      <c r="II16" s="123"/>
      <c r="IJ16" s="123"/>
      <c r="IK16" s="123"/>
      <c r="IL16" s="123"/>
      <c r="IM16" s="123"/>
      <c r="IN16" s="123"/>
      <c r="IO16" s="123"/>
      <c r="IP16" s="123"/>
      <c r="IQ16" s="123"/>
      <c r="IR16" s="123"/>
      <c r="IS16" s="123"/>
      <c r="IT16" s="123"/>
      <c r="IU16" s="123"/>
      <c r="IV16" s="123"/>
    </row>
    <row r="17" spans="1:256" x14ac:dyDescent="0.3">
      <c r="A17" s="1600">
        <v>11</v>
      </c>
      <c r="B17" s="123"/>
      <c r="C17" s="1607"/>
      <c r="D17" s="1667" t="s">
        <v>1268</v>
      </c>
      <c r="E17" s="1611">
        <v>51626</v>
      </c>
      <c r="F17" s="125"/>
      <c r="G17" s="2067"/>
      <c r="H17" s="123"/>
      <c r="I17" s="125"/>
      <c r="J17" s="1616"/>
      <c r="K17" s="123"/>
      <c r="L17" s="1615"/>
      <c r="M17" s="123"/>
      <c r="N17" s="123"/>
      <c r="O17" s="123"/>
      <c r="P17" s="123"/>
      <c r="Q17" s="123"/>
      <c r="R17" s="123"/>
      <c r="S17" s="123"/>
      <c r="T17" s="123"/>
      <c r="U17" s="123"/>
      <c r="V17" s="123"/>
      <c r="W17" s="123"/>
      <c r="X17" s="123"/>
      <c r="Y17" s="123"/>
      <c r="Z17" s="123"/>
      <c r="AA17" s="123"/>
      <c r="AB17" s="123"/>
      <c r="AC17" s="123"/>
      <c r="AD17" s="123"/>
      <c r="AE17" s="123"/>
      <c r="AF17" s="123"/>
      <c r="AG17" s="123"/>
      <c r="AH17" s="123"/>
      <c r="AI17" s="123"/>
      <c r="AJ17" s="123"/>
      <c r="AK17" s="123"/>
      <c r="AL17" s="123"/>
      <c r="AM17" s="123"/>
      <c r="AN17" s="123"/>
      <c r="AO17" s="123"/>
      <c r="AP17" s="123"/>
      <c r="AQ17" s="123"/>
      <c r="AR17" s="123"/>
      <c r="AS17" s="123"/>
      <c r="AT17" s="123"/>
      <c r="AU17" s="123"/>
      <c r="AV17" s="123"/>
      <c r="AW17" s="123"/>
      <c r="AX17" s="123"/>
      <c r="AY17" s="123"/>
      <c r="AZ17" s="123"/>
      <c r="BA17" s="123"/>
      <c r="BB17" s="123"/>
      <c r="BC17" s="123"/>
      <c r="BD17" s="123"/>
      <c r="BE17" s="123"/>
      <c r="BF17" s="123"/>
      <c r="BG17" s="123"/>
      <c r="BH17" s="123"/>
      <c r="BI17" s="123"/>
      <c r="BJ17" s="123"/>
      <c r="BK17" s="123"/>
      <c r="BL17" s="123"/>
      <c r="BM17" s="123"/>
      <c r="BN17" s="123"/>
      <c r="BO17" s="123"/>
      <c r="BP17" s="123"/>
      <c r="BQ17" s="123"/>
      <c r="BR17" s="123"/>
      <c r="BS17" s="123"/>
      <c r="BT17" s="123"/>
      <c r="BU17" s="123"/>
      <c r="BV17" s="123"/>
      <c r="BW17" s="123"/>
      <c r="BX17" s="123"/>
      <c r="BY17" s="123"/>
      <c r="BZ17" s="123"/>
      <c r="CA17" s="123"/>
      <c r="CB17" s="123"/>
      <c r="CC17" s="123"/>
      <c r="CD17" s="123"/>
      <c r="CE17" s="123"/>
      <c r="CF17" s="123"/>
      <c r="CG17" s="123"/>
      <c r="CH17" s="123"/>
      <c r="CI17" s="123"/>
      <c r="CJ17" s="123"/>
      <c r="CK17" s="123"/>
      <c r="CL17" s="123"/>
      <c r="CM17" s="123"/>
      <c r="CN17" s="123"/>
      <c r="CO17" s="123"/>
      <c r="CP17" s="123"/>
      <c r="CQ17" s="123"/>
      <c r="CR17" s="123"/>
      <c r="CS17" s="123"/>
      <c r="CT17" s="123"/>
      <c r="CU17" s="123"/>
      <c r="CV17" s="123"/>
      <c r="CW17" s="123"/>
      <c r="CX17" s="123"/>
      <c r="CY17" s="123"/>
      <c r="CZ17" s="123"/>
      <c r="DA17" s="123"/>
      <c r="DB17" s="123"/>
      <c r="DC17" s="123"/>
      <c r="DD17" s="123"/>
      <c r="DE17" s="123"/>
      <c r="DF17" s="123"/>
      <c r="DG17" s="123"/>
      <c r="DH17" s="123"/>
      <c r="DI17" s="123"/>
      <c r="DJ17" s="123"/>
      <c r="DK17" s="123"/>
      <c r="DL17" s="123"/>
      <c r="DM17" s="123"/>
      <c r="DN17" s="123"/>
      <c r="DO17" s="123"/>
      <c r="DP17" s="123"/>
      <c r="DQ17" s="123"/>
      <c r="DR17" s="123"/>
      <c r="DS17" s="123"/>
      <c r="DT17" s="123"/>
      <c r="DU17" s="123"/>
      <c r="DV17" s="123"/>
      <c r="DW17" s="123"/>
      <c r="DX17" s="123"/>
      <c r="DY17" s="123"/>
      <c r="DZ17" s="123"/>
      <c r="EA17" s="123"/>
      <c r="EB17" s="123"/>
      <c r="EC17" s="123"/>
      <c r="ED17" s="123"/>
      <c r="EE17" s="123"/>
      <c r="EF17" s="123"/>
      <c r="EG17" s="123"/>
      <c r="EH17" s="123"/>
      <c r="EI17" s="123"/>
      <c r="EJ17" s="123"/>
      <c r="EK17" s="123"/>
      <c r="EL17" s="123"/>
      <c r="EM17" s="123"/>
      <c r="EN17" s="123"/>
      <c r="EO17" s="123"/>
      <c r="EP17" s="123"/>
      <c r="EQ17" s="123"/>
      <c r="ER17" s="123"/>
      <c r="ES17" s="123"/>
      <c r="ET17" s="123"/>
      <c r="EU17" s="123"/>
      <c r="EV17" s="123"/>
      <c r="EW17" s="123"/>
      <c r="EX17" s="123"/>
      <c r="EY17" s="123"/>
      <c r="EZ17" s="123"/>
      <c r="FA17" s="123"/>
      <c r="FB17" s="123"/>
      <c r="FC17" s="123"/>
      <c r="FD17" s="123"/>
      <c r="FE17" s="123"/>
      <c r="FF17" s="123"/>
      <c r="FG17" s="123"/>
      <c r="FH17" s="123"/>
      <c r="FI17" s="123"/>
      <c r="FJ17" s="123"/>
      <c r="FK17" s="123"/>
      <c r="FL17" s="123"/>
      <c r="FM17" s="123"/>
      <c r="FN17" s="123"/>
      <c r="FO17" s="123"/>
      <c r="FP17" s="123"/>
      <c r="FQ17" s="123"/>
      <c r="FR17" s="123"/>
      <c r="FS17" s="123"/>
      <c r="FT17" s="123"/>
      <c r="FU17" s="123"/>
      <c r="FV17" s="123"/>
      <c r="FW17" s="123"/>
      <c r="FX17" s="123"/>
      <c r="FY17" s="123"/>
      <c r="FZ17" s="123"/>
      <c r="GA17" s="123"/>
      <c r="GB17" s="123"/>
      <c r="GC17" s="123"/>
      <c r="GD17" s="123"/>
      <c r="GE17" s="123"/>
      <c r="GF17" s="123"/>
      <c r="GG17" s="123"/>
      <c r="GH17" s="123"/>
      <c r="GI17" s="123"/>
      <c r="GJ17" s="123"/>
      <c r="GK17" s="123"/>
      <c r="GL17" s="123"/>
      <c r="GM17" s="123"/>
      <c r="GN17" s="123"/>
      <c r="GO17" s="123"/>
      <c r="GP17" s="123"/>
      <c r="GQ17" s="123"/>
      <c r="GR17" s="123"/>
      <c r="GS17" s="123"/>
      <c r="GT17" s="123"/>
      <c r="GU17" s="123"/>
      <c r="GV17" s="123"/>
      <c r="GW17" s="123"/>
      <c r="GX17" s="123"/>
      <c r="GY17" s="123"/>
      <c r="GZ17" s="123"/>
      <c r="HA17" s="123"/>
      <c r="HB17" s="123"/>
      <c r="HC17" s="123"/>
      <c r="HD17" s="123"/>
      <c r="HE17" s="123"/>
      <c r="HF17" s="123"/>
      <c r="HG17" s="123"/>
      <c r="HH17" s="123"/>
      <c r="HI17" s="123"/>
      <c r="HJ17" s="123"/>
      <c r="HK17" s="123"/>
      <c r="HL17" s="123"/>
      <c r="HM17" s="123"/>
      <c r="HN17" s="123"/>
      <c r="HO17" s="123"/>
      <c r="HP17" s="123"/>
      <c r="HQ17" s="123"/>
      <c r="HR17" s="123"/>
      <c r="HS17" s="123"/>
      <c r="HT17" s="123"/>
      <c r="HU17" s="123"/>
      <c r="HV17" s="123"/>
      <c r="HW17" s="123"/>
      <c r="HX17" s="123"/>
      <c r="HY17" s="123"/>
      <c r="HZ17" s="123"/>
      <c r="IA17" s="123"/>
      <c r="IB17" s="123"/>
      <c r="IC17" s="123"/>
      <c r="ID17" s="123"/>
      <c r="IE17" s="123"/>
      <c r="IF17" s="123"/>
      <c r="IG17" s="123"/>
      <c r="IH17" s="123"/>
      <c r="II17" s="123"/>
      <c r="IJ17" s="123"/>
      <c r="IK17" s="123"/>
      <c r="IL17" s="123"/>
      <c r="IM17" s="123"/>
      <c r="IN17" s="123"/>
      <c r="IO17" s="123"/>
      <c r="IP17" s="123"/>
      <c r="IQ17" s="123"/>
      <c r="IR17" s="123"/>
      <c r="IS17" s="123"/>
      <c r="IT17" s="123"/>
      <c r="IU17" s="123"/>
      <c r="IV17" s="123"/>
    </row>
    <row r="18" spans="1:256" ht="17.25" x14ac:dyDescent="0.35">
      <c r="A18" s="1600">
        <v>12</v>
      </c>
      <c r="B18" s="123"/>
      <c r="C18" s="1607"/>
      <c r="D18" s="1949" t="s">
        <v>1128</v>
      </c>
      <c r="E18" s="1611"/>
      <c r="F18" s="123"/>
      <c r="G18" s="2066"/>
      <c r="H18" s="123"/>
      <c r="I18" s="123"/>
      <c r="J18" s="1615"/>
      <c r="K18" s="123"/>
      <c r="L18" s="1615"/>
      <c r="M18" s="123"/>
      <c r="N18" s="123"/>
      <c r="O18" s="123"/>
      <c r="P18" s="123"/>
      <c r="Q18" s="123"/>
      <c r="R18" s="123"/>
      <c r="S18" s="123"/>
      <c r="T18" s="123"/>
      <c r="U18" s="123"/>
      <c r="V18" s="123"/>
      <c r="W18" s="123"/>
      <c r="X18" s="123"/>
      <c r="Y18" s="123"/>
      <c r="Z18" s="123"/>
      <c r="AA18" s="123"/>
      <c r="AB18" s="123"/>
      <c r="AC18" s="123"/>
      <c r="AD18" s="123"/>
      <c r="AE18" s="123"/>
      <c r="AF18" s="123"/>
      <c r="AG18" s="123"/>
      <c r="AH18" s="123"/>
      <c r="AI18" s="123"/>
      <c r="AJ18" s="123"/>
      <c r="AK18" s="123"/>
      <c r="AL18" s="123"/>
      <c r="AM18" s="123"/>
      <c r="AN18" s="123"/>
      <c r="AO18" s="123"/>
      <c r="AP18" s="123"/>
      <c r="AQ18" s="123"/>
      <c r="AR18" s="123"/>
      <c r="AS18" s="123"/>
      <c r="AT18" s="123"/>
      <c r="AU18" s="123"/>
      <c r="AV18" s="123"/>
      <c r="AW18" s="123"/>
      <c r="AX18" s="123"/>
      <c r="AY18" s="123"/>
      <c r="AZ18" s="123"/>
      <c r="BA18" s="123"/>
      <c r="BB18" s="123"/>
      <c r="BC18" s="123"/>
      <c r="BD18" s="123"/>
      <c r="BE18" s="123"/>
      <c r="BF18" s="123"/>
      <c r="BG18" s="123"/>
      <c r="BH18" s="123"/>
      <c r="BI18" s="123"/>
      <c r="BJ18" s="123"/>
      <c r="BK18" s="123"/>
      <c r="BL18" s="123"/>
      <c r="BM18" s="123"/>
      <c r="BN18" s="123"/>
      <c r="BO18" s="123"/>
      <c r="BP18" s="123"/>
      <c r="BQ18" s="123"/>
      <c r="BR18" s="123"/>
      <c r="BS18" s="123"/>
      <c r="BT18" s="123"/>
      <c r="BU18" s="123"/>
      <c r="BV18" s="123"/>
      <c r="BW18" s="123"/>
      <c r="BX18" s="123"/>
      <c r="BY18" s="123"/>
      <c r="BZ18" s="123"/>
      <c r="CA18" s="123"/>
      <c r="CB18" s="123"/>
      <c r="CC18" s="123"/>
      <c r="CD18" s="123"/>
      <c r="CE18" s="123"/>
      <c r="CF18" s="123"/>
      <c r="CG18" s="123"/>
      <c r="CH18" s="123"/>
      <c r="CI18" s="123"/>
      <c r="CJ18" s="123"/>
      <c r="CK18" s="123"/>
      <c r="CL18" s="123"/>
      <c r="CM18" s="123"/>
      <c r="CN18" s="123"/>
      <c r="CO18" s="123"/>
      <c r="CP18" s="123"/>
      <c r="CQ18" s="123"/>
      <c r="CR18" s="123"/>
      <c r="CS18" s="123"/>
      <c r="CT18" s="123"/>
      <c r="CU18" s="123"/>
      <c r="CV18" s="123"/>
      <c r="CW18" s="123"/>
      <c r="CX18" s="123"/>
      <c r="CY18" s="123"/>
      <c r="CZ18" s="123"/>
      <c r="DA18" s="123"/>
      <c r="DB18" s="123"/>
      <c r="DC18" s="123"/>
      <c r="DD18" s="123"/>
      <c r="DE18" s="123"/>
      <c r="DF18" s="123"/>
      <c r="DG18" s="123"/>
      <c r="DH18" s="123"/>
      <c r="DI18" s="123"/>
      <c r="DJ18" s="123"/>
      <c r="DK18" s="123"/>
      <c r="DL18" s="123"/>
      <c r="DM18" s="123"/>
      <c r="DN18" s="123"/>
      <c r="DO18" s="123"/>
      <c r="DP18" s="123"/>
      <c r="DQ18" s="123"/>
      <c r="DR18" s="123"/>
      <c r="DS18" s="123"/>
      <c r="DT18" s="123"/>
      <c r="DU18" s="123"/>
      <c r="DV18" s="123"/>
      <c r="DW18" s="123"/>
      <c r="DX18" s="123"/>
      <c r="DY18" s="123"/>
      <c r="DZ18" s="123"/>
      <c r="EA18" s="123"/>
      <c r="EB18" s="123"/>
      <c r="EC18" s="123"/>
      <c r="ED18" s="123"/>
      <c r="EE18" s="123"/>
      <c r="EF18" s="123"/>
      <c r="EG18" s="123"/>
      <c r="EH18" s="123"/>
      <c r="EI18" s="123"/>
      <c r="EJ18" s="123"/>
      <c r="EK18" s="123"/>
      <c r="EL18" s="123"/>
      <c r="EM18" s="123"/>
      <c r="EN18" s="123"/>
      <c r="EO18" s="123"/>
      <c r="EP18" s="123"/>
      <c r="EQ18" s="123"/>
      <c r="ER18" s="123"/>
      <c r="ES18" s="123"/>
      <c r="ET18" s="123"/>
      <c r="EU18" s="123"/>
      <c r="EV18" s="123"/>
      <c r="EW18" s="123"/>
      <c r="EX18" s="123"/>
      <c r="EY18" s="123"/>
      <c r="EZ18" s="123"/>
      <c r="FA18" s="123"/>
      <c r="FB18" s="123"/>
      <c r="FC18" s="123"/>
      <c r="FD18" s="123"/>
      <c r="FE18" s="123"/>
      <c r="FF18" s="123"/>
      <c r="FG18" s="123"/>
      <c r="FH18" s="123"/>
      <c r="FI18" s="123"/>
      <c r="FJ18" s="123"/>
      <c r="FK18" s="123"/>
      <c r="FL18" s="123"/>
      <c r="FM18" s="123"/>
      <c r="FN18" s="123"/>
      <c r="FO18" s="123"/>
      <c r="FP18" s="123"/>
      <c r="FQ18" s="123"/>
      <c r="FR18" s="123"/>
      <c r="FS18" s="123"/>
      <c r="FT18" s="123"/>
      <c r="FU18" s="123"/>
      <c r="FV18" s="123"/>
      <c r="FW18" s="123"/>
      <c r="FX18" s="123"/>
      <c r="FY18" s="123"/>
      <c r="FZ18" s="123"/>
      <c r="GA18" s="123"/>
      <c r="GB18" s="123"/>
      <c r="GC18" s="123"/>
      <c r="GD18" s="123"/>
      <c r="GE18" s="123"/>
      <c r="GF18" s="123"/>
      <c r="GG18" s="123"/>
      <c r="GH18" s="123"/>
      <c r="GI18" s="123"/>
      <c r="GJ18" s="123"/>
      <c r="GK18" s="123"/>
      <c r="GL18" s="123"/>
      <c r="GM18" s="123"/>
      <c r="GN18" s="123"/>
      <c r="GO18" s="123"/>
      <c r="GP18" s="123"/>
      <c r="GQ18" s="123"/>
      <c r="GR18" s="123"/>
      <c r="GS18" s="123"/>
      <c r="GT18" s="123"/>
      <c r="GU18" s="123"/>
      <c r="GV18" s="123"/>
      <c r="GW18" s="123"/>
      <c r="GX18" s="123"/>
      <c r="GY18" s="123"/>
      <c r="GZ18" s="123"/>
      <c r="HA18" s="123"/>
      <c r="HB18" s="123"/>
      <c r="HC18" s="123"/>
      <c r="HD18" s="123"/>
      <c r="HE18" s="123"/>
      <c r="HF18" s="123"/>
      <c r="HG18" s="123"/>
      <c r="HH18" s="123"/>
      <c r="HI18" s="123"/>
      <c r="HJ18" s="123"/>
      <c r="HK18" s="123"/>
      <c r="HL18" s="123"/>
      <c r="HM18" s="123"/>
      <c r="HN18" s="123"/>
      <c r="HO18" s="123"/>
      <c r="HP18" s="123"/>
      <c r="HQ18" s="123"/>
      <c r="HR18" s="123"/>
      <c r="HS18" s="123"/>
      <c r="HT18" s="123"/>
      <c r="HU18" s="123"/>
      <c r="HV18" s="123"/>
      <c r="HW18" s="123"/>
      <c r="HX18" s="123"/>
      <c r="HY18" s="123"/>
      <c r="HZ18" s="123"/>
      <c r="IA18" s="123"/>
      <c r="IB18" s="123"/>
      <c r="IC18" s="123"/>
      <c r="ID18" s="123"/>
      <c r="IE18" s="123"/>
      <c r="IF18" s="123"/>
      <c r="IG18" s="123"/>
      <c r="IH18" s="123"/>
      <c r="II18" s="123"/>
      <c r="IJ18" s="123"/>
      <c r="IK18" s="123"/>
      <c r="IL18" s="123"/>
      <c r="IM18" s="123"/>
      <c r="IN18" s="123"/>
      <c r="IO18" s="123"/>
      <c r="IP18" s="123"/>
      <c r="IQ18" s="123"/>
      <c r="IR18" s="123"/>
      <c r="IS18" s="123"/>
      <c r="IT18" s="123"/>
      <c r="IU18" s="123"/>
      <c r="IV18" s="123"/>
    </row>
    <row r="19" spans="1:256" ht="18" customHeight="1" x14ac:dyDescent="0.3">
      <c r="A19" s="1600">
        <v>13</v>
      </c>
      <c r="B19" s="123"/>
      <c r="C19" s="1607"/>
      <c r="D19" s="1617" t="s">
        <v>1287</v>
      </c>
      <c r="E19" s="1612">
        <v>-18903</v>
      </c>
      <c r="F19" s="2089"/>
      <c r="G19" s="2094"/>
      <c r="H19" s="2089"/>
      <c r="I19" s="2085"/>
      <c r="J19" s="2095"/>
      <c r="K19" s="123"/>
      <c r="L19" s="1615"/>
      <c r="M19" s="123"/>
      <c r="N19" s="123"/>
      <c r="O19" s="123"/>
      <c r="P19" s="123"/>
      <c r="Q19" s="123"/>
      <c r="R19" s="123"/>
      <c r="S19" s="123"/>
      <c r="T19" s="123"/>
      <c r="U19" s="123"/>
      <c r="V19" s="123"/>
      <c r="W19" s="123"/>
      <c r="X19" s="123"/>
      <c r="Y19" s="123"/>
      <c r="Z19" s="123"/>
      <c r="AA19" s="123"/>
      <c r="AB19" s="123"/>
      <c r="AC19" s="123"/>
      <c r="AD19" s="123"/>
      <c r="AE19" s="123"/>
      <c r="AF19" s="123"/>
      <c r="AG19" s="123"/>
      <c r="AH19" s="123"/>
      <c r="AI19" s="123"/>
      <c r="AJ19" s="123"/>
      <c r="AK19" s="123"/>
      <c r="AL19" s="123"/>
      <c r="AM19" s="123"/>
      <c r="AN19" s="123"/>
      <c r="AO19" s="123"/>
      <c r="AP19" s="123"/>
      <c r="AQ19" s="123"/>
      <c r="AR19" s="123"/>
      <c r="AS19" s="123"/>
      <c r="AT19" s="123"/>
      <c r="AU19" s="123"/>
      <c r="AV19" s="123"/>
      <c r="AW19" s="123"/>
      <c r="AX19" s="123"/>
      <c r="AY19" s="123"/>
      <c r="AZ19" s="123"/>
      <c r="BA19" s="123"/>
      <c r="BB19" s="123"/>
      <c r="BC19" s="123"/>
      <c r="BD19" s="123"/>
      <c r="BE19" s="123"/>
      <c r="BF19" s="123"/>
      <c r="BG19" s="123"/>
      <c r="BH19" s="123"/>
      <c r="BI19" s="123"/>
      <c r="BJ19" s="123"/>
      <c r="BK19" s="123"/>
      <c r="BL19" s="123"/>
      <c r="BM19" s="123"/>
      <c r="BN19" s="123"/>
      <c r="BO19" s="123"/>
      <c r="BP19" s="123"/>
      <c r="BQ19" s="123"/>
      <c r="BR19" s="123"/>
      <c r="BS19" s="123"/>
      <c r="BT19" s="123"/>
      <c r="BU19" s="123"/>
      <c r="BV19" s="123"/>
      <c r="BW19" s="123"/>
      <c r="BX19" s="123"/>
      <c r="BY19" s="123"/>
      <c r="BZ19" s="123"/>
      <c r="CA19" s="123"/>
      <c r="CB19" s="123"/>
      <c r="CC19" s="123"/>
      <c r="CD19" s="123"/>
      <c r="CE19" s="123"/>
      <c r="CF19" s="123"/>
      <c r="CG19" s="123"/>
      <c r="CH19" s="123"/>
      <c r="CI19" s="123"/>
      <c r="CJ19" s="123"/>
      <c r="CK19" s="123"/>
      <c r="CL19" s="123"/>
      <c r="CM19" s="123"/>
      <c r="CN19" s="123"/>
      <c r="CO19" s="123"/>
      <c r="CP19" s="123"/>
      <c r="CQ19" s="123"/>
      <c r="CR19" s="123"/>
      <c r="CS19" s="123"/>
      <c r="CT19" s="123"/>
      <c r="CU19" s="123"/>
      <c r="CV19" s="123"/>
      <c r="CW19" s="123"/>
      <c r="CX19" s="123"/>
      <c r="CY19" s="123"/>
      <c r="CZ19" s="123"/>
      <c r="DA19" s="123"/>
      <c r="DB19" s="123"/>
      <c r="DC19" s="123"/>
      <c r="DD19" s="123"/>
      <c r="DE19" s="123"/>
      <c r="DF19" s="123"/>
      <c r="DG19" s="123"/>
      <c r="DH19" s="123"/>
      <c r="DI19" s="123"/>
      <c r="DJ19" s="123"/>
      <c r="DK19" s="123"/>
      <c r="DL19" s="123"/>
      <c r="DM19" s="123"/>
      <c r="DN19" s="123"/>
      <c r="DO19" s="123"/>
      <c r="DP19" s="123"/>
      <c r="DQ19" s="123"/>
      <c r="DR19" s="123"/>
      <c r="DS19" s="123"/>
      <c r="DT19" s="123"/>
      <c r="DU19" s="123"/>
      <c r="DV19" s="123"/>
      <c r="DW19" s="123"/>
      <c r="DX19" s="123"/>
      <c r="DY19" s="123"/>
      <c r="DZ19" s="123"/>
      <c r="EA19" s="123"/>
      <c r="EB19" s="123"/>
      <c r="EC19" s="123"/>
      <c r="ED19" s="123"/>
      <c r="EE19" s="123"/>
      <c r="EF19" s="123"/>
      <c r="EG19" s="123"/>
      <c r="EH19" s="123"/>
      <c r="EI19" s="123"/>
      <c r="EJ19" s="123"/>
      <c r="EK19" s="123"/>
      <c r="EL19" s="123"/>
      <c r="EM19" s="123"/>
      <c r="EN19" s="123"/>
      <c r="EO19" s="123"/>
      <c r="EP19" s="123"/>
      <c r="EQ19" s="123"/>
      <c r="ER19" s="123"/>
      <c r="ES19" s="123"/>
      <c r="ET19" s="123"/>
      <c r="EU19" s="123"/>
      <c r="EV19" s="123"/>
      <c r="EW19" s="123"/>
      <c r="EX19" s="123"/>
      <c r="EY19" s="123"/>
      <c r="EZ19" s="123"/>
      <c r="FA19" s="123"/>
      <c r="FB19" s="123"/>
      <c r="FC19" s="123"/>
      <c r="FD19" s="123"/>
      <c r="FE19" s="123"/>
      <c r="FF19" s="123"/>
      <c r="FG19" s="123"/>
      <c r="FH19" s="123"/>
      <c r="FI19" s="123"/>
      <c r="FJ19" s="123"/>
      <c r="FK19" s="123"/>
      <c r="FL19" s="123"/>
      <c r="FM19" s="123"/>
      <c r="FN19" s="123"/>
      <c r="FO19" s="123"/>
      <c r="FP19" s="123"/>
      <c r="FQ19" s="123"/>
      <c r="FR19" s="123"/>
      <c r="FS19" s="123"/>
      <c r="FT19" s="123"/>
      <c r="FU19" s="123"/>
      <c r="FV19" s="123"/>
      <c r="FW19" s="123"/>
      <c r="FX19" s="123"/>
      <c r="FY19" s="123"/>
      <c r="FZ19" s="123"/>
      <c r="GA19" s="123"/>
      <c r="GB19" s="123"/>
      <c r="GC19" s="123"/>
      <c r="GD19" s="123"/>
      <c r="GE19" s="123"/>
      <c r="GF19" s="123"/>
      <c r="GG19" s="123"/>
      <c r="GH19" s="123"/>
      <c r="GI19" s="123"/>
      <c r="GJ19" s="123"/>
      <c r="GK19" s="123"/>
      <c r="GL19" s="123"/>
      <c r="GM19" s="123"/>
      <c r="GN19" s="123"/>
      <c r="GO19" s="123"/>
      <c r="GP19" s="123"/>
      <c r="GQ19" s="123"/>
      <c r="GR19" s="123"/>
      <c r="GS19" s="123"/>
      <c r="GT19" s="123"/>
      <c r="GU19" s="123"/>
      <c r="GV19" s="123"/>
      <c r="GW19" s="123"/>
      <c r="GX19" s="123"/>
      <c r="GY19" s="123"/>
      <c r="GZ19" s="123"/>
      <c r="HA19" s="123"/>
      <c r="HB19" s="123"/>
      <c r="HC19" s="123"/>
      <c r="HD19" s="123"/>
      <c r="HE19" s="123"/>
      <c r="HF19" s="123"/>
      <c r="HG19" s="123"/>
      <c r="HH19" s="123"/>
      <c r="HI19" s="123"/>
      <c r="HJ19" s="123"/>
      <c r="HK19" s="123"/>
      <c r="HL19" s="123"/>
      <c r="HM19" s="123"/>
      <c r="HN19" s="123"/>
      <c r="HO19" s="123"/>
      <c r="HP19" s="123"/>
      <c r="HQ19" s="123"/>
      <c r="HR19" s="123"/>
      <c r="HS19" s="123"/>
      <c r="HT19" s="123"/>
      <c r="HU19" s="123"/>
      <c r="HV19" s="123"/>
      <c r="HW19" s="123"/>
      <c r="HX19" s="123"/>
      <c r="HY19" s="123"/>
      <c r="HZ19" s="123"/>
      <c r="IA19" s="123"/>
      <c r="IB19" s="123"/>
      <c r="IC19" s="123"/>
      <c r="ID19" s="123"/>
      <c r="IE19" s="123"/>
      <c r="IF19" s="123"/>
      <c r="IG19" s="123"/>
      <c r="IH19" s="123"/>
      <c r="II19" s="123"/>
      <c r="IJ19" s="123"/>
      <c r="IK19" s="123"/>
      <c r="IL19" s="123"/>
      <c r="IM19" s="123"/>
      <c r="IN19" s="123"/>
      <c r="IO19" s="123"/>
      <c r="IP19" s="123"/>
      <c r="IQ19" s="123"/>
      <c r="IR19" s="123"/>
      <c r="IS19" s="123"/>
      <c r="IT19" s="123"/>
      <c r="IU19" s="123"/>
      <c r="IV19" s="123"/>
    </row>
    <row r="20" spans="1:256" ht="17.25" x14ac:dyDescent="0.3">
      <c r="A20" s="1600">
        <v>14</v>
      </c>
      <c r="B20" s="125"/>
      <c r="D20" s="1623" t="s">
        <v>129</v>
      </c>
      <c r="E20" s="1618">
        <f>SUM(E16:E19)</f>
        <v>34733</v>
      </c>
      <c r="F20" s="1619"/>
      <c r="G20" s="2066"/>
      <c r="H20" s="1619"/>
      <c r="I20" s="125"/>
      <c r="J20" s="1616"/>
      <c r="K20" s="125"/>
      <c r="L20" s="1616"/>
      <c r="M20" s="125"/>
      <c r="N20" s="125"/>
      <c r="O20" s="125"/>
      <c r="P20" s="125"/>
      <c r="Q20" s="125"/>
      <c r="R20" s="125"/>
      <c r="S20" s="125"/>
      <c r="T20" s="125"/>
      <c r="U20" s="125"/>
      <c r="V20" s="125"/>
      <c r="W20" s="125"/>
      <c r="X20" s="125"/>
      <c r="Y20" s="125"/>
      <c r="Z20" s="125"/>
      <c r="AA20" s="125"/>
      <c r="AB20" s="125"/>
      <c r="AC20" s="125"/>
      <c r="AD20" s="125"/>
      <c r="AE20" s="125"/>
      <c r="AF20" s="125"/>
      <c r="AG20" s="125"/>
      <c r="AH20" s="125"/>
      <c r="AI20" s="125"/>
      <c r="AJ20" s="125"/>
      <c r="AK20" s="125"/>
      <c r="AL20" s="125"/>
      <c r="AM20" s="125"/>
      <c r="AN20" s="125"/>
      <c r="AO20" s="125"/>
      <c r="AP20" s="125"/>
      <c r="AQ20" s="125"/>
      <c r="AR20" s="125"/>
      <c r="AS20" s="125"/>
      <c r="AT20" s="125"/>
      <c r="AU20" s="125"/>
      <c r="AV20" s="125"/>
      <c r="AW20" s="125"/>
      <c r="AX20" s="125"/>
      <c r="AY20" s="125"/>
      <c r="AZ20" s="125"/>
      <c r="BA20" s="125"/>
      <c r="BB20" s="125"/>
      <c r="BC20" s="125"/>
      <c r="BD20" s="125"/>
      <c r="BE20" s="125"/>
      <c r="BF20" s="125"/>
      <c r="BG20" s="125"/>
      <c r="BH20" s="125"/>
      <c r="BI20" s="125"/>
      <c r="BJ20" s="125"/>
      <c r="BK20" s="125"/>
      <c r="BL20" s="125"/>
      <c r="BM20" s="125"/>
      <c r="BN20" s="125"/>
      <c r="BO20" s="125"/>
      <c r="BP20" s="125"/>
      <c r="BQ20" s="125"/>
      <c r="BR20" s="125"/>
      <c r="BS20" s="125"/>
      <c r="BT20" s="125"/>
      <c r="BU20" s="125"/>
      <c r="BV20" s="125"/>
      <c r="BW20" s="125"/>
      <c r="BX20" s="125"/>
      <c r="BY20" s="125"/>
      <c r="BZ20" s="125"/>
      <c r="CA20" s="125"/>
      <c r="CB20" s="125"/>
      <c r="CC20" s="125"/>
      <c r="CD20" s="125"/>
      <c r="CE20" s="125"/>
      <c r="CF20" s="125"/>
      <c r="CG20" s="125"/>
      <c r="CH20" s="125"/>
      <c r="CI20" s="125"/>
      <c r="CJ20" s="125"/>
      <c r="CK20" s="125"/>
      <c r="CL20" s="125"/>
      <c r="CM20" s="125"/>
      <c r="CN20" s="125"/>
      <c r="CO20" s="125"/>
      <c r="CP20" s="125"/>
      <c r="CQ20" s="125"/>
      <c r="CR20" s="125"/>
      <c r="CS20" s="125"/>
      <c r="CT20" s="125"/>
      <c r="CU20" s="125"/>
      <c r="CV20" s="125"/>
      <c r="CW20" s="125"/>
      <c r="CX20" s="125"/>
      <c r="CY20" s="125"/>
      <c r="CZ20" s="125"/>
      <c r="DA20" s="125"/>
      <c r="DB20" s="125"/>
      <c r="DC20" s="125"/>
      <c r="DD20" s="125"/>
      <c r="DE20" s="125"/>
      <c r="DF20" s="125"/>
      <c r="DG20" s="125"/>
      <c r="DH20" s="125"/>
      <c r="DI20" s="125"/>
      <c r="DJ20" s="125"/>
      <c r="DK20" s="125"/>
      <c r="DL20" s="125"/>
      <c r="DM20" s="125"/>
      <c r="DN20" s="125"/>
      <c r="DO20" s="125"/>
      <c r="DP20" s="125"/>
      <c r="DQ20" s="125"/>
      <c r="DR20" s="125"/>
      <c r="DS20" s="125"/>
      <c r="DT20" s="125"/>
      <c r="DU20" s="125"/>
      <c r="DV20" s="125"/>
      <c r="DW20" s="125"/>
      <c r="DX20" s="125"/>
      <c r="DY20" s="125"/>
      <c r="DZ20" s="125"/>
      <c r="EA20" s="125"/>
      <c r="EB20" s="125"/>
      <c r="EC20" s="125"/>
      <c r="ED20" s="125"/>
      <c r="EE20" s="125"/>
      <c r="EF20" s="125"/>
      <c r="EG20" s="125"/>
      <c r="EH20" s="125"/>
      <c r="EI20" s="125"/>
      <c r="EJ20" s="125"/>
      <c r="EK20" s="125"/>
      <c r="EL20" s="125"/>
      <c r="EM20" s="125"/>
      <c r="EN20" s="125"/>
      <c r="EO20" s="125"/>
      <c r="EP20" s="125"/>
      <c r="EQ20" s="125"/>
      <c r="ER20" s="125"/>
      <c r="ES20" s="125"/>
      <c r="ET20" s="125"/>
      <c r="EU20" s="125"/>
      <c r="EV20" s="125"/>
      <c r="EW20" s="125"/>
      <c r="EX20" s="125"/>
      <c r="EY20" s="125"/>
      <c r="EZ20" s="125"/>
      <c r="FA20" s="125"/>
      <c r="FB20" s="125"/>
      <c r="FC20" s="125"/>
      <c r="FD20" s="125"/>
      <c r="FE20" s="125"/>
      <c r="FF20" s="125"/>
      <c r="FG20" s="125"/>
      <c r="FH20" s="125"/>
      <c r="FI20" s="125"/>
      <c r="FJ20" s="125"/>
      <c r="FK20" s="125"/>
      <c r="FL20" s="125"/>
      <c r="FM20" s="125"/>
      <c r="FN20" s="125"/>
      <c r="FO20" s="125"/>
      <c r="FP20" s="125"/>
      <c r="FQ20" s="125"/>
      <c r="FR20" s="125"/>
      <c r="FS20" s="125"/>
      <c r="FT20" s="125"/>
      <c r="FU20" s="125"/>
      <c r="FV20" s="125"/>
      <c r="FW20" s="125"/>
      <c r="FX20" s="125"/>
      <c r="FY20" s="125"/>
      <c r="FZ20" s="125"/>
      <c r="GA20" s="125"/>
      <c r="GB20" s="125"/>
      <c r="GC20" s="125"/>
      <c r="GD20" s="125"/>
      <c r="GE20" s="125"/>
      <c r="GF20" s="125"/>
      <c r="GG20" s="125"/>
      <c r="GH20" s="125"/>
      <c r="GI20" s="125"/>
      <c r="GJ20" s="125"/>
      <c r="GK20" s="125"/>
      <c r="GL20" s="125"/>
      <c r="GM20" s="125"/>
      <c r="GN20" s="125"/>
      <c r="GO20" s="125"/>
      <c r="GP20" s="125"/>
      <c r="GQ20" s="125"/>
      <c r="GR20" s="125"/>
      <c r="GS20" s="125"/>
      <c r="GT20" s="125"/>
      <c r="GU20" s="125"/>
      <c r="GV20" s="125"/>
      <c r="GW20" s="125"/>
      <c r="GX20" s="125"/>
      <c r="GY20" s="125"/>
      <c r="GZ20" s="125"/>
      <c r="HA20" s="125"/>
      <c r="HB20" s="125"/>
      <c r="HC20" s="125"/>
      <c r="HD20" s="125"/>
      <c r="HE20" s="125"/>
      <c r="HF20" s="125"/>
      <c r="HG20" s="125"/>
      <c r="HH20" s="125"/>
      <c r="HI20" s="125"/>
      <c r="HJ20" s="125"/>
      <c r="HK20" s="125"/>
      <c r="HL20" s="125"/>
      <c r="HM20" s="125"/>
      <c r="HN20" s="125"/>
      <c r="HO20" s="125"/>
      <c r="HP20" s="125"/>
      <c r="HQ20" s="125"/>
      <c r="HR20" s="125"/>
      <c r="HS20" s="125"/>
      <c r="HT20" s="125"/>
      <c r="HU20" s="125"/>
      <c r="HV20" s="125"/>
      <c r="HW20" s="125"/>
      <c r="HX20" s="125"/>
      <c r="HY20" s="125"/>
      <c r="HZ20" s="125"/>
      <c r="IA20" s="125"/>
      <c r="IB20" s="125"/>
      <c r="IC20" s="125"/>
      <c r="ID20" s="125"/>
      <c r="IE20" s="125"/>
      <c r="IF20" s="125"/>
      <c r="IG20" s="125"/>
      <c r="IH20" s="125"/>
      <c r="II20" s="125"/>
      <c r="IJ20" s="125"/>
      <c r="IK20" s="125"/>
      <c r="IL20" s="125"/>
      <c r="IM20" s="125"/>
      <c r="IN20" s="125"/>
      <c r="IO20" s="125"/>
      <c r="IP20" s="125"/>
      <c r="IQ20" s="125"/>
      <c r="IR20" s="125"/>
      <c r="IS20" s="125"/>
      <c r="IT20" s="125"/>
      <c r="IU20" s="125"/>
      <c r="IV20" s="125"/>
    </row>
    <row r="21" spans="1:256" ht="24.95" customHeight="1" x14ac:dyDescent="0.35">
      <c r="A21" s="1600">
        <v>15</v>
      </c>
      <c r="B21" s="123"/>
      <c r="C21" s="1607" t="s">
        <v>138</v>
      </c>
      <c r="D21" s="1614" t="s">
        <v>954</v>
      </c>
      <c r="E21" s="1609"/>
      <c r="F21" s="123"/>
      <c r="G21" s="2066"/>
      <c r="H21" s="123"/>
      <c r="I21" s="123"/>
      <c r="J21" s="1615"/>
      <c r="K21" s="123"/>
      <c r="L21" s="1615"/>
      <c r="M21" s="123"/>
      <c r="N21" s="123"/>
      <c r="O21" s="123"/>
      <c r="P21" s="123"/>
      <c r="Q21" s="123"/>
      <c r="R21" s="123"/>
      <c r="S21" s="123"/>
      <c r="T21" s="123"/>
      <c r="U21" s="123"/>
      <c r="V21" s="123"/>
      <c r="W21" s="123"/>
      <c r="X21" s="123"/>
      <c r="Y21" s="123"/>
      <c r="Z21" s="123"/>
      <c r="AA21" s="123"/>
      <c r="AB21" s="123"/>
      <c r="AC21" s="123"/>
      <c r="AD21" s="123"/>
      <c r="AE21" s="123"/>
      <c r="AF21" s="123"/>
      <c r="AG21" s="123"/>
      <c r="AH21" s="123"/>
      <c r="AI21" s="123"/>
      <c r="AJ21" s="123"/>
      <c r="AK21" s="123"/>
      <c r="AL21" s="123"/>
      <c r="AM21" s="123"/>
      <c r="AN21" s="123"/>
      <c r="AO21" s="123"/>
      <c r="AP21" s="123"/>
      <c r="AQ21" s="123"/>
      <c r="AR21" s="123"/>
      <c r="AS21" s="123"/>
      <c r="AT21" s="123"/>
      <c r="AU21" s="123"/>
      <c r="AV21" s="123"/>
      <c r="AW21" s="123"/>
      <c r="AX21" s="123"/>
      <c r="AY21" s="123"/>
      <c r="AZ21" s="123"/>
      <c r="BA21" s="123"/>
      <c r="BB21" s="123"/>
      <c r="BC21" s="123"/>
      <c r="BD21" s="123"/>
      <c r="BE21" s="123"/>
      <c r="BF21" s="123"/>
      <c r="BG21" s="123"/>
      <c r="BH21" s="123"/>
      <c r="BI21" s="123"/>
      <c r="BJ21" s="123"/>
      <c r="BK21" s="123"/>
      <c r="BL21" s="123"/>
      <c r="BM21" s="123"/>
      <c r="BN21" s="123"/>
      <c r="BO21" s="123"/>
      <c r="BP21" s="123"/>
      <c r="BQ21" s="123"/>
      <c r="BR21" s="123"/>
      <c r="BS21" s="123"/>
      <c r="BT21" s="123"/>
      <c r="BU21" s="123"/>
      <c r="BV21" s="123"/>
      <c r="BW21" s="123"/>
      <c r="BX21" s="123"/>
      <c r="BY21" s="123"/>
      <c r="BZ21" s="123"/>
      <c r="CA21" s="123"/>
      <c r="CB21" s="123"/>
      <c r="CC21" s="123"/>
      <c r="CD21" s="123"/>
      <c r="CE21" s="123"/>
      <c r="CF21" s="123"/>
      <c r="CG21" s="123"/>
      <c r="CH21" s="123"/>
      <c r="CI21" s="123"/>
      <c r="CJ21" s="123"/>
      <c r="CK21" s="123"/>
      <c r="CL21" s="123"/>
      <c r="CM21" s="123"/>
      <c r="CN21" s="123"/>
      <c r="CO21" s="123"/>
      <c r="CP21" s="123"/>
      <c r="CQ21" s="123"/>
      <c r="CR21" s="123"/>
      <c r="CS21" s="123"/>
      <c r="CT21" s="123"/>
      <c r="CU21" s="123"/>
      <c r="CV21" s="123"/>
      <c r="CW21" s="123"/>
      <c r="CX21" s="123"/>
      <c r="CY21" s="123"/>
      <c r="CZ21" s="123"/>
      <c r="DA21" s="123"/>
      <c r="DB21" s="123"/>
      <c r="DC21" s="123"/>
      <c r="DD21" s="123"/>
      <c r="DE21" s="123"/>
      <c r="DF21" s="123"/>
      <c r="DG21" s="123"/>
      <c r="DH21" s="123"/>
      <c r="DI21" s="123"/>
      <c r="DJ21" s="123"/>
      <c r="DK21" s="123"/>
      <c r="DL21" s="123"/>
      <c r="DM21" s="123"/>
      <c r="DN21" s="123"/>
      <c r="DO21" s="123"/>
      <c r="DP21" s="123"/>
      <c r="DQ21" s="123"/>
      <c r="DR21" s="123"/>
      <c r="DS21" s="123"/>
      <c r="DT21" s="123"/>
      <c r="DU21" s="123"/>
      <c r="DV21" s="123"/>
      <c r="DW21" s="123"/>
      <c r="DX21" s="123"/>
      <c r="DY21" s="123"/>
      <c r="DZ21" s="123"/>
      <c r="EA21" s="123"/>
      <c r="EB21" s="123"/>
      <c r="EC21" s="123"/>
      <c r="ED21" s="123"/>
      <c r="EE21" s="123"/>
      <c r="EF21" s="123"/>
      <c r="EG21" s="123"/>
      <c r="EH21" s="123"/>
      <c r="EI21" s="123"/>
      <c r="EJ21" s="123"/>
      <c r="EK21" s="123"/>
      <c r="EL21" s="123"/>
      <c r="EM21" s="123"/>
      <c r="EN21" s="123"/>
      <c r="EO21" s="123"/>
      <c r="EP21" s="123"/>
      <c r="EQ21" s="123"/>
      <c r="ER21" s="123"/>
      <c r="ES21" s="123"/>
      <c r="ET21" s="123"/>
      <c r="EU21" s="123"/>
      <c r="EV21" s="123"/>
      <c r="EW21" s="123"/>
      <c r="EX21" s="123"/>
      <c r="EY21" s="123"/>
      <c r="EZ21" s="123"/>
      <c r="FA21" s="123"/>
      <c r="FB21" s="123"/>
      <c r="FC21" s="123"/>
      <c r="FD21" s="123"/>
      <c r="FE21" s="123"/>
      <c r="FF21" s="123"/>
      <c r="FG21" s="123"/>
      <c r="FH21" s="123"/>
      <c r="FI21" s="123"/>
      <c r="FJ21" s="123"/>
      <c r="FK21" s="123"/>
      <c r="FL21" s="123"/>
      <c r="FM21" s="123"/>
      <c r="FN21" s="123"/>
      <c r="FO21" s="123"/>
      <c r="FP21" s="123"/>
      <c r="FQ21" s="123"/>
      <c r="FR21" s="123"/>
      <c r="FS21" s="123"/>
      <c r="FT21" s="123"/>
      <c r="FU21" s="123"/>
      <c r="FV21" s="123"/>
      <c r="FW21" s="123"/>
      <c r="FX21" s="123"/>
      <c r="FY21" s="123"/>
      <c r="FZ21" s="123"/>
      <c r="GA21" s="123"/>
      <c r="GB21" s="123"/>
      <c r="GC21" s="123"/>
      <c r="GD21" s="123"/>
      <c r="GE21" s="123"/>
      <c r="GF21" s="123"/>
      <c r="GG21" s="123"/>
      <c r="GH21" s="123"/>
      <c r="GI21" s="123"/>
      <c r="GJ21" s="123"/>
      <c r="GK21" s="123"/>
      <c r="GL21" s="123"/>
      <c r="GM21" s="123"/>
      <c r="GN21" s="123"/>
      <c r="GO21" s="123"/>
      <c r="GP21" s="123"/>
      <c r="GQ21" s="123"/>
      <c r="GR21" s="123"/>
      <c r="GS21" s="123"/>
      <c r="GT21" s="123"/>
      <c r="GU21" s="123"/>
      <c r="GV21" s="123"/>
      <c r="GW21" s="123"/>
      <c r="GX21" s="123"/>
      <c r="GY21" s="123"/>
      <c r="GZ21" s="123"/>
      <c r="HA21" s="123"/>
      <c r="HB21" s="123"/>
      <c r="HC21" s="123"/>
      <c r="HD21" s="123"/>
      <c r="HE21" s="123"/>
      <c r="HF21" s="123"/>
      <c r="HG21" s="123"/>
      <c r="HH21" s="123"/>
      <c r="HI21" s="123"/>
      <c r="HJ21" s="123"/>
      <c r="HK21" s="123"/>
      <c r="HL21" s="123"/>
      <c r="HM21" s="123"/>
      <c r="HN21" s="123"/>
      <c r="HO21" s="123"/>
      <c r="HP21" s="123"/>
      <c r="HQ21" s="123"/>
      <c r="HR21" s="123"/>
      <c r="HS21" s="123"/>
      <c r="HT21" s="123"/>
      <c r="HU21" s="123"/>
      <c r="HV21" s="123"/>
      <c r="HW21" s="123"/>
      <c r="HX21" s="123"/>
      <c r="HY21" s="123"/>
      <c r="HZ21" s="123"/>
      <c r="IA21" s="123"/>
      <c r="IB21" s="123"/>
      <c r="IC21" s="123"/>
      <c r="ID21" s="123"/>
      <c r="IE21" s="123"/>
      <c r="IF21" s="123"/>
      <c r="IG21" s="123"/>
      <c r="IH21" s="123"/>
      <c r="II21" s="123"/>
      <c r="IJ21" s="123"/>
      <c r="IK21" s="123"/>
      <c r="IL21" s="123"/>
      <c r="IM21" s="123"/>
      <c r="IN21" s="123"/>
      <c r="IO21" s="123"/>
      <c r="IP21" s="123"/>
      <c r="IQ21" s="123"/>
      <c r="IR21" s="123"/>
      <c r="IS21" s="123"/>
      <c r="IT21" s="123"/>
      <c r="IU21" s="123"/>
      <c r="IV21" s="123"/>
    </row>
    <row r="22" spans="1:256" ht="18" customHeight="1" x14ac:dyDescent="0.3">
      <c r="A22" s="1600">
        <v>16</v>
      </c>
      <c r="B22" s="123"/>
      <c r="C22" s="1607"/>
      <c r="D22" s="1617" t="s">
        <v>1308</v>
      </c>
      <c r="E22" s="1615">
        <v>5963</v>
      </c>
      <c r="F22" s="123"/>
      <c r="G22" s="2066"/>
      <c r="H22" s="123"/>
      <c r="I22" s="123"/>
      <c r="J22" s="1615"/>
      <c r="K22" s="123"/>
      <c r="L22" s="1615"/>
      <c r="M22" s="123"/>
      <c r="N22" s="123"/>
      <c r="O22" s="123"/>
      <c r="P22" s="123"/>
      <c r="Q22" s="123"/>
      <c r="R22" s="123"/>
      <c r="S22" s="123"/>
      <c r="T22" s="123"/>
      <c r="U22" s="123"/>
      <c r="V22" s="123"/>
      <c r="W22" s="123"/>
      <c r="X22" s="123"/>
      <c r="Y22" s="123"/>
      <c r="Z22" s="123"/>
      <c r="AA22" s="123"/>
      <c r="AB22" s="123"/>
      <c r="AC22" s="123"/>
      <c r="AD22" s="123"/>
      <c r="AE22" s="123"/>
      <c r="AF22" s="123"/>
      <c r="AG22" s="123"/>
      <c r="AH22" s="123"/>
      <c r="AI22" s="123"/>
      <c r="AJ22" s="123"/>
      <c r="AK22" s="123"/>
      <c r="AL22" s="123"/>
      <c r="AM22" s="123"/>
      <c r="AN22" s="123"/>
      <c r="AO22" s="123"/>
      <c r="AP22" s="123"/>
      <c r="AQ22" s="123"/>
      <c r="AR22" s="123"/>
      <c r="AS22" s="123"/>
      <c r="AT22" s="123"/>
      <c r="AU22" s="123"/>
      <c r="AV22" s="123"/>
      <c r="AW22" s="123"/>
      <c r="AX22" s="123"/>
      <c r="AY22" s="123"/>
      <c r="AZ22" s="123"/>
      <c r="BA22" s="123"/>
      <c r="BB22" s="123"/>
      <c r="BC22" s="123"/>
      <c r="BD22" s="123"/>
      <c r="BE22" s="123"/>
      <c r="BF22" s="123"/>
      <c r="BG22" s="123"/>
      <c r="BH22" s="123"/>
      <c r="BI22" s="123"/>
      <c r="BJ22" s="123"/>
      <c r="BK22" s="123"/>
      <c r="BL22" s="123"/>
      <c r="BM22" s="123"/>
      <c r="BN22" s="123"/>
      <c r="BO22" s="123"/>
      <c r="BP22" s="123"/>
      <c r="BQ22" s="123"/>
      <c r="BR22" s="123"/>
      <c r="BS22" s="123"/>
      <c r="BT22" s="123"/>
      <c r="BU22" s="123"/>
      <c r="BV22" s="123"/>
      <c r="BW22" s="123"/>
      <c r="BX22" s="123"/>
      <c r="BY22" s="123"/>
      <c r="BZ22" s="123"/>
      <c r="CA22" s="123"/>
      <c r="CB22" s="123"/>
      <c r="CC22" s="123"/>
      <c r="CD22" s="123"/>
      <c r="CE22" s="123"/>
      <c r="CF22" s="123"/>
      <c r="CG22" s="123"/>
      <c r="CH22" s="123"/>
      <c r="CI22" s="123"/>
      <c r="CJ22" s="123"/>
      <c r="CK22" s="123"/>
      <c r="CL22" s="123"/>
      <c r="CM22" s="123"/>
      <c r="CN22" s="123"/>
      <c r="CO22" s="123"/>
      <c r="CP22" s="123"/>
      <c r="CQ22" s="123"/>
      <c r="CR22" s="123"/>
      <c r="CS22" s="123"/>
      <c r="CT22" s="123"/>
      <c r="CU22" s="123"/>
      <c r="CV22" s="123"/>
      <c r="CW22" s="123"/>
      <c r="CX22" s="123"/>
      <c r="CY22" s="123"/>
      <c r="CZ22" s="123"/>
      <c r="DA22" s="123"/>
      <c r="DB22" s="123"/>
      <c r="DC22" s="123"/>
      <c r="DD22" s="123"/>
      <c r="DE22" s="123"/>
      <c r="DF22" s="123"/>
      <c r="DG22" s="123"/>
      <c r="DH22" s="123"/>
      <c r="DI22" s="123"/>
      <c r="DJ22" s="123"/>
      <c r="DK22" s="123"/>
      <c r="DL22" s="123"/>
      <c r="DM22" s="123"/>
      <c r="DN22" s="123"/>
      <c r="DO22" s="123"/>
      <c r="DP22" s="123"/>
      <c r="DQ22" s="123"/>
      <c r="DR22" s="123"/>
      <c r="DS22" s="123"/>
      <c r="DT22" s="123"/>
      <c r="DU22" s="123"/>
      <c r="DV22" s="123"/>
      <c r="DW22" s="123"/>
      <c r="DX22" s="123"/>
      <c r="DY22" s="123"/>
      <c r="DZ22" s="123"/>
      <c r="EA22" s="123"/>
      <c r="EB22" s="123"/>
      <c r="EC22" s="123"/>
      <c r="ED22" s="123"/>
      <c r="EE22" s="123"/>
      <c r="EF22" s="123"/>
      <c r="EG22" s="123"/>
      <c r="EH22" s="123"/>
      <c r="EI22" s="123"/>
      <c r="EJ22" s="123"/>
      <c r="EK22" s="123"/>
      <c r="EL22" s="123"/>
      <c r="EM22" s="123"/>
      <c r="EN22" s="123"/>
      <c r="EO22" s="123"/>
      <c r="EP22" s="123"/>
      <c r="EQ22" s="123"/>
      <c r="ER22" s="123"/>
      <c r="ES22" s="123"/>
      <c r="ET22" s="123"/>
      <c r="EU22" s="123"/>
      <c r="EV22" s="123"/>
      <c r="EW22" s="123"/>
      <c r="EX22" s="123"/>
      <c r="EY22" s="123"/>
      <c r="EZ22" s="123"/>
      <c r="FA22" s="123"/>
      <c r="FB22" s="123"/>
      <c r="FC22" s="123"/>
      <c r="FD22" s="123"/>
      <c r="FE22" s="123"/>
      <c r="FF22" s="123"/>
      <c r="FG22" s="123"/>
      <c r="FH22" s="123"/>
      <c r="FI22" s="123"/>
      <c r="FJ22" s="123"/>
      <c r="FK22" s="123"/>
      <c r="FL22" s="123"/>
      <c r="FM22" s="123"/>
      <c r="FN22" s="123"/>
      <c r="FO22" s="123"/>
      <c r="FP22" s="123"/>
      <c r="FQ22" s="123"/>
      <c r="FR22" s="123"/>
      <c r="FS22" s="123"/>
      <c r="FT22" s="123"/>
      <c r="FU22" s="123"/>
      <c r="FV22" s="123"/>
      <c r="FW22" s="123"/>
      <c r="FX22" s="123"/>
      <c r="FY22" s="123"/>
      <c r="FZ22" s="123"/>
      <c r="GA22" s="123"/>
      <c r="GB22" s="123"/>
      <c r="GC22" s="123"/>
      <c r="GD22" s="123"/>
      <c r="GE22" s="123"/>
      <c r="GF22" s="123"/>
      <c r="GG22" s="123"/>
      <c r="GH22" s="123"/>
      <c r="GI22" s="123"/>
      <c r="GJ22" s="123"/>
      <c r="GK22" s="123"/>
      <c r="GL22" s="123"/>
      <c r="GM22" s="123"/>
      <c r="GN22" s="123"/>
      <c r="GO22" s="123"/>
      <c r="GP22" s="123"/>
      <c r="GQ22" s="123"/>
      <c r="GR22" s="123"/>
      <c r="GS22" s="123"/>
      <c r="GT22" s="123"/>
      <c r="GU22" s="123"/>
      <c r="GV22" s="123"/>
      <c r="GW22" s="123"/>
      <c r="GX22" s="123"/>
      <c r="GY22" s="123"/>
      <c r="GZ22" s="123"/>
      <c r="HA22" s="123"/>
      <c r="HB22" s="123"/>
      <c r="HC22" s="123"/>
      <c r="HD22" s="123"/>
      <c r="HE22" s="123"/>
      <c r="HF22" s="123"/>
      <c r="HG22" s="123"/>
      <c r="HH22" s="123"/>
      <c r="HI22" s="123"/>
      <c r="HJ22" s="123"/>
      <c r="HK22" s="123"/>
      <c r="HL22" s="123"/>
      <c r="HM22" s="123"/>
      <c r="HN22" s="123"/>
      <c r="HO22" s="123"/>
      <c r="HP22" s="123"/>
      <c r="HQ22" s="123"/>
      <c r="HR22" s="123"/>
      <c r="HS22" s="123"/>
      <c r="HT22" s="123"/>
      <c r="HU22" s="123"/>
      <c r="HV22" s="123"/>
      <c r="HW22" s="123"/>
      <c r="HX22" s="123"/>
      <c r="HY22" s="123"/>
      <c r="HZ22" s="123"/>
      <c r="IA22" s="123"/>
      <c r="IB22" s="123"/>
      <c r="IC22" s="123"/>
      <c r="ID22" s="123"/>
      <c r="IE22" s="123"/>
      <c r="IF22" s="123"/>
      <c r="IG22" s="123"/>
      <c r="IH22" s="123"/>
      <c r="II22" s="123"/>
      <c r="IJ22" s="123"/>
      <c r="IK22" s="123"/>
      <c r="IL22" s="123"/>
      <c r="IM22" s="123"/>
      <c r="IN22" s="123"/>
      <c r="IO22" s="123"/>
      <c r="IP22" s="123"/>
      <c r="IQ22" s="123"/>
      <c r="IR22" s="123"/>
      <c r="IS22" s="123"/>
      <c r="IT22" s="123"/>
      <c r="IU22" s="123"/>
      <c r="IV22" s="123"/>
    </row>
    <row r="23" spans="1:256" ht="18" customHeight="1" x14ac:dyDescent="0.3">
      <c r="A23" s="1600">
        <v>17</v>
      </c>
      <c r="B23" s="123"/>
      <c r="C23" s="1607"/>
      <c r="D23" s="1617" t="s">
        <v>1326</v>
      </c>
      <c r="E23" s="1615">
        <v>6020</v>
      </c>
      <c r="F23" s="123"/>
      <c r="G23" s="2066"/>
      <c r="H23" s="123"/>
      <c r="I23" s="123"/>
      <c r="J23" s="1615"/>
      <c r="K23" s="123"/>
      <c r="L23" s="1615"/>
      <c r="M23" s="123"/>
      <c r="N23" s="123"/>
      <c r="O23" s="123"/>
      <c r="P23" s="123"/>
      <c r="Q23" s="123"/>
      <c r="R23" s="123"/>
      <c r="S23" s="123"/>
      <c r="T23" s="123"/>
      <c r="U23" s="123"/>
      <c r="V23" s="123"/>
      <c r="W23" s="123"/>
      <c r="X23" s="123"/>
      <c r="Y23" s="123"/>
      <c r="Z23" s="123"/>
      <c r="AA23" s="123"/>
      <c r="AB23" s="123"/>
      <c r="AC23" s="123"/>
      <c r="AD23" s="123"/>
      <c r="AE23" s="123"/>
      <c r="AF23" s="123"/>
      <c r="AG23" s="123"/>
      <c r="AH23" s="123"/>
      <c r="AI23" s="123"/>
      <c r="AJ23" s="123"/>
      <c r="AK23" s="123"/>
      <c r="AL23" s="123"/>
      <c r="AM23" s="123"/>
      <c r="AN23" s="123"/>
      <c r="AO23" s="123"/>
      <c r="AP23" s="123"/>
      <c r="AQ23" s="123"/>
      <c r="AR23" s="123"/>
      <c r="AS23" s="123"/>
      <c r="AT23" s="123"/>
      <c r="AU23" s="123"/>
      <c r="AV23" s="123"/>
      <c r="AW23" s="123"/>
      <c r="AX23" s="123"/>
      <c r="AY23" s="123"/>
      <c r="AZ23" s="123"/>
      <c r="BA23" s="123"/>
      <c r="BB23" s="123"/>
      <c r="BC23" s="123"/>
      <c r="BD23" s="123"/>
      <c r="BE23" s="123"/>
      <c r="BF23" s="123"/>
      <c r="BG23" s="123"/>
      <c r="BH23" s="123"/>
      <c r="BI23" s="123"/>
      <c r="BJ23" s="123"/>
      <c r="BK23" s="123"/>
      <c r="BL23" s="123"/>
      <c r="BM23" s="123"/>
      <c r="BN23" s="123"/>
      <c r="BO23" s="123"/>
      <c r="BP23" s="123"/>
      <c r="BQ23" s="123"/>
      <c r="BR23" s="123"/>
      <c r="BS23" s="123"/>
      <c r="BT23" s="123"/>
      <c r="BU23" s="123"/>
      <c r="BV23" s="123"/>
      <c r="BW23" s="123"/>
      <c r="BX23" s="123"/>
      <c r="BY23" s="123"/>
      <c r="BZ23" s="123"/>
      <c r="CA23" s="123"/>
      <c r="CB23" s="123"/>
      <c r="CC23" s="123"/>
      <c r="CD23" s="123"/>
      <c r="CE23" s="123"/>
      <c r="CF23" s="123"/>
      <c r="CG23" s="123"/>
      <c r="CH23" s="123"/>
      <c r="CI23" s="123"/>
      <c r="CJ23" s="123"/>
      <c r="CK23" s="123"/>
      <c r="CL23" s="123"/>
      <c r="CM23" s="123"/>
      <c r="CN23" s="123"/>
      <c r="CO23" s="123"/>
      <c r="CP23" s="123"/>
      <c r="CQ23" s="123"/>
      <c r="CR23" s="123"/>
      <c r="CS23" s="123"/>
      <c r="CT23" s="123"/>
      <c r="CU23" s="123"/>
      <c r="CV23" s="123"/>
      <c r="CW23" s="123"/>
      <c r="CX23" s="123"/>
      <c r="CY23" s="123"/>
      <c r="CZ23" s="123"/>
      <c r="DA23" s="123"/>
      <c r="DB23" s="123"/>
      <c r="DC23" s="123"/>
      <c r="DD23" s="123"/>
      <c r="DE23" s="123"/>
      <c r="DF23" s="123"/>
      <c r="DG23" s="123"/>
      <c r="DH23" s="123"/>
      <c r="DI23" s="123"/>
      <c r="DJ23" s="123"/>
      <c r="DK23" s="123"/>
      <c r="DL23" s="123"/>
      <c r="DM23" s="123"/>
      <c r="DN23" s="123"/>
      <c r="DO23" s="123"/>
      <c r="DP23" s="123"/>
      <c r="DQ23" s="123"/>
      <c r="DR23" s="123"/>
      <c r="DS23" s="123"/>
      <c r="DT23" s="123"/>
      <c r="DU23" s="123"/>
      <c r="DV23" s="123"/>
      <c r="DW23" s="123"/>
      <c r="DX23" s="123"/>
      <c r="DY23" s="123"/>
      <c r="DZ23" s="123"/>
      <c r="EA23" s="123"/>
      <c r="EB23" s="123"/>
      <c r="EC23" s="123"/>
      <c r="ED23" s="123"/>
      <c r="EE23" s="123"/>
      <c r="EF23" s="123"/>
      <c r="EG23" s="123"/>
      <c r="EH23" s="123"/>
      <c r="EI23" s="123"/>
      <c r="EJ23" s="123"/>
      <c r="EK23" s="123"/>
      <c r="EL23" s="123"/>
      <c r="EM23" s="123"/>
      <c r="EN23" s="123"/>
      <c r="EO23" s="123"/>
      <c r="EP23" s="123"/>
      <c r="EQ23" s="123"/>
      <c r="ER23" s="123"/>
      <c r="ES23" s="123"/>
      <c r="ET23" s="123"/>
      <c r="EU23" s="123"/>
      <c r="EV23" s="123"/>
      <c r="EW23" s="123"/>
      <c r="EX23" s="123"/>
      <c r="EY23" s="123"/>
      <c r="EZ23" s="123"/>
      <c r="FA23" s="123"/>
      <c r="FB23" s="123"/>
      <c r="FC23" s="123"/>
      <c r="FD23" s="123"/>
      <c r="FE23" s="123"/>
      <c r="FF23" s="123"/>
      <c r="FG23" s="123"/>
      <c r="FH23" s="123"/>
      <c r="FI23" s="123"/>
      <c r="FJ23" s="123"/>
      <c r="FK23" s="123"/>
      <c r="FL23" s="123"/>
      <c r="FM23" s="123"/>
      <c r="FN23" s="123"/>
      <c r="FO23" s="123"/>
      <c r="FP23" s="123"/>
      <c r="FQ23" s="123"/>
      <c r="FR23" s="123"/>
      <c r="FS23" s="123"/>
      <c r="FT23" s="123"/>
      <c r="FU23" s="123"/>
      <c r="FV23" s="123"/>
      <c r="FW23" s="123"/>
      <c r="FX23" s="123"/>
      <c r="FY23" s="123"/>
      <c r="FZ23" s="123"/>
      <c r="GA23" s="123"/>
      <c r="GB23" s="123"/>
      <c r="GC23" s="123"/>
      <c r="GD23" s="123"/>
      <c r="GE23" s="123"/>
      <c r="GF23" s="123"/>
      <c r="GG23" s="123"/>
      <c r="GH23" s="123"/>
      <c r="GI23" s="123"/>
      <c r="GJ23" s="123"/>
      <c r="GK23" s="123"/>
      <c r="GL23" s="123"/>
      <c r="GM23" s="123"/>
      <c r="GN23" s="123"/>
      <c r="GO23" s="123"/>
      <c r="GP23" s="123"/>
      <c r="GQ23" s="123"/>
      <c r="GR23" s="123"/>
      <c r="GS23" s="123"/>
      <c r="GT23" s="123"/>
      <c r="GU23" s="123"/>
      <c r="GV23" s="123"/>
      <c r="GW23" s="123"/>
      <c r="GX23" s="123"/>
      <c r="GY23" s="123"/>
      <c r="GZ23" s="123"/>
      <c r="HA23" s="123"/>
      <c r="HB23" s="123"/>
      <c r="HC23" s="123"/>
      <c r="HD23" s="123"/>
      <c r="HE23" s="123"/>
      <c r="HF23" s="123"/>
      <c r="HG23" s="123"/>
      <c r="HH23" s="123"/>
      <c r="HI23" s="123"/>
      <c r="HJ23" s="123"/>
      <c r="HK23" s="123"/>
      <c r="HL23" s="123"/>
      <c r="HM23" s="123"/>
      <c r="HN23" s="123"/>
      <c r="HO23" s="123"/>
      <c r="HP23" s="123"/>
      <c r="HQ23" s="123"/>
      <c r="HR23" s="123"/>
      <c r="HS23" s="123"/>
      <c r="HT23" s="123"/>
      <c r="HU23" s="123"/>
      <c r="HV23" s="123"/>
      <c r="HW23" s="123"/>
      <c r="HX23" s="123"/>
      <c r="HY23" s="123"/>
      <c r="HZ23" s="123"/>
      <c r="IA23" s="123"/>
      <c r="IB23" s="123"/>
      <c r="IC23" s="123"/>
      <c r="ID23" s="123"/>
      <c r="IE23" s="123"/>
      <c r="IF23" s="123"/>
      <c r="IG23" s="123"/>
      <c r="IH23" s="123"/>
      <c r="II23" s="123"/>
      <c r="IJ23" s="123"/>
      <c r="IK23" s="123"/>
      <c r="IL23" s="123"/>
      <c r="IM23" s="123"/>
      <c r="IN23" s="123"/>
      <c r="IO23" s="123"/>
      <c r="IP23" s="123"/>
      <c r="IQ23" s="123"/>
      <c r="IR23" s="123"/>
      <c r="IS23" s="123"/>
      <c r="IT23" s="123"/>
      <c r="IU23" s="123"/>
      <c r="IV23" s="123"/>
    </row>
    <row r="24" spans="1:256" ht="18" customHeight="1" x14ac:dyDescent="0.3">
      <c r="A24" s="1600">
        <v>18</v>
      </c>
      <c r="B24" s="123"/>
      <c r="C24" s="1607"/>
      <c r="D24" s="1667" t="s">
        <v>1317</v>
      </c>
      <c r="E24" s="1616">
        <v>31425</v>
      </c>
      <c r="F24" s="123"/>
      <c r="G24" s="2066"/>
      <c r="H24" s="123"/>
      <c r="I24" s="123"/>
      <c r="J24" s="1615"/>
      <c r="K24" s="123"/>
      <c r="L24" s="1615"/>
      <c r="M24" s="123"/>
      <c r="N24" s="123"/>
      <c r="O24" s="123"/>
      <c r="P24" s="123"/>
      <c r="Q24" s="123"/>
      <c r="R24" s="123"/>
      <c r="S24" s="123"/>
      <c r="T24" s="123"/>
      <c r="U24" s="123"/>
      <c r="V24" s="123"/>
      <c r="W24" s="123"/>
      <c r="X24" s="123"/>
      <c r="Y24" s="123"/>
      <c r="Z24" s="123"/>
      <c r="AA24" s="123"/>
      <c r="AB24" s="123"/>
      <c r="AC24" s="123"/>
      <c r="AD24" s="123"/>
      <c r="AE24" s="123"/>
      <c r="AF24" s="123"/>
      <c r="AG24" s="123"/>
      <c r="AH24" s="123"/>
      <c r="AI24" s="123"/>
      <c r="AJ24" s="123"/>
      <c r="AK24" s="123"/>
      <c r="AL24" s="123"/>
      <c r="AM24" s="123"/>
      <c r="AN24" s="123"/>
      <c r="AO24" s="123"/>
      <c r="AP24" s="123"/>
      <c r="AQ24" s="123"/>
      <c r="AR24" s="123"/>
      <c r="AS24" s="123"/>
      <c r="AT24" s="123"/>
      <c r="AU24" s="123"/>
      <c r="AV24" s="123"/>
      <c r="AW24" s="123"/>
      <c r="AX24" s="123"/>
      <c r="AY24" s="123"/>
      <c r="AZ24" s="123"/>
      <c r="BA24" s="123"/>
      <c r="BB24" s="123"/>
      <c r="BC24" s="123"/>
      <c r="BD24" s="123"/>
      <c r="BE24" s="123"/>
      <c r="BF24" s="123"/>
      <c r="BG24" s="123"/>
      <c r="BH24" s="123"/>
      <c r="BI24" s="123"/>
      <c r="BJ24" s="123"/>
      <c r="BK24" s="123"/>
      <c r="BL24" s="123"/>
      <c r="BM24" s="123"/>
      <c r="BN24" s="123"/>
      <c r="BO24" s="123"/>
      <c r="BP24" s="123"/>
      <c r="BQ24" s="123"/>
      <c r="BR24" s="123"/>
      <c r="BS24" s="123"/>
      <c r="BT24" s="123"/>
      <c r="BU24" s="123"/>
      <c r="BV24" s="123"/>
      <c r="BW24" s="123"/>
      <c r="BX24" s="123"/>
      <c r="BY24" s="123"/>
      <c r="BZ24" s="123"/>
      <c r="CA24" s="123"/>
      <c r="CB24" s="123"/>
      <c r="CC24" s="123"/>
      <c r="CD24" s="123"/>
      <c r="CE24" s="123"/>
      <c r="CF24" s="123"/>
      <c r="CG24" s="123"/>
      <c r="CH24" s="123"/>
      <c r="CI24" s="123"/>
      <c r="CJ24" s="123"/>
      <c r="CK24" s="123"/>
      <c r="CL24" s="123"/>
      <c r="CM24" s="123"/>
      <c r="CN24" s="123"/>
      <c r="CO24" s="123"/>
      <c r="CP24" s="123"/>
      <c r="CQ24" s="123"/>
      <c r="CR24" s="123"/>
      <c r="CS24" s="123"/>
      <c r="CT24" s="123"/>
      <c r="CU24" s="123"/>
      <c r="CV24" s="123"/>
      <c r="CW24" s="123"/>
      <c r="CX24" s="123"/>
      <c r="CY24" s="123"/>
      <c r="CZ24" s="123"/>
      <c r="DA24" s="123"/>
      <c r="DB24" s="123"/>
      <c r="DC24" s="123"/>
      <c r="DD24" s="123"/>
      <c r="DE24" s="123"/>
      <c r="DF24" s="123"/>
      <c r="DG24" s="123"/>
      <c r="DH24" s="123"/>
      <c r="DI24" s="123"/>
      <c r="DJ24" s="123"/>
      <c r="DK24" s="123"/>
      <c r="DL24" s="123"/>
      <c r="DM24" s="123"/>
      <c r="DN24" s="123"/>
      <c r="DO24" s="123"/>
      <c r="DP24" s="123"/>
      <c r="DQ24" s="123"/>
      <c r="DR24" s="123"/>
      <c r="DS24" s="123"/>
      <c r="DT24" s="123"/>
      <c r="DU24" s="123"/>
      <c r="DV24" s="123"/>
      <c r="DW24" s="123"/>
      <c r="DX24" s="123"/>
      <c r="DY24" s="123"/>
      <c r="DZ24" s="123"/>
      <c r="EA24" s="123"/>
      <c r="EB24" s="123"/>
      <c r="EC24" s="123"/>
      <c r="ED24" s="123"/>
      <c r="EE24" s="123"/>
      <c r="EF24" s="123"/>
      <c r="EG24" s="123"/>
      <c r="EH24" s="123"/>
      <c r="EI24" s="123"/>
      <c r="EJ24" s="123"/>
      <c r="EK24" s="123"/>
      <c r="EL24" s="123"/>
      <c r="EM24" s="123"/>
      <c r="EN24" s="123"/>
      <c r="EO24" s="123"/>
      <c r="EP24" s="123"/>
      <c r="EQ24" s="123"/>
      <c r="ER24" s="123"/>
      <c r="ES24" s="123"/>
      <c r="ET24" s="123"/>
      <c r="EU24" s="123"/>
      <c r="EV24" s="123"/>
      <c r="EW24" s="123"/>
      <c r="EX24" s="123"/>
      <c r="EY24" s="123"/>
      <c r="EZ24" s="123"/>
      <c r="FA24" s="123"/>
      <c r="FB24" s="123"/>
      <c r="FC24" s="123"/>
      <c r="FD24" s="123"/>
      <c r="FE24" s="123"/>
      <c r="FF24" s="123"/>
      <c r="FG24" s="123"/>
      <c r="FH24" s="123"/>
      <c r="FI24" s="123"/>
      <c r="FJ24" s="123"/>
      <c r="FK24" s="123"/>
      <c r="FL24" s="123"/>
      <c r="FM24" s="123"/>
      <c r="FN24" s="123"/>
      <c r="FO24" s="123"/>
      <c r="FP24" s="123"/>
      <c r="FQ24" s="123"/>
      <c r="FR24" s="123"/>
      <c r="FS24" s="123"/>
      <c r="FT24" s="123"/>
      <c r="FU24" s="123"/>
      <c r="FV24" s="123"/>
      <c r="FW24" s="123"/>
      <c r="FX24" s="123"/>
      <c r="FY24" s="123"/>
      <c r="FZ24" s="123"/>
      <c r="GA24" s="123"/>
      <c r="GB24" s="123"/>
      <c r="GC24" s="123"/>
      <c r="GD24" s="123"/>
      <c r="GE24" s="123"/>
      <c r="GF24" s="123"/>
      <c r="GG24" s="123"/>
      <c r="GH24" s="123"/>
      <c r="GI24" s="123"/>
      <c r="GJ24" s="123"/>
      <c r="GK24" s="123"/>
      <c r="GL24" s="123"/>
      <c r="GM24" s="123"/>
      <c r="GN24" s="123"/>
      <c r="GO24" s="123"/>
      <c r="GP24" s="123"/>
      <c r="GQ24" s="123"/>
      <c r="GR24" s="123"/>
      <c r="GS24" s="123"/>
      <c r="GT24" s="123"/>
      <c r="GU24" s="123"/>
      <c r="GV24" s="123"/>
      <c r="GW24" s="123"/>
      <c r="GX24" s="123"/>
      <c r="GY24" s="123"/>
      <c r="GZ24" s="123"/>
      <c r="HA24" s="123"/>
      <c r="HB24" s="123"/>
      <c r="HC24" s="123"/>
      <c r="HD24" s="123"/>
      <c r="HE24" s="123"/>
      <c r="HF24" s="123"/>
      <c r="HG24" s="123"/>
      <c r="HH24" s="123"/>
      <c r="HI24" s="123"/>
      <c r="HJ24" s="123"/>
      <c r="HK24" s="123"/>
      <c r="HL24" s="123"/>
      <c r="HM24" s="123"/>
      <c r="HN24" s="123"/>
      <c r="HO24" s="123"/>
      <c r="HP24" s="123"/>
      <c r="HQ24" s="123"/>
      <c r="HR24" s="123"/>
      <c r="HS24" s="123"/>
      <c r="HT24" s="123"/>
      <c r="HU24" s="123"/>
      <c r="HV24" s="123"/>
      <c r="HW24" s="123"/>
      <c r="HX24" s="123"/>
      <c r="HY24" s="123"/>
      <c r="HZ24" s="123"/>
      <c r="IA24" s="123"/>
      <c r="IB24" s="123"/>
      <c r="IC24" s="123"/>
      <c r="ID24" s="123"/>
      <c r="IE24" s="123"/>
      <c r="IF24" s="123"/>
      <c r="IG24" s="123"/>
      <c r="IH24" s="123"/>
      <c r="II24" s="123"/>
      <c r="IJ24" s="123"/>
      <c r="IK24" s="123"/>
      <c r="IL24" s="123"/>
      <c r="IM24" s="123"/>
      <c r="IN24" s="123"/>
      <c r="IO24" s="123"/>
      <c r="IP24" s="123"/>
      <c r="IQ24" s="123"/>
      <c r="IR24" s="123"/>
      <c r="IS24" s="123"/>
      <c r="IT24" s="123"/>
      <c r="IU24" s="123"/>
      <c r="IV24" s="123"/>
    </row>
    <row r="25" spans="1:256" ht="18" customHeight="1" x14ac:dyDescent="0.3">
      <c r="A25" s="1600">
        <v>19</v>
      </c>
      <c r="B25" s="123"/>
      <c r="C25" s="1607"/>
      <c r="D25" s="1667" t="s">
        <v>1333</v>
      </c>
      <c r="E25" s="1612">
        <v>1200</v>
      </c>
      <c r="F25" s="123"/>
      <c r="G25" s="2066"/>
      <c r="H25" s="123"/>
      <c r="I25" s="123"/>
      <c r="J25" s="1615"/>
      <c r="K25" s="123"/>
      <c r="L25" s="1615"/>
      <c r="M25" s="123"/>
      <c r="N25" s="123"/>
      <c r="O25" s="123"/>
      <c r="P25" s="123"/>
      <c r="Q25" s="123"/>
      <c r="R25" s="123"/>
      <c r="S25" s="123"/>
      <c r="T25" s="123"/>
      <c r="U25" s="123"/>
      <c r="V25" s="123"/>
      <c r="W25" s="123"/>
      <c r="X25" s="123"/>
      <c r="Y25" s="123"/>
      <c r="Z25" s="123"/>
      <c r="AA25" s="123"/>
      <c r="AB25" s="123"/>
      <c r="AC25" s="123"/>
      <c r="AD25" s="123"/>
      <c r="AE25" s="123"/>
      <c r="AF25" s="123"/>
      <c r="AG25" s="123"/>
      <c r="AH25" s="123"/>
      <c r="AI25" s="123"/>
      <c r="AJ25" s="123"/>
      <c r="AK25" s="123"/>
      <c r="AL25" s="123"/>
      <c r="AM25" s="123"/>
      <c r="AN25" s="123"/>
      <c r="AO25" s="123"/>
      <c r="AP25" s="123"/>
      <c r="AQ25" s="123"/>
      <c r="AR25" s="123"/>
      <c r="AS25" s="123"/>
      <c r="AT25" s="123"/>
      <c r="AU25" s="123"/>
      <c r="AV25" s="123"/>
      <c r="AW25" s="123"/>
      <c r="AX25" s="123"/>
      <c r="AY25" s="123"/>
      <c r="AZ25" s="123"/>
      <c r="BA25" s="123"/>
      <c r="BB25" s="123"/>
      <c r="BC25" s="123"/>
      <c r="BD25" s="123"/>
      <c r="BE25" s="123"/>
      <c r="BF25" s="123"/>
      <c r="BG25" s="123"/>
      <c r="BH25" s="123"/>
      <c r="BI25" s="123"/>
      <c r="BJ25" s="123"/>
      <c r="BK25" s="123"/>
      <c r="BL25" s="123"/>
      <c r="BM25" s="123"/>
      <c r="BN25" s="123"/>
      <c r="BO25" s="123"/>
      <c r="BP25" s="123"/>
      <c r="BQ25" s="123"/>
      <c r="BR25" s="123"/>
      <c r="BS25" s="123"/>
      <c r="BT25" s="123"/>
      <c r="BU25" s="123"/>
      <c r="BV25" s="123"/>
      <c r="BW25" s="123"/>
      <c r="BX25" s="123"/>
      <c r="BY25" s="123"/>
      <c r="BZ25" s="123"/>
      <c r="CA25" s="123"/>
      <c r="CB25" s="123"/>
      <c r="CC25" s="123"/>
      <c r="CD25" s="123"/>
      <c r="CE25" s="123"/>
      <c r="CF25" s="123"/>
      <c r="CG25" s="123"/>
      <c r="CH25" s="123"/>
      <c r="CI25" s="123"/>
      <c r="CJ25" s="123"/>
      <c r="CK25" s="123"/>
      <c r="CL25" s="123"/>
      <c r="CM25" s="123"/>
      <c r="CN25" s="123"/>
      <c r="CO25" s="123"/>
      <c r="CP25" s="123"/>
      <c r="CQ25" s="123"/>
      <c r="CR25" s="123"/>
      <c r="CS25" s="123"/>
      <c r="CT25" s="123"/>
      <c r="CU25" s="123"/>
      <c r="CV25" s="123"/>
      <c r="CW25" s="123"/>
      <c r="CX25" s="123"/>
      <c r="CY25" s="123"/>
      <c r="CZ25" s="123"/>
      <c r="DA25" s="123"/>
      <c r="DB25" s="123"/>
      <c r="DC25" s="123"/>
      <c r="DD25" s="123"/>
      <c r="DE25" s="123"/>
      <c r="DF25" s="123"/>
      <c r="DG25" s="123"/>
      <c r="DH25" s="123"/>
      <c r="DI25" s="123"/>
      <c r="DJ25" s="123"/>
      <c r="DK25" s="123"/>
      <c r="DL25" s="123"/>
      <c r="DM25" s="123"/>
      <c r="DN25" s="123"/>
      <c r="DO25" s="123"/>
      <c r="DP25" s="123"/>
      <c r="DQ25" s="123"/>
      <c r="DR25" s="123"/>
      <c r="DS25" s="123"/>
      <c r="DT25" s="123"/>
      <c r="DU25" s="123"/>
      <c r="DV25" s="123"/>
      <c r="DW25" s="123"/>
      <c r="DX25" s="123"/>
      <c r="DY25" s="123"/>
      <c r="DZ25" s="123"/>
      <c r="EA25" s="123"/>
      <c r="EB25" s="123"/>
      <c r="EC25" s="123"/>
      <c r="ED25" s="123"/>
      <c r="EE25" s="123"/>
      <c r="EF25" s="123"/>
      <c r="EG25" s="123"/>
      <c r="EH25" s="123"/>
      <c r="EI25" s="123"/>
      <c r="EJ25" s="123"/>
      <c r="EK25" s="123"/>
      <c r="EL25" s="123"/>
      <c r="EM25" s="123"/>
      <c r="EN25" s="123"/>
      <c r="EO25" s="123"/>
      <c r="EP25" s="123"/>
      <c r="EQ25" s="123"/>
      <c r="ER25" s="123"/>
      <c r="ES25" s="123"/>
      <c r="ET25" s="123"/>
      <c r="EU25" s="123"/>
      <c r="EV25" s="123"/>
      <c r="EW25" s="123"/>
      <c r="EX25" s="123"/>
      <c r="EY25" s="123"/>
      <c r="EZ25" s="123"/>
      <c r="FA25" s="123"/>
      <c r="FB25" s="123"/>
      <c r="FC25" s="123"/>
      <c r="FD25" s="123"/>
      <c r="FE25" s="123"/>
      <c r="FF25" s="123"/>
      <c r="FG25" s="123"/>
      <c r="FH25" s="123"/>
      <c r="FI25" s="123"/>
      <c r="FJ25" s="123"/>
      <c r="FK25" s="123"/>
      <c r="FL25" s="123"/>
      <c r="FM25" s="123"/>
      <c r="FN25" s="123"/>
      <c r="FO25" s="123"/>
      <c r="FP25" s="123"/>
      <c r="FQ25" s="123"/>
      <c r="FR25" s="123"/>
      <c r="FS25" s="123"/>
      <c r="FT25" s="123"/>
      <c r="FU25" s="123"/>
      <c r="FV25" s="123"/>
      <c r="FW25" s="123"/>
      <c r="FX25" s="123"/>
      <c r="FY25" s="123"/>
      <c r="FZ25" s="123"/>
      <c r="GA25" s="123"/>
      <c r="GB25" s="123"/>
      <c r="GC25" s="123"/>
      <c r="GD25" s="123"/>
      <c r="GE25" s="123"/>
      <c r="GF25" s="123"/>
      <c r="GG25" s="123"/>
      <c r="GH25" s="123"/>
      <c r="GI25" s="123"/>
      <c r="GJ25" s="123"/>
      <c r="GK25" s="123"/>
      <c r="GL25" s="123"/>
      <c r="GM25" s="123"/>
      <c r="GN25" s="123"/>
      <c r="GO25" s="123"/>
      <c r="GP25" s="123"/>
      <c r="GQ25" s="123"/>
      <c r="GR25" s="123"/>
      <c r="GS25" s="123"/>
      <c r="GT25" s="123"/>
      <c r="GU25" s="123"/>
      <c r="GV25" s="123"/>
      <c r="GW25" s="123"/>
      <c r="GX25" s="123"/>
      <c r="GY25" s="123"/>
      <c r="GZ25" s="123"/>
      <c r="HA25" s="123"/>
      <c r="HB25" s="123"/>
      <c r="HC25" s="123"/>
      <c r="HD25" s="123"/>
      <c r="HE25" s="123"/>
      <c r="HF25" s="123"/>
      <c r="HG25" s="123"/>
      <c r="HH25" s="123"/>
      <c r="HI25" s="123"/>
      <c r="HJ25" s="123"/>
      <c r="HK25" s="123"/>
      <c r="HL25" s="123"/>
      <c r="HM25" s="123"/>
      <c r="HN25" s="123"/>
      <c r="HO25" s="123"/>
      <c r="HP25" s="123"/>
      <c r="HQ25" s="123"/>
      <c r="HR25" s="123"/>
      <c r="HS25" s="123"/>
      <c r="HT25" s="123"/>
      <c r="HU25" s="123"/>
      <c r="HV25" s="123"/>
      <c r="HW25" s="123"/>
      <c r="HX25" s="123"/>
      <c r="HY25" s="123"/>
      <c r="HZ25" s="123"/>
      <c r="IA25" s="123"/>
      <c r="IB25" s="123"/>
      <c r="IC25" s="123"/>
      <c r="ID25" s="123"/>
      <c r="IE25" s="123"/>
      <c r="IF25" s="123"/>
      <c r="IG25" s="123"/>
      <c r="IH25" s="123"/>
      <c r="II25" s="123"/>
      <c r="IJ25" s="123"/>
      <c r="IK25" s="123"/>
      <c r="IL25" s="123"/>
      <c r="IM25" s="123"/>
      <c r="IN25" s="123"/>
      <c r="IO25" s="123"/>
      <c r="IP25" s="123"/>
      <c r="IQ25" s="123"/>
      <c r="IR25" s="123"/>
      <c r="IS25" s="123"/>
      <c r="IT25" s="123"/>
      <c r="IU25" s="123"/>
      <c r="IV25" s="123"/>
    </row>
    <row r="26" spans="1:256" ht="18" customHeight="1" x14ac:dyDescent="0.35">
      <c r="A26" s="1600">
        <v>20</v>
      </c>
      <c r="B26" s="125"/>
      <c r="D26" s="1623" t="s">
        <v>129</v>
      </c>
      <c r="E26" s="1621">
        <f>SUM(E22:E25)</f>
        <v>44608</v>
      </c>
      <c r="F26" s="1622"/>
      <c r="G26" s="2066"/>
      <c r="H26" s="1622"/>
      <c r="I26" s="125"/>
      <c r="J26" s="1616"/>
      <c r="K26" s="125"/>
      <c r="L26" s="1616"/>
      <c r="M26" s="125"/>
      <c r="N26" s="125"/>
      <c r="O26" s="125"/>
      <c r="P26" s="125"/>
      <c r="Q26" s="125"/>
      <c r="R26" s="125"/>
      <c r="S26" s="125"/>
      <c r="T26" s="125"/>
      <c r="U26" s="125"/>
      <c r="V26" s="125"/>
      <c r="W26" s="125"/>
      <c r="X26" s="125"/>
      <c r="Y26" s="125"/>
      <c r="Z26" s="125"/>
      <c r="AA26" s="125"/>
      <c r="AB26" s="125"/>
      <c r="AC26" s="125"/>
      <c r="AD26" s="125"/>
      <c r="AE26" s="125"/>
      <c r="AF26" s="125"/>
      <c r="AG26" s="125"/>
      <c r="AH26" s="125"/>
      <c r="AI26" s="125"/>
      <c r="AJ26" s="125"/>
      <c r="AK26" s="125"/>
      <c r="AL26" s="125"/>
      <c r="AM26" s="125"/>
      <c r="AN26" s="125"/>
      <c r="AO26" s="125"/>
      <c r="AP26" s="125"/>
      <c r="AQ26" s="125"/>
      <c r="AR26" s="125"/>
      <c r="AS26" s="125"/>
      <c r="AT26" s="125"/>
      <c r="AU26" s="125"/>
      <c r="AV26" s="125"/>
      <c r="AW26" s="125"/>
      <c r="AX26" s="125"/>
      <c r="AY26" s="125"/>
      <c r="AZ26" s="125"/>
      <c r="BA26" s="125"/>
      <c r="BB26" s="125"/>
      <c r="BC26" s="125"/>
      <c r="BD26" s="125"/>
      <c r="BE26" s="125"/>
      <c r="BF26" s="125"/>
      <c r="BG26" s="125"/>
      <c r="BH26" s="125"/>
      <c r="BI26" s="125"/>
      <c r="BJ26" s="125"/>
      <c r="BK26" s="125"/>
      <c r="BL26" s="125"/>
      <c r="BM26" s="125"/>
      <c r="BN26" s="125"/>
      <c r="BO26" s="125"/>
      <c r="BP26" s="125"/>
      <c r="BQ26" s="125"/>
      <c r="BR26" s="125"/>
      <c r="BS26" s="125"/>
      <c r="BT26" s="125"/>
      <c r="BU26" s="125"/>
      <c r="BV26" s="125"/>
      <c r="BW26" s="125"/>
      <c r="BX26" s="125"/>
      <c r="BY26" s="125"/>
      <c r="BZ26" s="125"/>
      <c r="CA26" s="125"/>
      <c r="CB26" s="125"/>
      <c r="CC26" s="125"/>
      <c r="CD26" s="125"/>
      <c r="CE26" s="125"/>
      <c r="CF26" s="125"/>
      <c r="CG26" s="125"/>
      <c r="CH26" s="125"/>
      <c r="CI26" s="125"/>
      <c r="CJ26" s="125"/>
      <c r="CK26" s="125"/>
      <c r="CL26" s="125"/>
      <c r="CM26" s="125"/>
      <c r="CN26" s="125"/>
      <c r="CO26" s="125"/>
      <c r="CP26" s="125"/>
      <c r="CQ26" s="125"/>
      <c r="CR26" s="125"/>
      <c r="CS26" s="125"/>
      <c r="CT26" s="125"/>
      <c r="CU26" s="125"/>
      <c r="CV26" s="125"/>
      <c r="CW26" s="125"/>
      <c r="CX26" s="125"/>
      <c r="CY26" s="125"/>
      <c r="CZ26" s="125"/>
      <c r="DA26" s="125"/>
      <c r="DB26" s="125"/>
      <c r="DC26" s="125"/>
      <c r="DD26" s="125"/>
      <c r="DE26" s="125"/>
      <c r="DF26" s="125"/>
      <c r="DG26" s="125"/>
      <c r="DH26" s="125"/>
      <c r="DI26" s="125"/>
      <c r="DJ26" s="125"/>
      <c r="DK26" s="125"/>
      <c r="DL26" s="125"/>
      <c r="DM26" s="125"/>
      <c r="DN26" s="125"/>
      <c r="DO26" s="125"/>
      <c r="DP26" s="125"/>
      <c r="DQ26" s="125"/>
      <c r="DR26" s="125"/>
      <c r="DS26" s="125"/>
      <c r="DT26" s="125"/>
      <c r="DU26" s="125"/>
      <c r="DV26" s="125"/>
      <c r="DW26" s="125"/>
      <c r="DX26" s="125"/>
      <c r="DY26" s="125"/>
      <c r="DZ26" s="125"/>
      <c r="EA26" s="125"/>
      <c r="EB26" s="125"/>
      <c r="EC26" s="125"/>
      <c r="ED26" s="125"/>
      <c r="EE26" s="125"/>
      <c r="EF26" s="125"/>
      <c r="EG26" s="125"/>
      <c r="EH26" s="125"/>
      <c r="EI26" s="125"/>
      <c r="EJ26" s="125"/>
      <c r="EK26" s="125"/>
      <c r="EL26" s="125"/>
      <c r="EM26" s="125"/>
      <c r="EN26" s="125"/>
      <c r="EO26" s="125"/>
      <c r="EP26" s="125"/>
      <c r="EQ26" s="125"/>
      <c r="ER26" s="125"/>
      <c r="ES26" s="125"/>
      <c r="ET26" s="125"/>
      <c r="EU26" s="125"/>
      <c r="EV26" s="125"/>
      <c r="EW26" s="125"/>
      <c r="EX26" s="125"/>
      <c r="EY26" s="125"/>
      <c r="EZ26" s="125"/>
      <c r="FA26" s="125"/>
      <c r="FB26" s="125"/>
      <c r="FC26" s="125"/>
      <c r="FD26" s="125"/>
      <c r="FE26" s="125"/>
      <c r="FF26" s="125"/>
      <c r="FG26" s="125"/>
      <c r="FH26" s="125"/>
      <c r="FI26" s="125"/>
      <c r="FJ26" s="125"/>
      <c r="FK26" s="125"/>
      <c r="FL26" s="125"/>
      <c r="FM26" s="125"/>
      <c r="FN26" s="125"/>
      <c r="FO26" s="125"/>
      <c r="FP26" s="125"/>
      <c r="FQ26" s="125"/>
      <c r="FR26" s="125"/>
      <c r="FS26" s="125"/>
      <c r="FT26" s="125"/>
      <c r="FU26" s="125"/>
      <c r="FV26" s="125"/>
      <c r="FW26" s="125"/>
      <c r="FX26" s="125"/>
      <c r="FY26" s="125"/>
      <c r="FZ26" s="125"/>
      <c r="GA26" s="125"/>
      <c r="GB26" s="125"/>
      <c r="GC26" s="125"/>
      <c r="GD26" s="125"/>
      <c r="GE26" s="125"/>
      <c r="GF26" s="125"/>
      <c r="GG26" s="125"/>
      <c r="GH26" s="125"/>
      <c r="GI26" s="125"/>
      <c r="GJ26" s="125"/>
      <c r="GK26" s="125"/>
      <c r="GL26" s="125"/>
      <c r="GM26" s="125"/>
      <c r="GN26" s="125"/>
      <c r="GO26" s="125"/>
      <c r="GP26" s="125"/>
      <c r="GQ26" s="125"/>
      <c r="GR26" s="125"/>
      <c r="GS26" s="125"/>
      <c r="GT26" s="125"/>
      <c r="GU26" s="125"/>
      <c r="GV26" s="125"/>
      <c r="GW26" s="125"/>
      <c r="GX26" s="125"/>
      <c r="GY26" s="125"/>
      <c r="GZ26" s="125"/>
      <c r="HA26" s="125"/>
      <c r="HB26" s="125"/>
      <c r="HC26" s="125"/>
      <c r="HD26" s="125"/>
      <c r="HE26" s="125"/>
      <c r="HF26" s="125"/>
      <c r="HG26" s="125"/>
      <c r="HH26" s="125"/>
      <c r="HI26" s="125"/>
      <c r="HJ26" s="125"/>
      <c r="HK26" s="125"/>
      <c r="HL26" s="125"/>
      <c r="HM26" s="125"/>
      <c r="HN26" s="125"/>
      <c r="HO26" s="125"/>
      <c r="HP26" s="125"/>
      <c r="HQ26" s="125"/>
      <c r="HR26" s="125"/>
      <c r="HS26" s="125"/>
      <c r="HT26" s="125"/>
      <c r="HU26" s="125"/>
      <c r="HV26" s="125"/>
      <c r="HW26" s="125"/>
      <c r="HX26" s="125"/>
      <c r="HY26" s="125"/>
      <c r="HZ26" s="125"/>
      <c r="IA26" s="125"/>
      <c r="IB26" s="125"/>
      <c r="IC26" s="125"/>
      <c r="ID26" s="125"/>
      <c r="IE26" s="125"/>
      <c r="IF26" s="125"/>
      <c r="IG26" s="125"/>
      <c r="IH26" s="125"/>
      <c r="II26" s="125"/>
      <c r="IJ26" s="125"/>
      <c r="IK26" s="125"/>
      <c r="IL26" s="125"/>
      <c r="IM26" s="125"/>
      <c r="IN26" s="125"/>
      <c r="IO26" s="125"/>
      <c r="IP26" s="125"/>
      <c r="IQ26" s="125"/>
      <c r="IR26" s="125"/>
      <c r="IS26" s="125"/>
      <c r="IT26" s="125"/>
      <c r="IU26" s="125"/>
      <c r="IV26" s="125"/>
    </row>
    <row r="27" spans="1:256" ht="18" customHeight="1" x14ac:dyDescent="0.35">
      <c r="A27" s="1600">
        <v>21</v>
      </c>
      <c r="B27" s="125"/>
      <c r="C27" s="1624" t="s">
        <v>139</v>
      </c>
      <c r="D27" s="1614" t="s">
        <v>178</v>
      </c>
      <c r="E27" s="1621"/>
      <c r="F27" s="1622"/>
      <c r="G27" s="2066"/>
      <c r="H27" s="1622"/>
      <c r="I27" s="125"/>
      <c r="J27" s="1616"/>
      <c r="K27" s="125"/>
      <c r="L27" s="1616"/>
      <c r="M27" s="125"/>
      <c r="N27" s="125"/>
      <c r="O27" s="125"/>
      <c r="P27" s="125"/>
      <c r="Q27" s="125"/>
      <c r="R27" s="125"/>
      <c r="S27" s="125"/>
      <c r="T27" s="125"/>
      <c r="U27" s="125"/>
      <c r="V27" s="125"/>
      <c r="W27" s="125"/>
      <c r="X27" s="125"/>
      <c r="Y27" s="125"/>
      <c r="Z27" s="125"/>
      <c r="AA27" s="125"/>
      <c r="AB27" s="125"/>
      <c r="AC27" s="125"/>
      <c r="AD27" s="125"/>
      <c r="AE27" s="125"/>
      <c r="AF27" s="125"/>
      <c r="AG27" s="125"/>
      <c r="AH27" s="125"/>
      <c r="AI27" s="125"/>
      <c r="AJ27" s="125"/>
      <c r="AK27" s="125"/>
      <c r="AL27" s="125"/>
      <c r="AM27" s="125"/>
      <c r="AN27" s="125"/>
      <c r="AO27" s="125"/>
      <c r="AP27" s="125"/>
      <c r="AQ27" s="125"/>
      <c r="AR27" s="125"/>
      <c r="AS27" s="125"/>
      <c r="AT27" s="125"/>
      <c r="AU27" s="125"/>
      <c r="AV27" s="125"/>
      <c r="AW27" s="125"/>
      <c r="AX27" s="125"/>
      <c r="AY27" s="125"/>
      <c r="AZ27" s="125"/>
      <c r="BA27" s="125"/>
      <c r="BB27" s="125"/>
      <c r="BC27" s="125"/>
      <c r="BD27" s="125"/>
      <c r="BE27" s="125"/>
      <c r="BF27" s="125"/>
      <c r="BG27" s="125"/>
      <c r="BH27" s="125"/>
      <c r="BI27" s="125"/>
      <c r="BJ27" s="125"/>
      <c r="BK27" s="125"/>
      <c r="BL27" s="125"/>
      <c r="BM27" s="125"/>
      <c r="BN27" s="125"/>
      <c r="BO27" s="125"/>
      <c r="BP27" s="125"/>
      <c r="BQ27" s="125"/>
      <c r="BR27" s="125"/>
      <c r="BS27" s="125"/>
      <c r="BT27" s="125"/>
      <c r="BU27" s="125"/>
      <c r="BV27" s="125"/>
      <c r="BW27" s="125"/>
      <c r="BX27" s="125"/>
      <c r="BY27" s="125"/>
      <c r="BZ27" s="125"/>
      <c r="CA27" s="125"/>
      <c r="CB27" s="125"/>
      <c r="CC27" s="125"/>
      <c r="CD27" s="125"/>
      <c r="CE27" s="125"/>
      <c r="CF27" s="125"/>
      <c r="CG27" s="125"/>
      <c r="CH27" s="125"/>
      <c r="CI27" s="125"/>
      <c r="CJ27" s="125"/>
      <c r="CK27" s="125"/>
      <c r="CL27" s="125"/>
      <c r="CM27" s="125"/>
      <c r="CN27" s="125"/>
      <c r="CO27" s="125"/>
      <c r="CP27" s="125"/>
      <c r="CQ27" s="125"/>
      <c r="CR27" s="125"/>
      <c r="CS27" s="125"/>
      <c r="CT27" s="125"/>
      <c r="CU27" s="125"/>
      <c r="CV27" s="125"/>
      <c r="CW27" s="125"/>
      <c r="CX27" s="125"/>
      <c r="CY27" s="125"/>
      <c r="CZ27" s="125"/>
      <c r="DA27" s="125"/>
      <c r="DB27" s="125"/>
      <c r="DC27" s="125"/>
      <c r="DD27" s="125"/>
      <c r="DE27" s="125"/>
      <c r="DF27" s="125"/>
      <c r="DG27" s="125"/>
      <c r="DH27" s="125"/>
      <c r="DI27" s="125"/>
      <c r="DJ27" s="125"/>
      <c r="DK27" s="125"/>
      <c r="DL27" s="125"/>
      <c r="DM27" s="125"/>
      <c r="DN27" s="125"/>
      <c r="DO27" s="125"/>
      <c r="DP27" s="125"/>
      <c r="DQ27" s="125"/>
      <c r="DR27" s="125"/>
      <c r="DS27" s="125"/>
      <c r="DT27" s="125"/>
      <c r="DU27" s="125"/>
      <c r="DV27" s="125"/>
      <c r="DW27" s="125"/>
      <c r="DX27" s="125"/>
      <c r="DY27" s="125"/>
      <c r="DZ27" s="125"/>
      <c r="EA27" s="125"/>
      <c r="EB27" s="125"/>
      <c r="EC27" s="125"/>
      <c r="ED27" s="125"/>
      <c r="EE27" s="125"/>
      <c r="EF27" s="125"/>
      <c r="EG27" s="125"/>
      <c r="EH27" s="125"/>
      <c r="EI27" s="125"/>
      <c r="EJ27" s="125"/>
      <c r="EK27" s="125"/>
      <c r="EL27" s="125"/>
      <c r="EM27" s="125"/>
      <c r="EN27" s="125"/>
      <c r="EO27" s="125"/>
      <c r="EP27" s="125"/>
      <c r="EQ27" s="125"/>
      <c r="ER27" s="125"/>
      <c r="ES27" s="125"/>
      <c r="ET27" s="125"/>
      <c r="EU27" s="125"/>
      <c r="EV27" s="125"/>
      <c r="EW27" s="125"/>
      <c r="EX27" s="125"/>
      <c r="EY27" s="125"/>
      <c r="EZ27" s="125"/>
      <c r="FA27" s="125"/>
      <c r="FB27" s="125"/>
      <c r="FC27" s="125"/>
      <c r="FD27" s="125"/>
      <c r="FE27" s="125"/>
      <c r="FF27" s="125"/>
      <c r="FG27" s="125"/>
      <c r="FH27" s="125"/>
      <c r="FI27" s="125"/>
      <c r="FJ27" s="125"/>
      <c r="FK27" s="125"/>
      <c r="FL27" s="125"/>
      <c r="FM27" s="125"/>
      <c r="FN27" s="125"/>
      <c r="FO27" s="125"/>
      <c r="FP27" s="125"/>
      <c r="FQ27" s="125"/>
      <c r="FR27" s="125"/>
      <c r="FS27" s="125"/>
      <c r="FT27" s="125"/>
      <c r="FU27" s="125"/>
      <c r="FV27" s="125"/>
      <c r="FW27" s="125"/>
      <c r="FX27" s="125"/>
      <c r="FY27" s="125"/>
      <c r="FZ27" s="125"/>
      <c r="GA27" s="125"/>
      <c r="GB27" s="125"/>
      <c r="GC27" s="125"/>
      <c r="GD27" s="125"/>
      <c r="GE27" s="125"/>
      <c r="GF27" s="125"/>
      <c r="GG27" s="125"/>
      <c r="GH27" s="125"/>
      <c r="GI27" s="125"/>
      <c r="GJ27" s="125"/>
      <c r="GK27" s="125"/>
      <c r="GL27" s="125"/>
      <c r="GM27" s="125"/>
      <c r="GN27" s="125"/>
      <c r="GO27" s="125"/>
      <c r="GP27" s="125"/>
      <c r="GQ27" s="125"/>
      <c r="GR27" s="125"/>
      <c r="GS27" s="125"/>
      <c r="GT27" s="125"/>
      <c r="GU27" s="125"/>
      <c r="GV27" s="125"/>
      <c r="GW27" s="125"/>
      <c r="GX27" s="125"/>
      <c r="GY27" s="125"/>
      <c r="GZ27" s="125"/>
      <c r="HA27" s="125"/>
      <c r="HB27" s="125"/>
      <c r="HC27" s="125"/>
      <c r="HD27" s="125"/>
      <c r="HE27" s="125"/>
      <c r="HF27" s="125"/>
      <c r="HG27" s="125"/>
      <c r="HH27" s="125"/>
      <c r="HI27" s="125"/>
      <c r="HJ27" s="125"/>
      <c r="HK27" s="125"/>
      <c r="HL27" s="125"/>
      <c r="HM27" s="125"/>
      <c r="HN27" s="125"/>
      <c r="HO27" s="125"/>
      <c r="HP27" s="125"/>
      <c r="HQ27" s="125"/>
      <c r="HR27" s="125"/>
      <c r="HS27" s="125"/>
      <c r="HT27" s="125"/>
      <c r="HU27" s="125"/>
      <c r="HV27" s="125"/>
      <c r="HW27" s="125"/>
      <c r="HX27" s="125"/>
      <c r="HY27" s="125"/>
      <c r="HZ27" s="125"/>
      <c r="IA27" s="125"/>
      <c r="IB27" s="125"/>
      <c r="IC27" s="125"/>
      <c r="ID27" s="125"/>
      <c r="IE27" s="125"/>
      <c r="IF27" s="125"/>
      <c r="IG27" s="125"/>
      <c r="IH27" s="125"/>
      <c r="II27" s="125"/>
      <c r="IJ27" s="125"/>
      <c r="IK27" s="125"/>
      <c r="IL27" s="125"/>
      <c r="IM27" s="125"/>
      <c r="IN27" s="125"/>
      <c r="IO27" s="125"/>
      <c r="IP27" s="125"/>
      <c r="IQ27" s="125"/>
      <c r="IR27" s="125"/>
      <c r="IS27" s="125"/>
      <c r="IT27" s="125"/>
      <c r="IU27" s="125"/>
      <c r="IV27" s="125"/>
    </row>
    <row r="28" spans="1:256" ht="18" customHeight="1" x14ac:dyDescent="0.35">
      <c r="A28" s="1600">
        <v>22</v>
      </c>
      <c r="B28" s="125"/>
      <c r="D28" s="1614" t="s">
        <v>1331</v>
      </c>
      <c r="E28" s="1621"/>
      <c r="F28" s="1622"/>
      <c r="G28" s="2066"/>
      <c r="H28" s="1622"/>
      <c r="I28" s="125"/>
      <c r="J28" s="1616"/>
      <c r="K28" s="125"/>
      <c r="L28" s="1616"/>
      <c r="M28" s="125"/>
      <c r="N28" s="125"/>
      <c r="O28" s="125"/>
      <c r="P28" s="125"/>
      <c r="Q28" s="125"/>
      <c r="R28" s="125"/>
      <c r="S28" s="125"/>
      <c r="T28" s="125"/>
      <c r="U28" s="125"/>
      <c r="V28" s="125"/>
      <c r="W28" s="125"/>
      <c r="X28" s="125"/>
      <c r="Y28" s="125"/>
      <c r="Z28" s="125"/>
      <c r="AA28" s="125"/>
      <c r="AB28" s="125"/>
      <c r="AC28" s="125"/>
      <c r="AD28" s="125"/>
      <c r="AE28" s="125"/>
      <c r="AF28" s="125"/>
      <c r="AG28" s="125"/>
      <c r="AH28" s="125"/>
      <c r="AI28" s="125"/>
      <c r="AJ28" s="125"/>
      <c r="AK28" s="125"/>
      <c r="AL28" s="125"/>
      <c r="AM28" s="125"/>
      <c r="AN28" s="125"/>
      <c r="AO28" s="125"/>
      <c r="AP28" s="125"/>
      <c r="AQ28" s="125"/>
      <c r="AR28" s="125"/>
      <c r="AS28" s="125"/>
      <c r="AT28" s="125"/>
      <c r="AU28" s="125"/>
      <c r="AV28" s="125"/>
      <c r="AW28" s="125"/>
      <c r="AX28" s="125"/>
      <c r="AY28" s="125"/>
      <c r="AZ28" s="125"/>
      <c r="BA28" s="125"/>
      <c r="BB28" s="125"/>
      <c r="BC28" s="125"/>
      <c r="BD28" s="125"/>
      <c r="BE28" s="125"/>
      <c r="BF28" s="125"/>
      <c r="BG28" s="125"/>
      <c r="BH28" s="125"/>
      <c r="BI28" s="125"/>
      <c r="BJ28" s="125"/>
      <c r="BK28" s="125"/>
      <c r="BL28" s="125"/>
      <c r="BM28" s="125"/>
      <c r="BN28" s="125"/>
      <c r="BO28" s="125"/>
      <c r="BP28" s="125"/>
      <c r="BQ28" s="125"/>
      <c r="BR28" s="125"/>
      <c r="BS28" s="125"/>
      <c r="BT28" s="125"/>
      <c r="BU28" s="125"/>
      <c r="BV28" s="125"/>
      <c r="BW28" s="125"/>
      <c r="BX28" s="125"/>
      <c r="BY28" s="125"/>
      <c r="BZ28" s="125"/>
      <c r="CA28" s="125"/>
      <c r="CB28" s="125"/>
      <c r="CC28" s="125"/>
      <c r="CD28" s="125"/>
      <c r="CE28" s="125"/>
      <c r="CF28" s="125"/>
      <c r="CG28" s="125"/>
      <c r="CH28" s="125"/>
      <c r="CI28" s="125"/>
      <c r="CJ28" s="125"/>
      <c r="CK28" s="125"/>
      <c r="CL28" s="125"/>
      <c r="CM28" s="125"/>
      <c r="CN28" s="125"/>
      <c r="CO28" s="125"/>
      <c r="CP28" s="125"/>
      <c r="CQ28" s="125"/>
      <c r="CR28" s="125"/>
      <c r="CS28" s="125"/>
      <c r="CT28" s="125"/>
      <c r="CU28" s="125"/>
      <c r="CV28" s="125"/>
      <c r="CW28" s="125"/>
      <c r="CX28" s="125"/>
      <c r="CY28" s="125"/>
      <c r="CZ28" s="125"/>
      <c r="DA28" s="125"/>
      <c r="DB28" s="125"/>
      <c r="DC28" s="125"/>
      <c r="DD28" s="125"/>
      <c r="DE28" s="125"/>
      <c r="DF28" s="125"/>
      <c r="DG28" s="125"/>
      <c r="DH28" s="125"/>
      <c r="DI28" s="125"/>
      <c r="DJ28" s="125"/>
      <c r="DK28" s="125"/>
      <c r="DL28" s="125"/>
      <c r="DM28" s="125"/>
      <c r="DN28" s="125"/>
      <c r="DO28" s="125"/>
      <c r="DP28" s="125"/>
      <c r="DQ28" s="125"/>
      <c r="DR28" s="125"/>
      <c r="DS28" s="125"/>
      <c r="DT28" s="125"/>
      <c r="DU28" s="125"/>
      <c r="DV28" s="125"/>
      <c r="DW28" s="125"/>
      <c r="DX28" s="125"/>
      <c r="DY28" s="125"/>
      <c r="DZ28" s="125"/>
      <c r="EA28" s="125"/>
      <c r="EB28" s="125"/>
      <c r="EC28" s="125"/>
      <c r="ED28" s="125"/>
      <c r="EE28" s="125"/>
      <c r="EF28" s="125"/>
      <c r="EG28" s="125"/>
      <c r="EH28" s="125"/>
      <c r="EI28" s="125"/>
      <c r="EJ28" s="125"/>
      <c r="EK28" s="125"/>
      <c r="EL28" s="125"/>
      <c r="EM28" s="125"/>
      <c r="EN28" s="125"/>
      <c r="EO28" s="125"/>
      <c r="EP28" s="125"/>
      <c r="EQ28" s="125"/>
      <c r="ER28" s="125"/>
      <c r="ES28" s="125"/>
      <c r="ET28" s="125"/>
      <c r="EU28" s="125"/>
      <c r="EV28" s="125"/>
      <c r="EW28" s="125"/>
      <c r="EX28" s="125"/>
      <c r="EY28" s="125"/>
      <c r="EZ28" s="125"/>
      <c r="FA28" s="125"/>
      <c r="FB28" s="125"/>
      <c r="FC28" s="125"/>
      <c r="FD28" s="125"/>
      <c r="FE28" s="125"/>
      <c r="FF28" s="125"/>
      <c r="FG28" s="125"/>
      <c r="FH28" s="125"/>
      <c r="FI28" s="125"/>
      <c r="FJ28" s="125"/>
      <c r="FK28" s="125"/>
      <c r="FL28" s="125"/>
      <c r="FM28" s="125"/>
      <c r="FN28" s="125"/>
      <c r="FO28" s="125"/>
      <c r="FP28" s="125"/>
      <c r="FQ28" s="125"/>
      <c r="FR28" s="125"/>
      <c r="FS28" s="125"/>
      <c r="FT28" s="125"/>
      <c r="FU28" s="125"/>
      <c r="FV28" s="125"/>
      <c r="FW28" s="125"/>
      <c r="FX28" s="125"/>
      <c r="FY28" s="125"/>
      <c r="FZ28" s="125"/>
      <c r="GA28" s="125"/>
      <c r="GB28" s="125"/>
      <c r="GC28" s="125"/>
      <c r="GD28" s="125"/>
      <c r="GE28" s="125"/>
      <c r="GF28" s="125"/>
      <c r="GG28" s="125"/>
      <c r="GH28" s="125"/>
      <c r="GI28" s="125"/>
      <c r="GJ28" s="125"/>
      <c r="GK28" s="125"/>
      <c r="GL28" s="125"/>
      <c r="GM28" s="125"/>
      <c r="GN28" s="125"/>
      <c r="GO28" s="125"/>
      <c r="GP28" s="125"/>
      <c r="GQ28" s="125"/>
      <c r="GR28" s="125"/>
      <c r="GS28" s="125"/>
      <c r="GT28" s="125"/>
      <c r="GU28" s="125"/>
      <c r="GV28" s="125"/>
      <c r="GW28" s="125"/>
      <c r="GX28" s="125"/>
      <c r="GY28" s="125"/>
      <c r="GZ28" s="125"/>
      <c r="HA28" s="125"/>
      <c r="HB28" s="125"/>
      <c r="HC28" s="125"/>
      <c r="HD28" s="125"/>
      <c r="HE28" s="125"/>
      <c r="HF28" s="125"/>
      <c r="HG28" s="125"/>
      <c r="HH28" s="125"/>
      <c r="HI28" s="125"/>
      <c r="HJ28" s="125"/>
      <c r="HK28" s="125"/>
      <c r="HL28" s="125"/>
      <c r="HM28" s="125"/>
      <c r="HN28" s="125"/>
      <c r="HO28" s="125"/>
      <c r="HP28" s="125"/>
      <c r="HQ28" s="125"/>
      <c r="HR28" s="125"/>
      <c r="HS28" s="125"/>
      <c r="HT28" s="125"/>
      <c r="HU28" s="125"/>
      <c r="HV28" s="125"/>
      <c r="HW28" s="125"/>
      <c r="HX28" s="125"/>
      <c r="HY28" s="125"/>
      <c r="HZ28" s="125"/>
      <c r="IA28" s="125"/>
      <c r="IB28" s="125"/>
      <c r="IC28" s="125"/>
      <c r="ID28" s="125"/>
      <c r="IE28" s="125"/>
      <c r="IF28" s="125"/>
      <c r="IG28" s="125"/>
      <c r="IH28" s="125"/>
      <c r="II28" s="125"/>
      <c r="IJ28" s="125"/>
      <c r="IK28" s="125"/>
      <c r="IL28" s="125"/>
      <c r="IM28" s="125"/>
      <c r="IN28" s="125"/>
      <c r="IO28" s="125"/>
      <c r="IP28" s="125"/>
      <c r="IQ28" s="125"/>
      <c r="IR28" s="125"/>
      <c r="IS28" s="125"/>
      <c r="IT28" s="125"/>
      <c r="IU28" s="125"/>
      <c r="IV28" s="125"/>
    </row>
    <row r="29" spans="1:256" ht="18" customHeight="1" x14ac:dyDescent="0.35">
      <c r="A29" s="1600">
        <v>23</v>
      </c>
      <c r="B29" s="125"/>
      <c r="D29" s="67" t="s">
        <v>132</v>
      </c>
      <c r="E29" s="71">
        <v>-18069</v>
      </c>
      <c r="F29" s="1622"/>
      <c r="G29" s="2066"/>
      <c r="H29" s="1622"/>
      <c r="I29" s="125"/>
      <c r="J29" s="1616"/>
      <c r="K29" s="125"/>
      <c r="L29" s="1616"/>
      <c r="M29" s="125"/>
      <c r="N29" s="125"/>
      <c r="O29" s="125"/>
      <c r="P29" s="125"/>
      <c r="Q29" s="125"/>
      <c r="R29" s="125"/>
      <c r="S29" s="125"/>
      <c r="T29" s="125"/>
      <c r="U29" s="125"/>
      <c r="V29" s="125"/>
      <c r="W29" s="125"/>
      <c r="X29" s="125"/>
      <c r="Y29" s="125"/>
      <c r="Z29" s="125"/>
      <c r="AA29" s="125"/>
      <c r="AB29" s="125"/>
      <c r="AC29" s="125"/>
      <c r="AD29" s="125"/>
      <c r="AE29" s="125"/>
      <c r="AF29" s="125"/>
      <c r="AG29" s="125"/>
      <c r="AH29" s="125"/>
      <c r="AI29" s="125"/>
      <c r="AJ29" s="125"/>
      <c r="AK29" s="125"/>
      <c r="AL29" s="125"/>
      <c r="AM29" s="125"/>
      <c r="AN29" s="125"/>
      <c r="AO29" s="125"/>
      <c r="AP29" s="125"/>
      <c r="AQ29" s="125"/>
      <c r="AR29" s="125"/>
      <c r="AS29" s="125"/>
      <c r="AT29" s="125"/>
      <c r="AU29" s="125"/>
      <c r="AV29" s="125"/>
      <c r="AW29" s="125"/>
      <c r="AX29" s="125"/>
      <c r="AY29" s="125"/>
      <c r="AZ29" s="125"/>
      <c r="BA29" s="125"/>
      <c r="BB29" s="125"/>
      <c r="BC29" s="125"/>
      <c r="BD29" s="125"/>
      <c r="BE29" s="125"/>
      <c r="BF29" s="125"/>
      <c r="BG29" s="125"/>
      <c r="BH29" s="125"/>
      <c r="BI29" s="125"/>
      <c r="BJ29" s="125"/>
      <c r="BK29" s="125"/>
      <c r="BL29" s="125"/>
      <c r="BM29" s="125"/>
      <c r="BN29" s="125"/>
      <c r="BO29" s="125"/>
      <c r="BP29" s="125"/>
      <c r="BQ29" s="125"/>
      <c r="BR29" s="125"/>
      <c r="BS29" s="125"/>
      <c r="BT29" s="125"/>
      <c r="BU29" s="125"/>
      <c r="BV29" s="125"/>
      <c r="BW29" s="125"/>
      <c r="BX29" s="125"/>
      <c r="BY29" s="125"/>
      <c r="BZ29" s="125"/>
      <c r="CA29" s="125"/>
      <c r="CB29" s="125"/>
      <c r="CC29" s="125"/>
      <c r="CD29" s="125"/>
      <c r="CE29" s="125"/>
      <c r="CF29" s="125"/>
      <c r="CG29" s="125"/>
      <c r="CH29" s="125"/>
      <c r="CI29" s="125"/>
      <c r="CJ29" s="125"/>
      <c r="CK29" s="125"/>
      <c r="CL29" s="125"/>
      <c r="CM29" s="125"/>
      <c r="CN29" s="125"/>
      <c r="CO29" s="125"/>
      <c r="CP29" s="125"/>
      <c r="CQ29" s="125"/>
      <c r="CR29" s="125"/>
      <c r="CS29" s="125"/>
      <c r="CT29" s="125"/>
      <c r="CU29" s="125"/>
      <c r="CV29" s="125"/>
      <c r="CW29" s="125"/>
      <c r="CX29" s="125"/>
      <c r="CY29" s="125"/>
      <c r="CZ29" s="125"/>
      <c r="DA29" s="125"/>
      <c r="DB29" s="125"/>
      <c r="DC29" s="125"/>
      <c r="DD29" s="125"/>
      <c r="DE29" s="125"/>
      <c r="DF29" s="125"/>
      <c r="DG29" s="125"/>
      <c r="DH29" s="125"/>
      <c r="DI29" s="125"/>
      <c r="DJ29" s="125"/>
      <c r="DK29" s="125"/>
      <c r="DL29" s="125"/>
      <c r="DM29" s="125"/>
      <c r="DN29" s="125"/>
      <c r="DO29" s="125"/>
      <c r="DP29" s="125"/>
      <c r="DQ29" s="125"/>
      <c r="DR29" s="125"/>
      <c r="DS29" s="125"/>
      <c r="DT29" s="125"/>
      <c r="DU29" s="125"/>
      <c r="DV29" s="125"/>
      <c r="DW29" s="125"/>
      <c r="DX29" s="125"/>
      <c r="DY29" s="125"/>
      <c r="DZ29" s="125"/>
      <c r="EA29" s="125"/>
      <c r="EB29" s="125"/>
      <c r="EC29" s="125"/>
      <c r="ED29" s="125"/>
      <c r="EE29" s="125"/>
      <c r="EF29" s="125"/>
      <c r="EG29" s="125"/>
      <c r="EH29" s="125"/>
      <c r="EI29" s="125"/>
      <c r="EJ29" s="125"/>
      <c r="EK29" s="125"/>
      <c r="EL29" s="125"/>
      <c r="EM29" s="125"/>
      <c r="EN29" s="125"/>
      <c r="EO29" s="125"/>
      <c r="EP29" s="125"/>
      <c r="EQ29" s="125"/>
      <c r="ER29" s="125"/>
      <c r="ES29" s="125"/>
      <c r="ET29" s="125"/>
      <c r="EU29" s="125"/>
      <c r="EV29" s="125"/>
      <c r="EW29" s="125"/>
      <c r="EX29" s="125"/>
      <c r="EY29" s="125"/>
      <c r="EZ29" s="125"/>
      <c r="FA29" s="125"/>
      <c r="FB29" s="125"/>
      <c r="FC29" s="125"/>
      <c r="FD29" s="125"/>
      <c r="FE29" s="125"/>
      <c r="FF29" s="125"/>
      <c r="FG29" s="125"/>
      <c r="FH29" s="125"/>
      <c r="FI29" s="125"/>
      <c r="FJ29" s="125"/>
      <c r="FK29" s="125"/>
      <c r="FL29" s="125"/>
      <c r="FM29" s="125"/>
      <c r="FN29" s="125"/>
      <c r="FO29" s="125"/>
      <c r="FP29" s="125"/>
      <c r="FQ29" s="125"/>
      <c r="FR29" s="125"/>
      <c r="FS29" s="125"/>
      <c r="FT29" s="125"/>
      <c r="FU29" s="125"/>
      <c r="FV29" s="125"/>
      <c r="FW29" s="125"/>
      <c r="FX29" s="125"/>
      <c r="FY29" s="125"/>
      <c r="FZ29" s="125"/>
      <c r="GA29" s="125"/>
      <c r="GB29" s="125"/>
      <c r="GC29" s="125"/>
      <c r="GD29" s="125"/>
      <c r="GE29" s="125"/>
      <c r="GF29" s="125"/>
      <c r="GG29" s="125"/>
      <c r="GH29" s="125"/>
      <c r="GI29" s="125"/>
      <c r="GJ29" s="125"/>
      <c r="GK29" s="125"/>
      <c r="GL29" s="125"/>
      <c r="GM29" s="125"/>
      <c r="GN29" s="125"/>
      <c r="GO29" s="125"/>
      <c r="GP29" s="125"/>
      <c r="GQ29" s="125"/>
      <c r="GR29" s="125"/>
      <c r="GS29" s="125"/>
      <c r="GT29" s="125"/>
      <c r="GU29" s="125"/>
      <c r="GV29" s="125"/>
      <c r="GW29" s="125"/>
      <c r="GX29" s="125"/>
      <c r="GY29" s="125"/>
      <c r="GZ29" s="125"/>
      <c r="HA29" s="125"/>
      <c r="HB29" s="125"/>
      <c r="HC29" s="125"/>
      <c r="HD29" s="125"/>
      <c r="HE29" s="125"/>
      <c r="HF29" s="125"/>
      <c r="HG29" s="125"/>
      <c r="HH29" s="125"/>
      <c r="HI29" s="125"/>
      <c r="HJ29" s="125"/>
      <c r="HK29" s="125"/>
      <c r="HL29" s="125"/>
      <c r="HM29" s="125"/>
      <c r="HN29" s="125"/>
      <c r="HO29" s="125"/>
      <c r="HP29" s="125"/>
      <c r="HQ29" s="125"/>
      <c r="HR29" s="125"/>
      <c r="HS29" s="125"/>
      <c r="HT29" s="125"/>
      <c r="HU29" s="125"/>
      <c r="HV29" s="125"/>
      <c r="HW29" s="125"/>
      <c r="HX29" s="125"/>
      <c r="HY29" s="125"/>
      <c r="HZ29" s="125"/>
      <c r="IA29" s="125"/>
      <c r="IB29" s="125"/>
      <c r="IC29" s="125"/>
      <c r="ID29" s="125"/>
      <c r="IE29" s="125"/>
      <c r="IF29" s="125"/>
      <c r="IG29" s="125"/>
      <c r="IH29" s="125"/>
      <c r="II29" s="125"/>
      <c r="IJ29" s="125"/>
      <c r="IK29" s="125"/>
      <c r="IL29" s="125"/>
      <c r="IM29" s="125"/>
      <c r="IN29" s="125"/>
      <c r="IO29" s="125"/>
      <c r="IP29" s="125"/>
      <c r="IQ29" s="125"/>
      <c r="IR29" s="125"/>
      <c r="IS29" s="125"/>
      <c r="IT29" s="125"/>
      <c r="IU29" s="125"/>
      <c r="IV29" s="125"/>
    </row>
    <row r="30" spans="1:256" ht="18" customHeight="1" x14ac:dyDescent="0.35">
      <c r="A30" s="1600">
        <v>24</v>
      </c>
      <c r="B30" s="125"/>
      <c r="D30" s="67" t="s">
        <v>135</v>
      </c>
      <c r="E30" s="71">
        <v>1646</v>
      </c>
      <c r="F30" s="1622"/>
      <c r="G30" s="2066"/>
      <c r="H30" s="1622"/>
      <c r="I30" s="125"/>
      <c r="J30" s="1616"/>
      <c r="K30" s="125"/>
      <c r="L30" s="1616"/>
      <c r="M30" s="125"/>
      <c r="N30" s="125"/>
      <c r="O30" s="125"/>
      <c r="P30" s="125"/>
      <c r="Q30" s="125"/>
      <c r="R30" s="125"/>
      <c r="S30" s="125"/>
      <c r="T30" s="125"/>
      <c r="U30" s="125"/>
      <c r="V30" s="125"/>
      <c r="W30" s="125"/>
      <c r="X30" s="125"/>
      <c r="Y30" s="125"/>
      <c r="Z30" s="125"/>
      <c r="AA30" s="125"/>
      <c r="AB30" s="125"/>
      <c r="AC30" s="125"/>
      <c r="AD30" s="125"/>
      <c r="AE30" s="125"/>
      <c r="AF30" s="125"/>
      <c r="AG30" s="125"/>
      <c r="AH30" s="125"/>
      <c r="AI30" s="125"/>
      <c r="AJ30" s="125"/>
      <c r="AK30" s="125"/>
      <c r="AL30" s="125"/>
      <c r="AM30" s="125"/>
      <c r="AN30" s="125"/>
      <c r="AO30" s="125"/>
      <c r="AP30" s="125"/>
      <c r="AQ30" s="125"/>
      <c r="AR30" s="125"/>
      <c r="AS30" s="125"/>
      <c r="AT30" s="125"/>
      <c r="AU30" s="125"/>
      <c r="AV30" s="125"/>
      <c r="AW30" s="125"/>
      <c r="AX30" s="125"/>
      <c r="AY30" s="125"/>
      <c r="AZ30" s="125"/>
      <c r="BA30" s="125"/>
      <c r="BB30" s="125"/>
      <c r="BC30" s="125"/>
      <c r="BD30" s="125"/>
      <c r="BE30" s="125"/>
      <c r="BF30" s="125"/>
      <c r="BG30" s="125"/>
      <c r="BH30" s="125"/>
      <c r="BI30" s="125"/>
      <c r="BJ30" s="125"/>
      <c r="BK30" s="125"/>
      <c r="BL30" s="125"/>
      <c r="BM30" s="125"/>
      <c r="BN30" s="125"/>
      <c r="BO30" s="125"/>
      <c r="BP30" s="125"/>
      <c r="BQ30" s="125"/>
      <c r="BR30" s="125"/>
      <c r="BS30" s="125"/>
      <c r="BT30" s="125"/>
      <c r="BU30" s="125"/>
      <c r="BV30" s="125"/>
      <c r="BW30" s="125"/>
      <c r="BX30" s="125"/>
      <c r="BY30" s="125"/>
      <c r="BZ30" s="125"/>
      <c r="CA30" s="125"/>
      <c r="CB30" s="125"/>
      <c r="CC30" s="125"/>
      <c r="CD30" s="125"/>
      <c r="CE30" s="125"/>
      <c r="CF30" s="125"/>
      <c r="CG30" s="125"/>
      <c r="CH30" s="125"/>
      <c r="CI30" s="125"/>
      <c r="CJ30" s="125"/>
      <c r="CK30" s="125"/>
      <c r="CL30" s="125"/>
      <c r="CM30" s="125"/>
      <c r="CN30" s="125"/>
      <c r="CO30" s="125"/>
      <c r="CP30" s="125"/>
      <c r="CQ30" s="125"/>
      <c r="CR30" s="125"/>
      <c r="CS30" s="125"/>
      <c r="CT30" s="125"/>
      <c r="CU30" s="125"/>
      <c r="CV30" s="125"/>
      <c r="CW30" s="125"/>
      <c r="CX30" s="125"/>
      <c r="CY30" s="125"/>
      <c r="CZ30" s="125"/>
      <c r="DA30" s="125"/>
      <c r="DB30" s="125"/>
      <c r="DC30" s="125"/>
      <c r="DD30" s="125"/>
      <c r="DE30" s="125"/>
      <c r="DF30" s="125"/>
      <c r="DG30" s="125"/>
      <c r="DH30" s="125"/>
      <c r="DI30" s="125"/>
      <c r="DJ30" s="125"/>
      <c r="DK30" s="125"/>
      <c r="DL30" s="125"/>
      <c r="DM30" s="125"/>
      <c r="DN30" s="125"/>
      <c r="DO30" s="125"/>
      <c r="DP30" s="125"/>
      <c r="DQ30" s="125"/>
      <c r="DR30" s="125"/>
      <c r="DS30" s="125"/>
      <c r="DT30" s="125"/>
      <c r="DU30" s="125"/>
      <c r="DV30" s="125"/>
      <c r="DW30" s="125"/>
      <c r="DX30" s="125"/>
      <c r="DY30" s="125"/>
      <c r="DZ30" s="125"/>
      <c r="EA30" s="125"/>
      <c r="EB30" s="125"/>
      <c r="EC30" s="125"/>
      <c r="ED30" s="125"/>
      <c r="EE30" s="125"/>
      <c r="EF30" s="125"/>
      <c r="EG30" s="125"/>
      <c r="EH30" s="125"/>
      <c r="EI30" s="125"/>
      <c r="EJ30" s="125"/>
      <c r="EK30" s="125"/>
      <c r="EL30" s="125"/>
      <c r="EM30" s="125"/>
      <c r="EN30" s="125"/>
      <c r="EO30" s="125"/>
      <c r="EP30" s="125"/>
      <c r="EQ30" s="125"/>
      <c r="ER30" s="125"/>
      <c r="ES30" s="125"/>
      <c r="ET30" s="125"/>
      <c r="EU30" s="125"/>
      <c r="EV30" s="125"/>
      <c r="EW30" s="125"/>
      <c r="EX30" s="125"/>
      <c r="EY30" s="125"/>
      <c r="EZ30" s="125"/>
      <c r="FA30" s="125"/>
      <c r="FB30" s="125"/>
      <c r="FC30" s="125"/>
      <c r="FD30" s="125"/>
      <c r="FE30" s="125"/>
      <c r="FF30" s="125"/>
      <c r="FG30" s="125"/>
      <c r="FH30" s="125"/>
      <c r="FI30" s="125"/>
      <c r="FJ30" s="125"/>
      <c r="FK30" s="125"/>
      <c r="FL30" s="125"/>
      <c r="FM30" s="125"/>
      <c r="FN30" s="125"/>
      <c r="FO30" s="125"/>
      <c r="FP30" s="125"/>
      <c r="FQ30" s="125"/>
      <c r="FR30" s="125"/>
      <c r="FS30" s="125"/>
      <c r="FT30" s="125"/>
      <c r="FU30" s="125"/>
      <c r="FV30" s="125"/>
      <c r="FW30" s="125"/>
      <c r="FX30" s="125"/>
      <c r="FY30" s="125"/>
      <c r="FZ30" s="125"/>
      <c r="GA30" s="125"/>
      <c r="GB30" s="125"/>
      <c r="GC30" s="125"/>
      <c r="GD30" s="125"/>
      <c r="GE30" s="125"/>
      <c r="GF30" s="125"/>
      <c r="GG30" s="125"/>
      <c r="GH30" s="125"/>
      <c r="GI30" s="125"/>
      <c r="GJ30" s="125"/>
      <c r="GK30" s="125"/>
      <c r="GL30" s="125"/>
      <c r="GM30" s="125"/>
      <c r="GN30" s="125"/>
      <c r="GO30" s="125"/>
      <c r="GP30" s="125"/>
      <c r="GQ30" s="125"/>
      <c r="GR30" s="125"/>
      <c r="GS30" s="125"/>
      <c r="GT30" s="125"/>
      <c r="GU30" s="125"/>
      <c r="GV30" s="125"/>
      <c r="GW30" s="125"/>
      <c r="GX30" s="125"/>
      <c r="GY30" s="125"/>
      <c r="GZ30" s="125"/>
      <c r="HA30" s="125"/>
      <c r="HB30" s="125"/>
      <c r="HC30" s="125"/>
      <c r="HD30" s="125"/>
      <c r="HE30" s="125"/>
      <c r="HF30" s="125"/>
      <c r="HG30" s="125"/>
      <c r="HH30" s="125"/>
      <c r="HI30" s="125"/>
      <c r="HJ30" s="125"/>
      <c r="HK30" s="125"/>
      <c r="HL30" s="125"/>
      <c r="HM30" s="125"/>
      <c r="HN30" s="125"/>
      <c r="HO30" s="125"/>
      <c r="HP30" s="125"/>
      <c r="HQ30" s="125"/>
      <c r="HR30" s="125"/>
      <c r="HS30" s="125"/>
      <c r="HT30" s="125"/>
      <c r="HU30" s="125"/>
      <c r="HV30" s="125"/>
      <c r="HW30" s="125"/>
      <c r="HX30" s="125"/>
      <c r="HY30" s="125"/>
      <c r="HZ30" s="125"/>
      <c r="IA30" s="125"/>
      <c r="IB30" s="125"/>
      <c r="IC30" s="125"/>
      <c r="ID30" s="125"/>
      <c r="IE30" s="125"/>
      <c r="IF30" s="125"/>
      <c r="IG30" s="125"/>
      <c r="IH30" s="125"/>
      <c r="II30" s="125"/>
      <c r="IJ30" s="125"/>
      <c r="IK30" s="125"/>
      <c r="IL30" s="125"/>
      <c r="IM30" s="125"/>
      <c r="IN30" s="125"/>
      <c r="IO30" s="125"/>
      <c r="IP30" s="125"/>
      <c r="IQ30" s="125"/>
      <c r="IR30" s="125"/>
      <c r="IS30" s="125"/>
      <c r="IT30" s="125"/>
      <c r="IU30" s="125"/>
      <c r="IV30" s="125"/>
    </row>
    <row r="31" spans="1:256" ht="18" customHeight="1" x14ac:dyDescent="0.35">
      <c r="A31" s="1600">
        <v>25</v>
      </c>
      <c r="B31" s="125"/>
      <c r="D31" s="67" t="s">
        <v>134</v>
      </c>
      <c r="E31" s="71">
        <v>-1560</v>
      </c>
      <c r="F31" s="1622"/>
      <c r="G31" s="2066"/>
      <c r="H31" s="1622"/>
      <c r="I31" s="125"/>
      <c r="J31" s="1616"/>
      <c r="K31" s="125"/>
      <c r="L31" s="1616"/>
      <c r="M31" s="125"/>
      <c r="N31" s="125"/>
      <c r="O31" s="125"/>
      <c r="P31" s="125"/>
      <c r="Q31" s="125"/>
      <c r="R31" s="125"/>
      <c r="S31" s="125"/>
      <c r="T31" s="125"/>
      <c r="U31" s="125"/>
      <c r="V31" s="125"/>
      <c r="W31" s="125"/>
      <c r="X31" s="125"/>
      <c r="Y31" s="125"/>
      <c r="Z31" s="125"/>
      <c r="AA31" s="125"/>
      <c r="AB31" s="125"/>
      <c r="AC31" s="125"/>
      <c r="AD31" s="125"/>
      <c r="AE31" s="125"/>
      <c r="AF31" s="125"/>
      <c r="AG31" s="125"/>
      <c r="AH31" s="125"/>
      <c r="AI31" s="125"/>
      <c r="AJ31" s="125"/>
      <c r="AK31" s="125"/>
      <c r="AL31" s="125"/>
      <c r="AM31" s="125"/>
      <c r="AN31" s="125"/>
      <c r="AO31" s="125"/>
      <c r="AP31" s="125"/>
      <c r="AQ31" s="125"/>
      <c r="AR31" s="125"/>
      <c r="AS31" s="125"/>
      <c r="AT31" s="125"/>
      <c r="AU31" s="125"/>
      <c r="AV31" s="125"/>
      <c r="AW31" s="125"/>
      <c r="AX31" s="125"/>
      <c r="AY31" s="125"/>
      <c r="AZ31" s="125"/>
      <c r="BA31" s="125"/>
      <c r="BB31" s="125"/>
      <c r="BC31" s="125"/>
      <c r="BD31" s="125"/>
      <c r="BE31" s="125"/>
      <c r="BF31" s="125"/>
      <c r="BG31" s="125"/>
      <c r="BH31" s="125"/>
      <c r="BI31" s="125"/>
      <c r="BJ31" s="125"/>
      <c r="BK31" s="125"/>
      <c r="BL31" s="125"/>
      <c r="BM31" s="125"/>
      <c r="BN31" s="125"/>
      <c r="BO31" s="125"/>
      <c r="BP31" s="125"/>
      <c r="BQ31" s="125"/>
      <c r="BR31" s="125"/>
      <c r="BS31" s="125"/>
      <c r="BT31" s="125"/>
      <c r="BU31" s="125"/>
      <c r="BV31" s="125"/>
      <c r="BW31" s="125"/>
      <c r="BX31" s="125"/>
      <c r="BY31" s="125"/>
      <c r="BZ31" s="125"/>
      <c r="CA31" s="125"/>
      <c r="CB31" s="125"/>
      <c r="CC31" s="125"/>
      <c r="CD31" s="125"/>
      <c r="CE31" s="125"/>
      <c r="CF31" s="125"/>
      <c r="CG31" s="125"/>
      <c r="CH31" s="125"/>
      <c r="CI31" s="125"/>
      <c r="CJ31" s="125"/>
      <c r="CK31" s="125"/>
      <c r="CL31" s="125"/>
      <c r="CM31" s="125"/>
      <c r="CN31" s="125"/>
      <c r="CO31" s="125"/>
      <c r="CP31" s="125"/>
      <c r="CQ31" s="125"/>
      <c r="CR31" s="125"/>
      <c r="CS31" s="125"/>
      <c r="CT31" s="125"/>
      <c r="CU31" s="125"/>
      <c r="CV31" s="125"/>
      <c r="CW31" s="125"/>
      <c r="CX31" s="125"/>
      <c r="CY31" s="125"/>
      <c r="CZ31" s="125"/>
      <c r="DA31" s="125"/>
      <c r="DB31" s="125"/>
      <c r="DC31" s="125"/>
      <c r="DD31" s="125"/>
      <c r="DE31" s="125"/>
      <c r="DF31" s="125"/>
      <c r="DG31" s="125"/>
      <c r="DH31" s="125"/>
      <c r="DI31" s="125"/>
      <c r="DJ31" s="125"/>
      <c r="DK31" s="125"/>
      <c r="DL31" s="125"/>
      <c r="DM31" s="125"/>
      <c r="DN31" s="125"/>
      <c r="DO31" s="125"/>
      <c r="DP31" s="125"/>
      <c r="DQ31" s="125"/>
      <c r="DR31" s="125"/>
      <c r="DS31" s="125"/>
      <c r="DT31" s="125"/>
      <c r="DU31" s="125"/>
      <c r="DV31" s="125"/>
      <c r="DW31" s="125"/>
      <c r="DX31" s="125"/>
      <c r="DY31" s="125"/>
      <c r="DZ31" s="125"/>
      <c r="EA31" s="125"/>
      <c r="EB31" s="125"/>
      <c r="EC31" s="125"/>
      <c r="ED31" s="125"/>
      <c r="EE31" s="125"/>
      <c r="EF31" s="125"/>
      <c r="EG31" s="125"/>
      <c r="EH31" s="125"/>
      <c r="EI31" s="125"/>
      <c r="EJ31" s="125"/>
      <c r="EK31" s="125"/>
      <c r="EL31" s="125"/>
      <c r="EM31" s="125"/>
      <c r="EN31" s="125"/>
      <c r="EO31" s="125"/>
      <c r="EP31" s="125"/>
      <c r="EQ31" s="125"/>
      <c r="ER31" s="125"/>
      <c r="ES31" s="125"/>
      <c r="ET31" s="125"/>
      <c r="EU31" s="125"/>
      <c r="EV31" s="125"/>
      <c r="EW31" s="125"/>
      <c r="EX31" s="125"/>
      <c r="EY31" s="125"/>
      <c r="EZ31" s="125"/>
      <c r="FA31" s="125"/>
      <c r="FB31" s="125"/>
      <c r="FC31" s="125"/>
      <c r="FD31" s="125"/>
      <c r="FE31" s="125"/>
      <c r="FF31" s="125"/>
      <c r="FG31" s="125"/>
      <c r="FH31" s="125"/>
      <c r="FI31" s="125"/>
      <c r="FJ31" s="125"/>
      <c r="FK31" s="125"/>
      <c r="FL31" s="125"/>
      <c r="FM31" s="125"/>
      <c r="FN31" s="125"/>
      <c r="FO31" s="125"/>
      <c r="FP31" s="125"/>
      <c r="FQ31" s="125"/>
      <c r="FR31" s="125"/>
      <c r="FS31" s="125"/>
      <c r="FT31" s="125"/>
      <c r="FU31" s="125"/>
      <c r="FV31" s="125"/>
      <c r="FW31" s="125"/>
      <c r="FX31" s="125"/>
      <c r="FY31" s="125"/>
      <c r="FZ31" s="125"/>
      <c r="GA31" s="125"/>
      <c r="GB31" s="125"/>
      <c r="GC31" s="125"/>
      <c r="GD31" s="125"/>
      <c r="GE31" s="125"/>
      <c r="GF31" s="125"/>
      <c r="GG31" s="125"/>
      <c r="GH31" s="125"/>
      <c r="GI31" s="125"/>
      <c r="GJ31" s="125"/>
      <c r="GK31" s="125"/>
      <c r="GL31" s="125"/>
      <c r="GM31" s="125"/>
      <c r="GN31" s="125"/>
      <c r="GO31" s="125"/>
      <c r="GP31" s="125"/>
      <c r="GQ31" s="125"/>
      <c r="GR31" s="125"/>
      <c r="GS31" s="125"/>
      <c r="GT31" s="125"/>
      <c r="GU31" s="125"/>
      <c r="GV31" s="125"/>
      <c r="GW31" s="125"/>
      <c r="GX31" s="125"/>
      <c r="GY31" s="125"/>
      <c r="GZ31" s="125"/>
      <c r="HA31" s="125"/>
      <c r="HB31" s="125"/>
      <c r="HC31" s="125"/>
      <c r="HD31" s="125"/>
      <c r="HE31" s="125"/>
      <c r="HF31" s="125"/>
      <c r="HG31" s="125"/>
      <c r="HH31" s="125"/>
      <c r="HI31" s="125"/>
      <c r="HJ31" s="125"/>
      <c r="HK31" s="125"/>
      <c r="HL31" s="125"/>
      <c r="HM31" s="125"/>
      <c r="HN31" s="125"/>
      <c r="HO31" s="125"/>
      <c r="HP31" s="125"/>
      <c r="HQ31" s="125"/>
      <c r="HR31" s="125"/>
      <c r="HS31" s="125"/>
      <c r="HT31" s="125"/>
      <c r="HU31" s="125"/>
      <c r="HV31" s="125"/>
      <c r="HW31" s="125"/>
      <c r="HX31" s="125"/>
      <c r="HY31" s="125"/>
      <c r="HZ31" s="125"/>
      <c r="IA31" s="125"/>
      <c r="IB31" s="125"/>
      <c r="IC31" s="125"/>
      <c r="ID31" s="125"/>
      <c r="IE31" s="125"/>
      <c r="IF31" s="125"/>
      <c r="IG31" s="125"/>
      <c r="IH31" s="125"/>
      <c r="II31" s="125"/>
      <c r="IJ31" s="125"/>
      <c r="IK31" s="125"/>
      <c r="IL31" s="125"/>
      <c r="IM31" s="125"/>
      <c r="IN31" s="125"/>
      <c r="IO31" s="125"/>
      <c r="IP31" s="125"/>
      <c r="IQ31" s="125"/>
      <c r="IR31" s="125"/>
      <c r="IS31" s="125"/>
      <c r="IT31" s="125"/>
      <c r="IU31" s="125"/>
      <c r="IV31" s="125"/>
    </row>
    <row r="32" spans="1:256" ht="18" customHeight="1" x14ac:dyDescent="0.35">
      <c r="A32" s="1600">
        <v>26</v>
      </c>
      <c r="B32" s="125"/>
      <c r="D32" s="67" t="s">
        <v>133</v>
      </c>
      <c r="E32" s="71">
        <v>4484</v>
      </c>
      <c r="F32" s="1622"/>
      <c r="G32" s="2066"/>
      <c r="H32" s="1622"/>
      <c r="I32" s="125"/>
      <c r="J32" s="1616"/>
      <c r="K32" s="125"/>
      <c r="L32" s="1616"/>
      <c r="M32" s="125"/>
      <c r="N32" s="125"/>
      <c r="O32" s="125"/>
      <c r="P32" s="125"/>
      <c r="Q32" s="125"/>
      <c r="R32" s="125"/>
      <c r="S32" s="125"/>
      <c r="T32" s="125"/>
      <c r="U32" s="125"/>
      <c r="V32" s="125"/>
      <c r="W32" s="125"/>
      <c r="X32" s="125"/>
      <c r="Y32" s="125"/>
      <c r="Z32" s="125"/>
      <c r="AA32" s="125"/>
      <c r="AB32" s="125"/>
      <c r="AC32" s="125"/>
      <c r="AD32" s="125"/>
      <c r="AE32" s="125"/>
      <c r="AF32" s="125"/>
      <c r="AG32" s="125"/>
      <c r="AH32" s="125"/>
      <c r="AI32" s="125"/>
      <c r="AJ32" s="125"/>
      <c r="AK32" s="125"/>
      <c r="AL32" s="125"/>
      <c r="AM32" s="125"/>
      <c r="AN32" s="125"/>
      <c r="AO32" s="125"/>
      <c r="AP32" s="125"/>
      <c r="AQ32" s="125"/>
      <c r="AR32" s="125"/>
      <c r="AS32" s="125"/>
      <c r="AT32" s="125"/>
      <c r="AU32" s="125"/>
      <c r="AV32" s="125"/>
      <c r="AW32" s="125"/>
      <c r="AX32" s="125"/>
      <c r="AY32" s="125"/>
      <c r="AZ32" s="125"/>
      <c r="BA32" s="125"/>
      <c r="BB32" s="125"/>
      <c r="BC32" s="125"/>
      <c r="BD32" s="125"/>
      <c r="BE32" s="125"/>
      <c r="BF32" s="125"/>
      <c r="BG32" s="125"/>
      <c r="BH32" s="125"/>
      <c r="BI32" s="125"/>
      <c r="BJ32" s="125"/>
      <c r="BK32" s="125"/>
      <c r="BL32" s="125"/>
      <c r="BM32" s="125"/>
      <c r="BN32" s="125"/>
      <c r="BO32" s="125"/>
      <c r="BP32" s="125"/>
      <c r="BQ32" s="125"/>
      <c r="BR32" s="125"/>
      <c r="BS32" s="125"/>
      <c r="BT32" s="125"/>
      <c r="BU32" s="125"/>
      <c r="BV32" s="125"/>
      <c r="BW32" s="125"/>
      <c r="BX32" s="125"/>
      <c r="BY32" s="125"/>
      <c r="BZ32" s="125"/>
      <c r="CA32" s="125"/>
      <c r="CB32" s="125"/>
      <c r="CC32" s="125"/>
      <c r="CD32" s="125"/>
      <c r="CE32" s="125"/>
      <c r="CF32" s="125"/>
      <c r="CG32" s="125"/>
      <c r="CH32" s="125"/>
      <c r="CI32" s="125"/>
      <c r="CJ32" s="125"/>
      <c r="CK32" s="125"/>
      <c r="CL32" s="125"/>
      <c r="CM32" s="125"/>
      <c r="CN32" s="125"/>
      <c r="CO32" s="125"/>
      <c r="CP32" s="125"/>
      <c r="CQ32" s="125"/>
      <c r="CR32" s="125"/>
      <c r="CS32" s="125"/>
      <c r="CT32" s="125"/>
      <c r="CU32" s="125"/>
      <c r="CV32" s="125"/>
      <c r="CW32" s="125"/>
      <c r="CX32" s="125"/>
      <c r="CY32" s="125"/>
      <c r="CZ32" s="125"/>
      <c r="DA32" s="125"/>
      <c r="DB32" s="125"/>
      <c r="DC32" s="125"/>
      <c r="DD32" s="125"/>
      <c r="DE32" s="125"/>
      <c r="DF32" s="125"/>
      <c r="DG32" s="125"/>
      <c r="DH32" s="125"/>
      <c r="DI32" s="125"/>
      <c r="DJ32" s="125"/>
      <c r="DK32" s="125"/>
      <c r="DL32" s="125"/>
      <c r="DM32" s="125"/>
      <c r="DN32" s="125"/>
      <c r="DO32" s="125"/>
      <c r="DP32" s="125"/>
      <c r="DQ32" s="125"/>
      <c r="DR32" s="125"/>
      <c r="DS32" s="125"/>
      <c r="DT32" s="125"/>
      <c r="DU32" s="125"/>
      <c r="DV32" s="125"/>
      <c r="DW32" s="125"/>
      <c r="DX32" s="125"/>
      <c r="DY32" s="125"/>
      <c r="DZ32" s="125"/>
      <c r="EA32" s="125"/>
      <c r="EB32" s="125"/>
      <c r="EC32" s="125"/>
      <c r="ED32" s="125"/>
      <c r="EE32" s="125"/>
      <c r="EF32" s="125"/>
      <c r="EG32" s="125"/>
      <c r="EH32" s="125"/>
      <c r="EI32" s="125"/>
      <c r="EJ32" s="125"/>
      <c r="EK32" s="125"/>
      <c r="EL32" s="125"/>
      <c r="EM32" s="125"/>
      <c r="EN32" s="125"/>
      <c r="EO32" s="125"/>
      <c r="EP32" s="125"/>
      <c r="EQ32" s="125"/>
      <c r="ER32" s="125"/>
      <c r="ES32" s="125"/>
      <c r="ET32" s="125"/>
      <c r="EU32" s="125"/>
      <c r="EV32" s="125"/>
      <c r="EW32" s="125"/>
      <c r="EX32" s="125"/>
      <c r="EY32" s="125"/>
      <c r="EZ32" s="125"/>
      <c r="FA32" s="125"/>
      <c r="FB32" s="125"/>
      <c r="FC32" s="125"/>
      <c r="FD32" s="125"/>
      <c r="FE32" s="125"/>
      <c r="FF32" s="125"/>
      <c r="FG32" s="125"/>
      <c r="FH32" s="125"/>
      <c r="FI32" s="125"/>
      <c r="FJ32" s="125"/>
      <c r="FK32" s="125"/>
      <c r="FL32" s="125"/>
      <c r="FM32" s="125"/>
      <c r="FN32" s="125"/>
      <c r="FO32" s="125"/>
      <c r="FP32" s="125"/>
      <c r="FQ32" s="125"/>
      <c r="FR32" s="125"/>
      <c r="FS32" s="125"/>
      <c r="FT32" s="125"/>
      <c r="FU32" s="125"/>
      <c r="FV32" s="125"/>
      <c r="FW32" s="125"/>
      <c r="FX32" s="125"/>
      <c r="FY32" s="125"/>
      <c r="FZ32" s="125"/>
      <c r="GA32" s="125"/>
      <c r="GB32" s="125"/>
      <c r="GC32" s="125"/>
      <c r="GD32" s="125"/>
      <c r="GE32" s="125"/>
      <c r="GF32" s="125"/>
      <c r="GG32" s="125"/>
      <c r="GH32" s="125"/>
      <c r="GI32" s="125"/>
      <c r="GJ32" s="125"/>
      <c r="GK32" s="125"/>
      <c r="GL32" s="125"/>
      <c r="GM32" s="125"/>
      <c r="GN32" s="125"/>
      <c r="GO32" s="125"/>
      <c r="GP32" s="125"/>
      <c r="GQ32" s="125"/>
      <c r="GR32" s="125"/>
      <c r="GS32" s="125"/>
      <c r="GT32" s="125"/>
      <c r="GU32" s="125"/>
      <c r="GV32" s="125"/>
      <c r="GW32" s="125"/>
      <c r="GX32" s="125"/>
      <c r="GY32" s="125"/>
      <c r="GZ32" s="125"/>
      <c r="HA32" s="125"/>
      <c r="HB32" s="125"/>
      <c r="HC32" s="125"/>
      <c r="HD32" s="125"/>
      <c r="HE32" s="125"/>
      <c r="HF32" s="125"/>
      <c r="HG32" s="125"/>
      <c r="HH32" s="125"/>
      <c r="HI32" s="125"/>
      <c r="HJ32" s="125"/>
      <c r="HK32" s="125"/>
      <c r="HL32" s="125"/>
      <c r="HM32" s="125"/>
      <c r="HN32" s="125"/>
      <c r="HO32" s="125"/>
      <c r="HP32" s="125"/>
      <c r="HQ32" s="125"/>
      <c r="HR32" s="125"/>
      <c r="HS32" s="125"/>
      <c r="HT32" s="125"/>
      <c r="HU32" s="125"/>
      <c r="HV32" s="125"/>
      <c r="HW32" s="125"/>
      <c r="HX32" s="125"/>
      <c r="HY32" s="125"/>
      <c r="HZ32" s="125"/>
      <c r="IA32" s="125"/>
      <c r="IB32" s="125"/>
      <c r="IC32" s="125"/>
      <c r="ID32" s="125"/>
      <c r="IE32" s="125"/>
      <c r="IF32" s="125"/>
      <c r="IG32" s="125"/>
      <c r="IH32" s="125"/>
      <c r="II32" s="125"/>
      <c r="IJ32" s="125"/>
      <c r="IK32" s="125"/>
      <c r="IL32" s="125"/>
      <c r="IM32" s="125"/>
      <c r="IN32" s="125"/>
      <c r="IO32" s="125"/>
      <c r="IP32" s="125"/>
      <c r="IQ32" s="125"/>
      <c r="IR32" s="125"/>
      <c r="IS32" s="125"/>
      <c r="IT32" s="125"/>
      <c r="IU32" s="125"/>
      <c r="IV32" s="125"/>
    </row>
    <row r="33" spans="1:256" ht="18" customHeight="1" x14ac:dyDescent="0.35">
      <c r="A33" s="1600">
        <v>27</v>
      </c>
      <c r="B33" s="125"/>
      <c r="D33" s="67" t="s">
        <v>131</v>
      </c>
      <c r="E33" s="71">
        <v>1290255</v>
      </c>
      <c r="F33" s="1622"/>
      <c r="G33" s="2066"/>
      <c r="H33" s="1622"/>
      <c r="I33" s="125"/>
      <c r="J33" s="1616"/>
      <c r="K33" s="125"/>
      <c r="L33" s="1616"/>
      <c r="M33" s="125"/>
      <c r="N33" s="125"/>
      <c r="O33" s="125"/>
      <c r="P33" s="125"/>
      <c r="Q33" s="125"/>
      <c r="R33" s="125"/>
      <c r="S33" s="125"/>
      <c r="T33" s="125"/>
      <c r="U33" s="125"/>
      <c r="V33" s="125"/>
      <c r="W33" s="125"/>
      <c r="X33" s="125"/>
      <c r="Y33" s="125"/>
      <c r="Z33" s="125"/>
      <c r="AA33" s="125"/>
      <c r="AB33" s="125"/>
      <c r="AC33" s="125"/>
      <c r="AD33" s="125"/>
      <c r="AE33" s="125"/>
      <c r="AF33" s="125"/>
      <c r="AG33" s="125"/>
      <c r="AH33" s="125"/>
      <c r="AI33" s="125"/>
      <c r="AJ33" s="125"/>
      <c r="AK33" s="125"/>
      <c r="AL33" s="125"/>
      <c r="AM33" s="125"/>
      <c r="AN33" s="125"/>
      <c r="AO33" s="125"/>
      <c r="AP33" s="125"/>
      <c r="AQ33" s="125"/>
      <c r="AR33" s="125"/>
      <c r="AS33" s="125"/>
      <c r="AT33" s="125"/>
      <c r="AU33" s="125"/>
      <c r="AV33" s="125"/>
      <c r="AW33" s="125"/>
      <c r="AX33" s="125"/>
      <c r="AY33" s="125"/>
      <c r="AZ33" s="125"/>
      <c r="BA33" s="125"/>
      <c r="BB33" s="125"/>
      <c r="BC33" s="125"/>
      <c r="BD33" s="125"/>
      <c r="BE33" s="125"/>
      <c r="BF33" s="125"/>
      <c r="BG33" s="125"/>
      <c r="BH33" s="125"/>
      <c r="BI33" s="125"/>
      <c r="BJ33" s="125"/>
      <c r="BK33" s="125"/>
      <c r="BL33" s="125"/>
      <c r="BM33" s="125"/>
      <c r="BN33" s="125"/>
      <c r="BO33" s="125"/>
      <c r="BP33" s="125"/>
      <c r="BQ33" s="125"/>
      <c r="BR33" s="125"/>
      <c r="BS33" s="125"/>
      <c r="BT33" s="125"/>
      <c r="BU33" s="125"/>
      <c r="BV33" s="125"/>
      <c r="BW33" s="125"/>
      <c r="BX33" s="125"/>
      <c r="BY33" s="125"/>
      <c r="BZ33" s="125"/>
      <c r="CA33" s="125"/>
      <c r="CB33" s="125"/>
      <c r="CC33" s="125"/>
      <c r="CD33" s="125"/>
      <c r="CE33" s="125"/>
      <c r="CF33" s="125"/>
      <c r="CG33" s="125"/>
      <c r="CH33" s="125"/>
      <c r="CI33" s="125"/>
      <c r="CJ33" s="125"/>
      <c r="CK33" s="125"/>
      <c r="CL33" s="125"/>
      <c r="CM33" s="125"/>
      <c r="CN33" s="125"/>
      <c r="CO33" s="125"/>
      <c r="CP33" s="125"/>
      <c r="CQ33" s="125"/>
      <c r="CR33" s="125"/>
      <c r="CS33" s="125"/>
      <c r="CT33" s="125"/>
      <c r="CU33" s="125"/>
      <c r="CV33" s="125"/>
      <c r="CW33" s="125"/>
      <c r="CX33" s="125"/>
      <c r="CY33" s="125"/>
      <c r="CZ33" s="125"/>
      <c r="DA33" s="125"/>
      <c r="DB33" s="125"/>
      <c r="DC33" s="125"/>
      <c r="DD33" s="125"/>
      <c r="DE33" s="125"/>
      <c r="DF33" s="125"/>
      <c r="DG33" s="125"/>
      <c r="DH33" s="125"/>
      <c r="DI33" s="125"/>
      <c r="DJ33" s="125"/>
      <c r="DK33" s="125"/>
      <c r="DL33" s="125"/>
      <c r="DM33" s="125"/>
      <c r="DN33" s="125"/>
      <c r="DO33" s="125"/>
      <c r="DP33" s="125"/>
      <c r="DQ33" s="125"/>
      <c r="DR33" s="125"/>
      <c r="DS33" s="125"/>
      <c r="DT33" s="125"/>
      <c r="DU33" s="125"/>
      <c r="DV33" s="125"/>
      <c r="DW33" s="125"/>
      <c r="DX33" s="125"/>
      <c r="DY33" s="125"/>
      <c r="DZ33" s="125"/>
      <c r="EA33" s="125"/>
      <c r="EB33" s="125"/>
      <c r="EC33" s="125"/>
      <c r="ED33" s="125"/>
      <c r="EE33" s="125"/>
      <c r="EF33" s="125"/>
      <c r="EG33" s="125"/>
      <c r="EH33" s="125"/>
      <c r="EI33" s="125"/>
      <c r="EJ33" s="125"/>
      <c r="EK33" s="125"/>
      <c r="EL33" s="125"/>
      <c r="EM33" s="125"/>
      <c r="EN33" s="125"/>
      <c r="EO33" s="125"/>
      <c r="EP33" s="125"/>
      <c r="EQ33" s="125"/>
      <c r="ER33" s="125"/>
      <c r="ES33" s="125"/>
      <c r="ET33" s="125"/>
      <c r="EU33" s="125"/>
      <c r="EV33" s="125"/>
      <c r="EW33" s="125"/>
      <c r="EX33" s="125"/>
      <c r="EY33" s="125"/>
      <c r="EZ33" s="125"/>
      <c r="FA33" s="125"/>
      <c r="FB33" s="125"/>
      <c r="FC33" s="125"/>
      <c r="FD33" s="125"/>
      <c r="FE33" s="125"/>
      <c r="FF33" s="125"/>
      <c r="FG33" s="125"/>
      <c r="FH33" s="125"/>
      <c r="FI33" s="125"/>
      <c r="FJ33" s="125"/>
      <c r="FK33" s="125"/>
      <c r="FL33" s="125"/>
      <c r="FM33" s="125"/>
      <c r="FN33" s="125"/>
      <c r="FO33" s="125"/>
      <c r="FP33" s="125"/>
      <c r="FQ33" s="125"/>
      <c r="FR33" s="125"/>
      <c r="FS33" s="125"/>
      <c r="FT33" s="125"/>
      <c r="FU33" s="125"/>
      <c r="FV33" s="125"/>
      <c r="FW33" s="125"/>
      <c r="FX33" s="125"/>
      <c r="FY33" s="125"/>
      <c r="FZ33" s="125"/>
      <c r="GA33" s="125"/>
      <c r="GB33" s="125"/>
      <c r="GC33" s="125"/>
      <c r="GD33" s="125"/>
      <c r="GE33" s="125"/>
      <c r="GF33" s="125"/>
      <c r="GG33" s="125"/>
      <c r="GH33" s="125"/>
      <c r="GI33" s="125"/>
      <c r="GJ33" s="125"/>
      <c r="GK33" s="125"/>
      <c r="GL33" s="125"/>
      <c r="GM33" s="125"/>
      <c r="GN33" s="125"/>
      <c r="GO33" s="125"/>
      <c r="GP33" s="125"/>
      <c r="GQ33" s="125"/>
      <c r="GR33" s="125"/>
      <c r="GS33" s="125"/>
      <c r="GT33" s="125"/>
      <c r="GU33" s="125"/>
      <c r="GV33" s="125"/>
      <c r="GW33" s="125"/>
      <c r="GX33" s="125"/>
      <c r="GY33" s="125"/>
      <c r="GZ33" s="125"/>
      <c r="HA33" s="125"/>
      <c r="HB33" s="125"/>
      <c r="HC33" s="125"/>
      <c r="HD33" s="125"/>
      <c r="HE33" s="125"/>
      <c r="HF33" s="125"/>
      <c r="HG33" s="125"/>
      <c r="HH33" s="125"/>
      <c r="HI33" s="125"/>
      <c r="HJ33" s="125"/>
      <c r="HK33" s="125"/>
      <c r="HL33" s="125"/>
      <c r="HM33" s="125"/>
      <c r="HN33" s="125"/>
      <c r="HO33" s="125"/>
      <c r="HP33" s="125"/>
      <c r="HQ33" s="125"/>
      <c r="HR33" s="125"/>
      <c r="HS33" s="125"/>
      <c r="HT33" s="125"/>
      <c r="HU33" s="125"/>
      <c r="HV33" s="125"/>
      <c r="HW33" s="125"/>
      <c r="HX33" s="125"/>
      <c r="HY33" s="125"/>
      <c r="HZ33" s="125"/>
      <c r="IA33" s="125"/>
      <c r="IB33" s="125"/>
      <c r="IC33" s="125"/>
      <c r="ID33" s="125"/>
      <c r="IE33" s="125"/>
      <c r="IF33" s="125"/>
      <c r="IG33" s="125"/>
      <c r="IH33" s="125"/>
      <c r="II33" s="125"/>
      <c r="IJ33" s="125"/>
      <c r="IK33" s="125"/>
      <c r="IL33" s="125"/>
      <c r="IM33" s="125"/>
      <c r="IN33" s="125"/>
      <c r="IO33" s="125"/>
      <c r="IP33" s="125"/>
      <c r="IQ33" s="125"/>
      <c r="IR33" s="125"/>
      <c r="IS33" s="125"/>
      <c r="IT33" s="125"/>
      <c r="IU33" s="125"/>
      <c r="IV33" s="125"/>
    </row>
    <row r="34" spans="1:256" ht="18" customHeight="1" x14ac:dyDescent="0.35">
      <c r="A34" s="1600">
        <v>28</v>
      </c>
      <c r="B34" s="125"/>
      <c r="D34" s="67" t="s">
        <v>180</v>
      </c>
      <c r="E34" s="71">
        <v>4847</v>
      </c>
      <c r="F34" s="1622"/>
      <c r="G34" s="2066"/>
      <c r="H34" s="1622"/>
      <c r="I34" s="125"/>
      <c r="J34" s="1616"/>
      <c r="K34" s="125"/>
      <c r="L34" s="1616"/>
      <c r="M34" s="125"/>
      <c r="N34" s="125"/>
      <c r="O34" s="125"/>
      <c r="P34" s="125"/>
      <c r="Q34" s="125"/>
      <c r="R34" s="125"/>
      <c r="S34" s="125"/>
      <c r="T34" s="125"/>
      <c r="U34" s="125"/>
      <c r="V34" s="125"/>
      <c r="W34" s="125"/>
      <c r="X34" s="125"/>
      <c r="Y34" s="125"/>
      <c r="Z34" s="125"/>
      <c r="AA34" s="125"/>
      <c r="AB34" s="125"/>
      <c r="AC34" s="125"/>
      <c r="AD34" s="125"/>
      <c r="AE34" s="125"/>
      <c r="AF34" s="125"/>
      <c r="AG34" s="125"/>
      <c r="AH34" s="125"/>
      <c r="AI34" s="125"/>
      <c r="AJ34" s="125"/>
      <c r="AK34" s="125"/>
      <c r="AL34" s="125"/>
      <c r="AM34" s="125"/>
      <c r="AN34" s="125"/>
      <c r="AO34" s="125"/>
      <c r="AP34" s="125"/>
      <c r="AQ34" s="125"/>
      <c r="AR34" s="125"/>
      <c r="AS34" s="125"/>
      <c r="AT34" s="125"/>
      <c r="AU34" s="125"/>
      <c r="AV34" s="125"/>
      <c r="AW34" s="125"/>
      <c r="AX34" s="125"/>
      <c r="AY34" s="125"/>
      <c r="AZ34" s="125"/>
      <c r="BA34" s="125"/>
      <c r="BB34" s="125"/>
      <c r="BC34" s="125"/>
      <c r="BD34" s="125"/>
      <c r="BE34" s="125"/>
      <c r="BF34" s="125"/>
      <c r="BG34" s="125"/>
      <c r="BH34" s="125"/>
      <c r="BI34" s="125"/>
      <c r="BJ34" s="125"/>
      <c r="BK34" s="125"/>
      <c r="BL34" s="125"/>
      <c r="BM34" s="125"/>
      <c r="BN34" s="125"/>
      <c r="BO34" s="125"/>
      <c r="BP34" s="125"/>
      <c r="BQ34" s="125"/>
      <c r="BR34" s="125"/>
      <c r="BS34" s="125"/>
      <c r="BT34" s="125"/>
      <c r="BU34" s="125"/>
      <c r="BV34" s="125"/>
      <c r="BW34" s="125"/>
      <c r="BX34" s="125"/>
      <c r="BY34" s="125"/>
      <c r="BZ34" s="125"/>
      <c r="CA34" s="125"/>
      <c r="CB34" s="125"/>
      <c r="CC34" s="125"/>
      <c r="CD34" s="125"/>
      <c r="CE34" s="125"/>
      <c r="CF34" s="125"/>
      <c r="CG34" s="125"/>
      <c r="CH34" s="125"/>
      <c r="CI34" s="125"/>
      <c r="CJ34" s="125"/>
      <c r="CK34" s="125"/>
      <c r="CL34" s="125"/>
      <c r="CM34" s="125"/>
      <c r="CN34" s="125"/>
      <c r="CO34" s="125"/>
      <c r="CP34" s="125"/>
      <c r="CQ34" s="125"/>
      <c r="CR34" s="125"/>
      <c r="CS34" s="125"/>
      <c r="CT34" s="125"/>
      <c r="CU34" s="125"/>
      <c r="CV34" s="125"/>
      <c r="CW34" s="125"/>
      <c r="CX34" s="125"/>
      <c r="CY34" s="125"/>
      <c r="CZ34" s="125"/>
      <c r="DA34" s="125"/>
      <c r="DB34" s="125"/>
      <c r="DC34" s="125"/>
      <c r="DD34" s="125"/>
      <c r="DE34" s="125"/>
      <c r="DF34" s="125"/>
      <c r="DG34" s="125"/>
      <c r="DH34" s="125"/>
      <c r="DI34" s="125"/>
      <c r="DJ34" s="125"/>
      <c r="DK34" s="125"/>
      <c r="DL34" s="125"/>
      <c r="DM34" s="125"/>
      <c r="DN34" s="125"/>
      <c r="DO34" s="125"/>
      <c r="DP34" s="125"/>
      <c r="DQ34" s="125"/>
      <c r="DR34" s="125"/>
      <c r="DS34" s="125"/>
      <c r="DT34" s="125"/>
      <c r="DU34" s="125"/>
      <c r="DV34" s="125"/>
      <c r="DW34" s="125"/>
      <c r="DX34" s="125"/>
      <c r="DY34" s="125"/>
      <c r="DZ34" s="125"/>
      <c r="EA34" s="125"/>
      <c r="EB34" s="125"/>
      <c r="EC34" s="125"/>
      <c r="ED34" s="125"/>
      <c r="EE34" s="125"/>
      <c r="EF34" s="125"/>
      <c r="EG34" s="125"/>
      <c r="EH34" s="125"/>
      <c r="EI34" s="125"/>
      <c r="EJ34" s="125"/>
      <c r="EK34" s="125"/>
      <c r="EL34" s="125"/>
      <c r="EM34" s="125"/>
      <c r="EN34" s="125"/>
      <c r="EO34" s="125"/>
      <c r="EP34" s="125"/>
      <c r="EQ34" s="125"/>
      <c r="ER34" s="125"/>
      <c r="ES34" s="125"/>
      <c r="ET34" s="125"/>
      <c r="EU34" s="125"/>
      <c r="EV34" s="125"/>
      <c r="EW34" s="125"/>
      <c r="EX34" s="125"/>
      <c r="EY34" s="125"/>
      <c r="EZ34" s="125"/>
      <c r="FA34" s="125"/>
      <c r="FB34" s="125"/>
      <c r="FC34" s="125"/>
      <c r="FD34" s="125"/>
      <c r="FE34" s="125"/>
      <c r="FF34" s="125"/>
      <c r="FG34" s="125"/>
      <c r="FH34" s="125"/>
      <c r="FI34" s="125"/>
      <c r="FJ34" s="125"/>
      <c r="FK34" s="125"/>
      <c r="FL34" s="125"/>
      <c r="FM34" s="125"/>
      <c r="FN34" s="125"/>
      <c r="FO34" s="125"/>
      <c r="FP34" s="125"/>
      <c r="FQ34" s="125"/>
      <c r="FR34" s="125"/>
      <c r="FS34" s="125"/>
      <c r="FT34" s="125"/>
      <c r="FU34" s="125"/>
      <c r="FV34" s="125"/>
      <c r="FW34" s="125"/>
      <c r="FX34" s="125"/>
      <c r="FY34" s="125"/>
      <c r="FZ34" s="125"/>
      <c r="GA34" s="125"/>
      <c r="GB34" s="125"/>
      <c r="GC34" s="125"/>
      <c r="GD34" s="125"/>
      <c r="GE34" s="125"/>
      <c r="GF34" s="125"/>
      <c r="GG34" s="125"/>
      <c r="GH34" s="125"/>
      <c r="GI34" s="125"/>
      <c r="GJ34" s="125"/>
      <c r="GK34" s="125"/>
      <c r="GL34" s="125"/>
      <c r="GM34" s="125"/>
      <c r="GN34" s="125"/>
      <c r="GO34" s="125"/>
      <c r="GP34" s="125"/>
      <c r="GQ34" s="125"/>
      <c r="GR34" s="125"/>
      <c r="GS34" s="125"/>
      <c r="GT34" s="125"/>
      <c r="GU34" s="125"/>
      <c r="GV34" s="125"/>
      <c r="GW34" s="125"/>
      <c r="GX34" s="125"/>
      <c r="GY34" s="125"/>
      <c r="GZ34" s="125"/>
      <c r="HA34" s="125"/>
      <c r="HB34" s="125"/>
      <c r="HC34" s="125"/>
      <c r="HD34" s="125"/>
      <c r="HE34" s="125"/>
      <c r="HF34" s="125"/>
      <c r="HG34" s="125"/>
      <c r="HH34" s="125"/>
      <c r="HI34" s="125"/>
      <c r="HJ34" s="125"/>
      <c r="HK34" s="125"/>
      <c r="HL34" s="125"/>
      <c r="HM34" s="125"/>
      <c r="HN34" s="125"/>
      <c r="HO34" s="125"/>
      <c r="HP34" s="125"/>
      <c r="HQ34" s="125"/>
      <c r="HR34" s="125"/>
      <c r="HS34" s="125"/>
      <c r="HT34" s="125"/>
      <c r="HU34" s="125"/>
      <c r="HV34" s="125"/>
      <c r="HW34" s="125"/>
      <c r="HX34" s="125"/>
      <c r="HY34" s="125"/>
      <c r="HZ34" s="125"/>
      <c r="IA34" s="125"/>
      <c r="IB34" s="125"/>
      <c r="IC34" s="125"/>
      <c r="ID34" s="125"/>
      <c r="IE34" s="125"/>
      <c r="IF34" s="125"/>
      <c r="IG34" s="125"/>
      <c r="IH34" s="125"/>
      <c r="II34" s="125"/>
      <c r="IJ34" s="125"/>
      <c r="IK34" s="125"/>
      <c r="IL34" s="125"/>
      <c r="IM34" s="125"/>
      <c r="IN34" s="125"/>
      <c r="IO34" s="125"/>
      <c r="IP34" s="125"/>
      <c r="IQ34" s="125"/>
      <c r="IR34" s="125"/>
      <c r="IS34" s="125"/>
      <c r="IT34" s="125"/>
      <c r="IU34" s="125"/>
      <c r="IV34" s="125"/>
    </row>
    <row r="35" spans="1:256" ht="18" customHeight="1" x14ac:dyDescent="0.35">
      <c r="A35" s="1600">
        <v>29</v>
      </c>
      <c r="B35" s="125"/>
      <c r="D35" s="2111" t="s">
        <v>181</v>
      </c>
      <c r="E35" s="70">
        <v>1960</v>
      </c>
      <c r="F35" s="1622"/>
      <c r="G35" s="2066"/>
      <c r="H35" s="1622"/>
      <c r="I35" s="125"/>
      <c r="J35" s="1616"/>
      <c r="K35" s="125"/>
      <c r="L35" s="1616"/>
      <c r="M35" s="125"/>
      <c r="N35" s="125"/>
      <c r="O35" s="125"/>
      <c r="P35" s="125"/>
      <c r="Q35" s="125"/>
      <c r="R35" s="125"/>
      <c r="S35" s="125"/>
      <c r="T35" s="125"/>
      <c r="U35" s="125"/>
      <c r="V35" s="125"/>
      <c r="W35" s="125"/>
      <c r="X35" s="125"/>
      <c r="Y35" s="125"/>
      <c r="Z35" s="125"/>
      <c r="AA35" s="125"/>
      <c r="AB35" s="125"/>
      <c r="AC35" s="125"/>
      <c r="AD35" s="125"/>
      <c r="AE35" s="125"/>
      <c r="AF35" s="125"/>
      <c r="AG35" s="125"/>
      <c r="AH35" s="125"/>
      <c r="AI35" s="125"/>
      <c r="AJ35" s="125"/>
      <c r="AK35" s="125"/>
      <c r="AL35" s="125"/>
      <c r="AM35" s="125"/>
      <c r="AN35" s="125"/>
      <c r="AO35" s="125"/>
      <c r="AP35" s="125"/>
      <c r="AQ35" s="125"/>
      <c r="AR35" s="125"/>
      <c r="AS35" s="125"/>
      <c r="AT35" s="125"/>
      <c r="AU35" s="125"/>
      <c r="AV35" s="125"/>
      <c r="AW35" s="125"/>
      <c r="AX35" s="125"/>
      <c r="AY35" s="125"/>
      <c r="AZ35" s="125"/>
      <c r="BA35" s="125"/>
      <c r="BB35" s="125"/>
      <c r="BC35" s="125"/>
      <c r="BD35" s="125"/>
      <c r="BE35" s="125"/>
      <c r="BF35" s="125"/>
      <c r="BG35" s="125"/>
      <c r="BH35" s="125"/>
      <c r="BI35" s="125"/>
      <c r="BJ35" s="125"/>
      <c r="BK35" s="125"/>
      <c r="BL35" s="125"/>
      <c r="BM35" s="125"/>
      <c r="BN35" s="125"/>
      <c r="BO35" s="125"/>
      <c r="BP35" s="125"/>
      <c r="BQ35" s="125"/>
      <c r="BR35" s="125"/>
      <c r="BS35" s="125"/>
      <c r="BT35" s="125"/>
      <c r="BU35" s="125"/>
      <c r="BV35" s="125"/>
      <c r="BW35" s="125"/>
      <c r="BX35" s="125"/>
      <c r="BY35" s="125"/>
      <c r="BZ35" s="125"/>
      <c r="CA35" s="125"/>
      <c r="CB35" s="125"/>
      <c r="CC35" s="125"/>
      <c r="CD35" s="125"/>
      <c r="CE35" s="125"/>
      <c r="CF35" s="125"/>
      <c r="CG35" s="125"/>
      <c r="CH35" s="125"/>
      <c r="CI35" s="125"/>
      <c r="CJ35" s="125"/>
      <c r="CK35" s="125"/>
      <c r="CL35" s="125"/>
      <c r="CM35" s="125"/>
      <c r="CN35" s="125"/>
      <c r="CO35" s="125"/>
      <c r="CP35" s="125"/>
      <c r="CQ35" s="125"/>
      <c r="CR35" s="125"/>
      <c r="CS35" s="125"/>
      <c r="CT35" s="125"/>
      <c r="CU35" s="125"/>
      <c r="CV35" s="125"/>
      <c r="CW35" s="125"/>
      <c r="CX35" s="125"/>
      <c r="CY35" s="125"/>
      <c r="CZ35" s="125"/>
      <c r="DA35" s="125"/>
      <c r="DB35" s="125"/>
      <c r="DC35" s="125"/>
      <c r="DD35" s="125"/>
      <c r="DE35" s="125"/>
      <c r="DF35" s="125"/>
      <c r="DG35" s="125"/>
      <c r="DH35" s="125"/>
      <c r="DI35" s="125"/>
      <c r="DJ35" s="125"/>
      <c r="DK35" s="125"/>
      <c r="DL35" s="125"/>
      <c r="DM35" s="125"/>
      <c r="DN35" s="125"/>
      <c r="DO35" s="125"/>
      <c r="DP35" s="125"/>
      <c r="DQ35" s="125"/>
      <c r="DR35" s="125"/>
      <c r="DS35" s="125"/>
      <c r="DT35" s="125"/>
      <c r="DU35" s="125"/>
      <c r="DV35" s="125"/>
      <c r="DW35" s="125"/>
      <c r="DX35" s="125"/>
      <c r="DY35" s="125"/>
      <c r="DZ35" s="125"/>
      <c r="EA35" s="125"/>
      <c r="EB35" s="125"/>
      <c r="EC35" s="125"/>
      <c r="ED35" s="125"/>
      <c r="EE35" s="125"/>
      <c r="EF35" s="125"/>
      <c r="EG35" s="125"/>
      <c r="EH35" s="125"/>
      <c r="EI35" s="125"/>
      <c r="EJ35" s="125"/>
      <c r="EK35" s="125"/>
      <c r="EL35" s="125"/>
      <c r="EM35" s="125"/>
      <c r="EN35" s="125"/>
      <c r="EO35" s="125"/>
      <c r="EP35" s="125"/>
      <c r="EQ35" s="125"/>
      <c r="ER35" s="125"/>
      <c r="ES35" s="125"/>
      <c r="ET35" s="125"/>
      <c r="EU35" s="125"/>
      <c r="EV35" s="125"/>
      <c r="EW35" s="125"/>
      <c r="EX35" s="125"/>
      <c r="EY35" s="125"/>
      <c r="EZ35" s="125"/>
      <c r="FA35" s="125"/>
      <c r="FB35" s="125"/>
      <c r="FC35" s="125"/>
      <c r="FD35" s="125"/>
      <c r="FE35" s="125"/>
      <c r="FF35" s="125"/>
      <c r="FG35" s="125"/>
      <c r="FH35" s="125"/>
      <c r="FI35" s="125"/>
      <c r="FJ35" s="125"/>
      <c r="FK35" s="125"/>
      <c r="FL35" s="125"/>
      <c r="FM35" s="125"/>
      <c r="FN35" s="125"/>
      <c r="FO35" s="125"/>
      <c r="FP35" s="125"/>
      <c r="FQ35" s="125"/>
      <c r="FR35" s="125"/>
      <c r="FS35" s="125"/>
      <c r="FT35" s="125"/>
      <c r="FU35" s="125"/>
      <c r="FV35" s="125"/>
      <c r="FW35" s="125"/>
      <c r="FX35" s="125"/>
      <c r="FY35" s="125"/>
      <c r="FZ35" s="125"/>
      <c r="GA35" s="125"/>
      <c r="GB35" s="125"/>
      <c r="GC35" s="125"/>
      <c r="GD35" s="125"/>
      <c r="GE35" s="125"/>
      <c r="GF35" s="125"/>
      <c r="GG35" s="125"/>
      <c r="GH35" s="125"/>
      <c r="GI35" s="125"/>
      <c r="GJ35" s="125"/>
      <c r="GK35" s="125"/>
      <c r="GL35" s="125"/>
      <c r="GM35" s="125"/>
      <c r="GN35" s="125"/>
      <c r="GO35" s="125"/>
      <c r="GP35" s="125"/>
      <c r="GQ35" s="125"/>
      <c r="GR35" s="125"/>
      <c r="GS35" s="125"/>
      <c r="GT35" s="125"/>
      <c r="GU35" s="125"/>
      <c r="GV35" s="125"/>
      <c r="GW35" s="125"/>
      <c r="GX35" s="125"/>
      <c r="GY35" s="125"/>
      <c r="GZ35" s="125"/>
      <c r="HA35" s="125"/>
      <c r="HB35" s="125"/>
      <c r="HC35" s="125"/>
      <c r="HD35" s="125"/>
      <c r="HE35" s="125"/>
      <c r="HF35" s="125"/>
      <c r="HG35" s="125"/>
      <c r="HH35" s="125"/>
      <c r="HI35" s="125"/>
      <c r="HJ35" s="125"/>
      <c r="HK35" s="125"/>
      <c r="HL35" s="125"/>
      <c r="HM35" s="125"/>
      <c r="HN35" s="125"/>
      <c r="HO35" s="125"/>
      <c r="HP35" s="125"/>
      <c r="HQ35" s="125"/>
      <c r="HR35" s="125"/>
      <c r="HS35" s="125"/>
      <c r="HT35" s="125"/>
      <c r="HU35" s="125"/>
      <c r="HV35" s="125"/>
      <c r="HW35" s="125"/>
      <c r="HX35" s="125"/>
      <c r="HY35" s="125"/>
      <c r="HZ35" s="125"/>
      <c r="IA35" s="125"/>
      <c r="IB35" s="125"/>
      <c r="IC35" s="125"/>
      <c r="ID35" s="125"/>
      <c r="IE35" s="125"/>
      <c r="IF35" s="125"/>
      <c r="IG35" s="125"/>
      <c r="IH35" s="125"/>
      <c r="II35" s="125"/>
      <c r="IJ35" s="125"/>
      <c r="IK35" s="125"/>
      <c r="IL35" s="125"/>
      <c r="IM35" s="125"/>
      <c r="IN35" s="125"/>
      <c r="IO35" s="125"/>
      <c r="IP35" s="125"/>
      <c r="IQ35" s="125"/>
      <c r="IR35" s="125"/>
      <c r="IS35" s="125"/>
      <c r="IT35" s="125"/>
      <c r="IU35" s="125"/>
      <c r="IV35" s="125"/>
    </row>
    <row r="36" spans="1:256" ht="18" customHeight="1" x14ac:dyDescent="0.35">
      <c r="A36" s="1600">
        <v>30</v>
      </c>
      <c r="B36" s="125"/>
      <c r="D36" s="1623" t="s">
        <v>129</v>
      </c>
      <c r="E36" s="1621">
        <f>SUM(E29:E35)</f>
        <v>1283563</v>
      </c>
      <c r="F36" s="1622"/>
      <c r="G36" s="2066"/>
      <c r="H36" s="1622"/>
      <c r="I36" s="125"/>
      <c r="J36" s="1616"/>
      <c r="K36" s="125"/>
      <c r="L36" s="1616"/>
      <c r="M36" s="125"/>
      <c r="N36" s="125"/>
      <c r="O36" s="125"/>
      <c r="P36" s="125"/>
      <c r="Q36" s="125"/>
      <c r="R36" s="125"/>
      <c r="S36" s="125"/>
      <c r="T36" s="125"/>
      <c r="U36" s="125"/>
      <c r="V36" s="125"/>
      <c r="W36" s="125"/>
      <c r="X36" s="125"/>
      <c r="Y36" s="125"/>
      <c r="Z36" s="125"/>
      <c r="AA36" s="125"/>
      <c r="AB36" s="125"/>
      <c r="AC36" s="125"/>
      <c r="AD36" s="125"/>
      <c r="AE36" s="125"/>
      <c r="AF36" s="125"/>
      <c r="AG36" s="125"/>
      <c r="AH36" s="125"/>
      <c r="AI36" s="125"/>
      <c r="AJ36" s="125"/>
      <c r="AK36" s="125"/>
      <c r="AL36" s="125"/>
      <c r="AM36" s="125"/>
      <c r="AN36" s="125"/>
      <c r="AO36" s="125"/>
      <c r="AP36" s="125"/>
      <c r="AQ36" s="125"/>
      <c r="AR36" s="125"/>
      <c r="AS36" s="125"/>
      <c r="AT36" s="125"/>
      <c r="AU36" s="125"/>
      <c r="AV36" s="125"/>
      <c r="AW36" s="125"/>
      <c r="AX36" s="125"/>
      <c r="AY36" s="125"/>
      <c r="AZ36" s="125"/>
      <c r="BA36" s="125"/>
      <c r="BB36" s="125"/>
      <c r="BC36" s="125"/>
      <c r="BD36" s="125"/>
      <c r="BE36" s="125"/>
      <c r="BF36" s="125"/>
      <c r="BG36" s="125"/>
      <c r="BH36" s="125"/>
      <c r="BI36" s="125"/>
      <c r="BJ36" s="125"/>
      <c r="BK36" s="125"/>
      <c r="BL36" s="125"/>
      <c r="BM36" s="125"/>
      <c r="BN36" s="125"/>
      <c r="BO36" s="125"/>
      <c r="BP36" s="125"/>
      <c r="BQ36" s="125"/>
      <c r="BR36" s="125"/>
      <c r="BS36" s="125"/>
      <c r="BT36" s="125"/>
      <c r="BU36" s="125"/>
      <c r="BV36" s="125"/>
      <c r="BW36" s="125"/>
      <c r="BX36" s="125"/>
      <c r="BY36" s="125"/>
      <c r="BZ36" s="125"/>
      <c r="CA36" s="125"/>
      <c r="CB36" s="125"/>
      <c r="CC36" s="125"/>
      <c r="CD36" s="125"/>
      <c r="CE36" s="125"/>
      <c r="CF36" s="125"/>
      <c r="CG36" s="125"/>
      <c r="CH36" s="125"/>
      <c r="CI36" s="125"/>
      <c r="CJ36" s="125"/>
      <c r="CK36" s="125"/>
      <c r="CL36" s="125"/>
      <c r="CM36" s="125"/>
      <c r="CN36" s="125"/>
      <c r="CO36" s="125"/>
      <c r="CP36" s="125"/>
      <c r="CQ36" s="125"/>
      <c r="CR36" s="125"/>
      <c r="CS36" s="125"/>
      <c r="CT36" s="125"/>
      <c r="CU36" s="125"/>
      <c r="CV36" s="125"/>
      <c r="CW36" s="125"/>
      <c r="CX36" s="125"/>
      <c r="CY36" s="125"/>
      <c r="CZ36" s="125"/>
      <c r="DA36" s="125"/>
      <c r="DB36" s="125"/>
      <c r="DC36" s="125"/>
      <c r="DD36" s="125"/>
      <c r="DE36" s="125"/>
      <c r="DF36" s="125"/>
      <c r="DG36" s="125"/>
      <c r="DH36" s="125"/>
      <c r="DI36" s="125"/>
      <c r="DJ36" s="125"/>
      <c r="DK36" s="125"/>
      <c r="DL36" s="125"/>
      <c r="DM36" s="125"/>
      <c r="DN36" s="125"/>
      <c r="DO36" s="125"/>
      <c r="DP36" s="125"/>
      <c r="DQ36" s="125"/>
      <c r="DR36" s="125"/>
      <c r="DS36" s="125"/>
      <c r="DT36" s="125"/>
      <c r="DU36" s="125"/>
      <c r="DV36" s="125"/>
      <c r="DW36" s="125"/>
      <c r="DX36" s="125"/>
      <c r="DY36" s="125"/>
      <c r="DZ36" s="125"/>
      <c r="EA36" s="125"/>
      <c r="EB36" s="125"/>
      <c r="EC36" s="125"/>
      <c r="ED36" s="125"/>
      <c r="EE36" s="125"/>
      <c r="EF36" s="125"/>
      <c r="EG36" s="125"/>
      <c r="EH36" s="125"/>
      <c r="EI36" s="125"/>
      <c r="EJ36" s="125"/>
      <c r="EK36" s="125"/>
      <c r="EL36" s="125"/>
      <c r="EM36" s="125"/>
      <c r="EN36" s="125"/>
      <c r="EO36" s="125"/>
      <c r="EP36" s="125"/>
      <c r="EQ36" s="125"/>
      <c r="ER36" s="125"/>
      <c r="ES36" s="125"/>
      <c r="ET36" s="125"/>
      <c r="EU36" s="125"/>
      <c r="EV36" s="125"/>
      <c r="EW36" s="125"/>
      <c r="EX36" s="125"/>
      <c r="EY36" s="125"/>
      <c r="EZ36" s="125"/>
      <c r="FA36" s="125"/>
      <c r="FB36" s="125"/>
      <c r="FC36" s="125"/>
      <c r="FD36" s="125"/>
      <c r="FE36" s="125"/>
      <c r="FF36" s="125"/>
      <c r="FG36" s="125"/>
      <c r="FH36" s="125"/>
      <c r="FI36" s="125"/>
      <c r="FJ36" s="125"/>
      <c r="FK36" s="125"/>
      <c r="FL36" s="125"/>
      <c r="FM36" s="125"/>
      <c r="FN36" s="125"/>
      <c r="FO36" s="125"/>
      <c r="FP36" s="125"/>
      <c r="FQ36" s="125"/>
      <c r="FR36" s="125"/>
      <c r="FS36" s="125"/>
      <c r="FT36" s="125"/>
      <c r="FU36" s="125"/>
      <c r="FV36" s="125"/>
      <c r="FW36" s="125"/>
      <c r="FX36" s="125"/>
      <c r="FY36" s="125"/>
      <c r="FZ36" s="125"/>
      <c r="GA36" s="125"/>
      <c r="GB36" s="125"/>
      <c r="GC36" s="125"/>
      <c r="GD36" s="125"/>
      <c r="GE36" s="125"/>
      <c r="GF36" s="125"/>
      <c r="GG36" s="125"/>
      <c r="GH36" s="125"/>
      <c r="GI36" s="125"/>
      <c r="GJ36" s="125"/>
      <c r="GK36" s="125"/>
      <c r="GL36" s="125"/>
      <c r="GM36" s="125"/>
      <c r="GN36" s="125"/>
      <c r="GO36" s="125"/>
      <c r="GP36" s="125"/>
      <c r="GQ36" s="125"/>
      <c r="GR36" s="125"/>
      <c r="GS36" s="125"/>
      <c r="GT36" s="125"/>
      <c r="GU36" s="125"/>
      <c r="GV36" s="125"/>
      <c r="GW36" s="125"/>
      <c r="GX36" s="125"/>
      <c r="GY36" s="125"/>
      <c r="GZ36" s="125"/>
      <c r="HA36" s="125"/>
      <c r="HB36" s="125"/>
      <c r="HC36" s="125"/>
      <c r="HD36" s="125"/>
      <c r="HE36" s="125"/>
      <c r="HF36" s="125"/>
      <c r="HG36" s="125"/>
      <c r="HH36" s="125"/>
      <c r="HI36" s="125"/>
      <c r="HJ36" s="125"/>
      <c r="HK36" s="125"/>
      <c r="HL36" s="125"/>
      <c r="HM36" s="125"/>
      <c r="HN36" s="125"/>
      <c r="HO36" s="125"/>
      <c r="HP36" s="125"/>
      <c r="HQ36" s="125"/>
      <c r="HR36" s="125"/>
      <c r="HS36" s="125"/>
      <c r="HT36" s="125"/>
      <c r="HU36" s="125"/>
      <c r="HV36" s="125"/>
      <c r="HW36" s="125"/>
      <c r="HX36" s="125"/>
      <c r="HY36" s="125"/>
      <c r="HZ36" s="125"/>
      <c r="IA36" s="125"/>
      <c r="IB36" s="125"/>
      <c r="IC36" s="125"/>
      <c r="ID36" s="125"/>
      <c r="IE36" s="125"/>
      <c r="IF36" s="125"/>
      <c r="IG36" s="125"/>
      <c r="IH36" s="125"/>
      <c r="II36" s="125"/>
      <c r="IJ36" s="125"/>
      <c r="IK36" s="125"/>
      <c r="IL36" s="125"/>
      <c r="IM36" s="125"/>
      <c r="IN36" s="125"/>
      <c r="IO36" s="125"/>
      <c r="IP36" s="125"/>
      <c r="IQ36" s="125"/>
      <c r="IR36" s="125"/>
      <c r="IS36" s="125"/>
      <c r="IT36" s="125"/>
      <c r="IU36" s="125"/>
      <c r="IV36" s="125"/>
    </row>
    <row r="37" spans="1:256" ht="18" customHeight="1" x14ac:dyDescent="0.35">
      <c r="A37" s="1600">
        <v>31</v>
      </c>
      <c r="B37" s="125"/>
      <c r="C37" s="2118" t="s">
        <v>140</v>
      </c>
      <c r="D37" s="1614" t="s">
        <v>1303</v>
      </c>
      <c r="E37" s="1621"/>
      <c r="F37" s="1622"/>
      <c r="G37" s="2066"/>
      <c r="H37" s="1622"/>
      <c r="I37" s="125"/>
      <c r="J37" s="1616"/>
      <c r="K37" s="125"/>
      <c r="L37" s="1616"/>
      <c r="M37" s="125"/>
      <c r="N37" s="125"/>
      <c r="O37" s="125"/>
      <c r="P37" s="125"/>
      <c r="Q37" s="125"/>
      <c r="R37" s="125"/>
      <c r="S37" s="125"/>
      <c r="T37" s="125"/>
      <c r="U37" s="125"/>
      <c r="V37" s="125"/>
      <c r="W37" s="125"/>
      <c r="X37" s="125"/>
      <c r="Y37" s="125"/>
      <c r="Z37" s="125"/>
      <c r="AA37" s="125"/>
      <c r="AB37" s="125"/>
      <c r="AC37" s="125"/>
      <c r="AD37" s="125"/>
      <c r="AE37" s="125"/>
      <c r="AF37" s="125"/>
      <c r="AG37" s="125"/>
      <c r="AH37" s="125"/>
      <c r="AI37" s="125"/>
      <c r="AJ37" s="125"/>
      <c r="AK37" s="125"/>
      <c r="AL37" s="125"/>
      <c r="AM37" s="125"/>
      <c r="AN37" s="125"/>
      <c r="AO37" s="125"/>
      <c r="AP37" s="125"/>
      <c r="AQ37" s="125"/>
      <c r="AR37" s="125"/>
      <c r="AS37" s="125"/>
      <c r="AT37" s="125"/>
      <c r="AU37" s="125"/>
      <c r="AV37" s="125"/>
      <c r="AW37" s="125"/>
      <c r="AX37" s="125"/>
      <c r="AY37" s="125"/>
      <c r="AZ37" s="125"/>
      <c r="BA37" s="125"/>
      <c r="BB37" s="125"/>
      <c r="BC37" s="125"/>
      <c r="BD37" s="125"/>
      <c r="BE37" s="125"/>
      <c r="BF37" s="125"/>
      <c r="BG37" s="125"/>
      <c r="BH37" s="125"/>
      <c r="BI37" s="125"/>
      <c r="BJ37" s="125"/>
      <c r="BK37" s="125"/>
      <c r="BL37" s="125"/>
      <c r="BM37" s="125"/>
      <c r="BN37" s="125"/>
      <c r="BO37" s="125"/>
      <c r="BP37" s="125"/>
      <c r="BQ37" s="125"/>
      <c r="BR37" s="125"/>
      <c r="BS37" s="125"/>
      <c r="BT37" s="125"/>
      <c r="BU37" s="125"/>
      <c r="BV37" s="125"/>
      <c r="BW37" s="125"/>
      <c r="BX37" s="125"/>
      <c r="BY37" s="125"/>
      <c r="BZ37" s="125"/>
      <c r="CA37" s="125"/>
      <c r="CB37" s="125"/>
      <c r="CC37" s="125"/>
      <c r="CD37" s="125"/>
      <c r="CE37" s="125"/>
      <c r="CF37" s="125"/>
      <c r="CG37" s="125"/>
      <c r="CH37" s="125"/>
      <c r="CI37" s="125"/>
      <c r="CJ37" s="125"/>
      <c r="CK37" s="125"/>
      <c r="CL37" s="125"/>
      <c r="CM37" s="125"/>
      <c r="CN37" s="125"/>
      <c r="CO37" s="125"/>
      <c r="CP37" s="125"/>
      <c r="CQ37" s="125"/>
      <c r="CR37" s="125"/>
      <c r="CS37" s="125"/>
      <c r="CT37" s="125"/>
      <c r="CU37" s="125"/>
      <c r="CV37" s="125"/>
      <c r="CW37" s="125"/>
      <c r="CX37" s="125"/>
      <c r="CY37" s="125"/>
      <c r="CZ37" s="125"/>
      <c r="DA37" s="125"/>
      <c r="DB37" s="125"/>
      <c r="DC37" s="125"/>
      <c r="DD37" s="125"/>
      <c r="DE37" s="125"/>
      <c r="DF37" s="125"/>
      <c r="DG37" s="125"/>
      <c r="DH37" s="125"/>
      <c r="DI37" s="125"/>
      <c r="DJ37" s="125"/>
      <c r="DK37" s="125"/>
      <c r="DL37" s="125"/>
      <c r="DM37" s="125"/>
      <c r="DN37" s="125"/>
      <c r="DO37" s="125"/>
      <c r="DP37" s="125"/>
      <c r="DQ37" s="125"/>
      <c r="DR37" s="125"/>
      <c r="DS37" s="125"/>
      <c r="DT37" s="125"/>
      <c r="DU37" s="125"/>
      <c r="DV37" s="125"/>
      <c r="DW37" s="125"/>
      <c r="DX37" s="125"/>
      <c r="DY37" s="125"/>
      <c r="DZ37" s="125"/>
      <c r="EA37" s="125"/>
      <c r="EB37" s="125"/>
      <c r="EC37" s="125"/>
      <c r="ED37" s="125"/>
      <c r="EE37" s="125"/>
      <c r="EF37" s="125"/>
      <c r="EG37" s="125"/>
      <c r="EH37" s="125"/>
      <c r="EI37" s="125"/>
      <c r="EJ37" s="125"/>
      <c r="EK37" s="125"/>
      <c r="EL37" s="125"/>
      <c r="EM37" s="125"/>
      <c r="EN37" s="125"/>
      <c r="EO37" s="125"/>
      <c r="EP37" s="125"/>
      <c r="EQ37" s="125"/>
      <c r="ER37" s="125"/>
      <c r="ES37" s="125"/>
      <c r="ET37" s="125"/>
      <c r="EU37" s="125"/>
      <c r="EV37" s="125"/>
      <c r="EW37" s="125"/>
      <c r="EX37" s="125"/>
      <c r="EY37" s="125"/>
      <c r="EZ37" s="125"/>
      <c r="FA37" s="125"/>
      <c r="FB37" s="125"/>
      <c r="FC37" s="125"/>
      <c r="FD37" s="125"/>
      <c r="FE37" s="125"/>
      <c r="FF37" s="125"/>
      <c r="FG37" s="125"/>
      <c r="FH37" s="125"/>
      <c r="FI37" s="125"/>
      <c r="FJ37" s="125"/>
      <c r="FK37" s="125"/>
      <c r="FL37" s="125"/>
      <c r="FM37" s="125"/>
      <c r="FN37" s="125"/>
      <c r="FO37" s="125"/>
      <c r="FP37" s="125"/>
      <c r="FQ37" s="125"/>
      <c r="FR37" s="125"/>
      <c r="FS37" s="125"/>
      <c r="FT37" s="125"/>
      <c r="FU37" s="125"/>
      <c r="FV37" s="125"/>
      <c r="FW37" s="125"/>
      <c r="FX37" s="125"/>
      <c r="FY37" s="125"/>
      <c r="FZ37" s="125"/>
      <c r="GA37" s="125"/>
      <c r="GB37" s="125"/>
      <c r="GC37" s="125"/>
      <c r="GD37" s="125"/>
      <c r="GE37" s="125"/>
      <c r="GF37" s="125"/>
      <c r="GG37" s="125"/>
      <c r="GH37" s="125"/>
      <c r="GI37" s="125"/>
      <c r="GJ37" s="125"/>
      <c r="GK37" s="125"/>
      <c r="GL37" s="125"/>
      <c r="GM37" s="125"/>
      <c r="GN37" s="125"/>
      <c r="GO37" s="125"/>
      <c r="GP37" s="125"/>
      <c r="GQ37" s="125"/>
      <c r="GR37" s="125"/>
      <c r="GS37" s="125"/>
      <c r="GT37" s="125"/>
      <c r="GU37" s="125"/>
      <c r="GV37" s="125"/>
      <c r="GW37" s="125"/>
      <c r="GX37" s="125"/>
      <c r="GY37" s="125"/>
      <c r="GZ37" s="125"/>
      <c r="HA37" s="125"/>
      <c r="HB37" s="125"/>
      <c r="HC37" s="125"/>
      <c r="HD37" s="125"/>
      <c r="HE37" s="125"/>
      <c r="HF37" s="125"/>
      <c r="HG37" s="125"/>
      <c r="HH37" s="125"/>
      <c r="HI37" s="125"/>
      <c r="HJ37" s="125"/>
      <c r="HK37" s="125"/>
      <c r="HL37" s="125"/>
      <c r="HM37" s="125"/>
      <c r="HN37" s="125"/>
      <c r="HO37" s="125"/>
      <c r="HP37" s="125"/>
      <c r="HQ37" s="125"/>
      <c r="HR37" s="125"/>
      <c r="HS37" s="125"/>
      <c r="HT37" s="125"/>
      <c r="HU37" s="125"/>
      <c r="HV37" s="125"/>
      <c r="HW37" s="125"/>
      <c r="HX37" s="125"/>
      <c r="HY37" s="125"/>
      <c r="HZ37" s="125"/>
      <c r="IA37" s="125"/>
      <c r="IB37" s="125"/>
      <c r="IC37" s="125"/>
      <c r="ID37" s="125"/>
      <c r="IE37" s="125"/>
      <c r="IF37" s="125"/>
      <c r="IG37" s="125"/>
      <c r="IH37" s="125"/>
      <c r="II37" s="125"/>
      <c r="IJ37" s="125"/>
      <c r="IK37" s="125"/>
      <c r="IL37" s="125"/>
      <c r="IM37" s="125"/>
      <c r="IN37" s="125"/>
      <c r="IO37" s="125"/>
      <c r="IP37" s="125"/>
      <c r="IQ37" s="125"/>
      <c r="IR37" s="125"/>
      <c r="IS37" s="125"/>
      <c r="IT37" s="125"/>
      <c r="IU37" s="125"/>
      <c r="IV37" s="125"/>
    </row>
    <row r="38" spans="1:256" ht="18" customHeight="1" x14ac:dyDescent="0.35">
      <c r="A38" s="1600">
        <v>32</v>
      </c>
      <c r="B38" s="125"/>
      <c r="D38" s="1667" t="s">
        <v>1304</v>
      </c>
      <c r="E38" s="1621">
        <v>1396</v>
      </c>
      <c r="F38" s="1622"/>
      <c r="G38" s="2066"/>
      <c r="H38" s="1622"/>
      <c r="I38" s="125"/>
      <c r="J38" s="1616"/>
      <c r="K38" s="125"/>
      <c r="L38" s="1616"/>
      <c r="M38" s="125"/>
      <c r="N38" s="125"/>
      <c r="O38" s="125"/>
      <c r="P38" s="125"/>
      <c r="Q38" s="125"/>
      <c r="R38" s="125"/>
      <c r="S38" s="125"/>
      <c r="T38" s="125"/>
      <c r="U38" s="125"/>
      <c r="V38" s="125"/>
      <c r="W38" s="125"/>
      <c r="X38" s="125"/>
      <c r="Y38" s="125"/>
      <c r="Z38" s="125"/>
      <c r="AA38" s="125"/>
      <c r="AB38" s="125"/>
      <c r="AC38" s="125"/>
      <c r="AD38" s="125"/>
      <c r="AE38" s="125"/>
      <c r="AF38" s="125"/>
      <c r="AG38" s="125"/>
      <c r="AH38" s="125"/>
      <c r="AI38" s="125"/>
      <c r="AJ38" s="125"/>
      <c r="AK38" s="125"/>
      <c r="AL38" s="125"/>
      <c r="AM38" s="125"/>
      <c r="AN38" s="125"/>
      <c r="AO38" s="125"/>
      <c r="AP38" s="125"/>
      <c r="AQ38" s="125"/>
      <c r="AR38" s="125"/>
      <c r="AS38" s="125"/>
      <c r="AT38" s="125"/>
      <c r="AU38" s="125"/>
      <c r="AV38" s="125"/>
      <c r="AW38" s="125"/>
      <c r="AX38" s="125"/>
      <c r="AY38" s="125"/>
      <c r="AZ38" s="125"/>
      <c r="BA38" s="125"/>
      <c r="BB38" s="125"/>
      <c r="BC38" s="125"/>
      <c r="BD38" s="125"/>
      <c r="BE38" s="125"/>
      <c r="BF38" s="125"/>
      <c r="BG38" s="125"/>
      <c r="BH38" s="125"/>
      <c r="BI38" s="125"/>
      <c r="BJ38" s="125"/>
      <c r="BK38" s="125"/>
      <c r="BL38" s="125"/>
      <c r="BM38" s="125"/>
      <c r="BN38" s="125"/>
      <c r="BO38" s="125"/>
      <c r="BP38" s="125"/>
      <c r="BQ38" s="125"/>
      <c r="BR38" s="125"/>
      <c r="BS38" s="125"/>
      <c r="BT38" s="125"/>
      <c r="BU38" s="125"/>
      <c r="BV38" s="125"/>
      <c r="BW38" s="125"/>
      <c r="BX38" s="125"/>
      <c r="BY38" s="125"/>
      <c r="BZ38" s="125"/>
      <c r="CA38" s="125"/>
      <c r="CB38" s="125"/>
      <c r="CC38" s="125"/>
      <c r="CD38" s="125"/>
      <c r="CE38" s="125"/>
      <c r="CF38" s="125"/>
      <c r="CG38" s="125"/>
      <c r="CH38" s="125"/>
      <c r="CI38" s="125"/>
      <c r="CJ38" s="125"/>
      <c r="CK38" s="125"/>
      <c r="CL38" s="125"/>
      <c r="CM38" s="125"/>
      <c r="CN38" s="125"/>
      <c r="CO38" s="125"/>
      <c r="CP38" s="125"/>
      <c r="CQ38" s="125"/>
      <c r="CR38" s="125"/>
      <c r="CS38" s="125"/>
      <c r="CT38" s="125"/>
      <c r="CU38" s="125"/>
      <c r="CV38" s="125"/>
      <c r="CW38" s="125"/>
      <c r="CX38" s="125"/>
      <c r="CY38" s="125"/>
      <c r="CZ38" s="125"/>
      <c r="DA38" s="125"/>
      <c r="DB38" s="125"/>
      <c r="DC38" s="125"/>
      <c r="DD38" s="125"/>
      <c r="DE38" s="125"/>
      <c r="DF38" s="125"/>
      <c r="DG38" s="125"/>
      <c r="DH38" s="125"/>
      <c r="DI38" s="125"/>
      <c r="DJ38" s="125"/>
      <c r="DK38" s="125"/>
      <c r="DL38" s="125"/>
      <c r="DM38" s="125"/>
      <c r="DN38" s="125"/>
      <c r="DO38" s="125"/>
      <c r="DP38" s="125"/>
      <c r="DQ38" s="125"/>
      <c r="DR38" s="125"/>
      <c r="DS38" s="125"/>
      <c r="DT38" s="125"/>
      <c r="DU38" s="125"/>
      <c r="DV38" s="125"/>
      <c r="DW38" s="125"/>
      <c r="DX38" s="125"/>
      <c r="DY38" s="125"/>
      <c r="DZ38" s="125"/>
      <c r="EA38" s="125"/>
      <c r="EB38" s="125"/>
      <c r="EC38" s="125"/>
      <c r="ED38" s="125"/>
      <c r="EE38" s="125"/>
      <c r="EF38" s="125"/>
      <c r="EG38" s="125"/>
      <c r="EH38" s="125"/>
      <c r="EI38" s="125"/>
      <c r="EJ38" s="125"/>
      <c r="EK38" s="125"/>
      <c r="EL38" s="125"/>
      <c r="EM38" s="125"/>
      <c r="EN38" s="125"/>
      <c r="EO38" s="125"/>
      <c r="EP38" s="125"/>
      <c r="EQ38" s="125"/>
      <c r="ER38" s="125"/>
      <c r="ES38" s="125"/>
      <c r="ET38" s="125"/>
      <c r="EU38" s="125"/>
      <c r="EV38" s="125"/>
      <c r="EW38" s="125"/>
      <c r="EX38" s="125"/>
      <c r="EY38" s="125"/>
      <c r="EZ38" s="125"/>
      <c r="FA38" s="125"/>
      <c r="FB38" s="125"/>
      <c r="FC38" s="125"/>
      <c r="FD38" s="125"/>
      <c r="FE38" s="125"/>
      <c r="FF38" s="125"/>
      <c r="FG38" s="125"/>
      <c r="FH38" s="125"/>
      <c r="FI38" s="125"/>
      <c r="FJ38" s="125"/>
      <c r="FK38" s="125"/>
      <c r="FL38" s="125"/>
      <c r="FM38" s="125"/>
      <c r="FN38" s="125"/>
      <c r="FO38" s="125"/>
      <c r="FP38" s="125"/>
      <c r="FQ38" s="125"/>
      <c r="FR38" s="125"/>
      <c r="FS38" s="125"/>
      <c r="FT38" s="125"/>
      <c r="FU38" s="125"/>
      <c r="FV38" s="125"/>
      <c r="FW38" s="125"/>
      <c r="FX38" s="125"/>
      <c r="FY38" s="125"/>
      <c r="FZ38" s="125"/>
      <c r="GA38" s="125"/>
      <c r="GB38" s="125"/>
      <c r="GC38" s="125"/>
      <c r="GD38" s="125"/>
      <c r="GE38" s="125"/>
      <c r="GF38" s="125"/>
      <c r="GG38" s="125"/>
      <c r="GH38" s="125"/>
      <c r="GI38" s="125"/>
      <c r="GJ38" s="125"/>
      <c r="GK38" s="125"/>
      <c r="GL38" s="125"/>
      <c r="GM38" s="125"/>
      <c r="GN38" s="125"/>
      <c r="GO38" s="125"/>
      <c r="GP38" s="125"/>
      <c r="GQ38" s="125"/>
      <c r="GR38" s="125"/>
      <c r="GS38" s="125"/>
      <c r="GT38" s="125"/>
      <c r="GU38" s="125"/>
      <c r="GV38" s="125"/>
      <c r="GW38" s="125"/>
      <c r="GX38" s="125"/>
      <c r="GY38" s="125"/>
      <c r="GZ38" s="125"/>
      <c r="HA38" s="125"/>
      <c r="HB38" s="125"/>
      <c r="HC38" s="125"/>
      <c r="HD38" s="125"/>
      <c r="HE38" s="125"/>
      <c r="HF38" s="125"/>
      <c r="HG38" s="125"/>
      <c r="HH38" s="125"/>
      <c r="HI38" s="125"/>
      <c r="HJ38" s="125"/>
      <c r="HK38" s="125"/>
      <c r="HL38" s="125"/>
      <c r="HM38" s="125"/>
      <c r="HN38" s="125"/>
      <c r="HO38" s="125"/>
      <c r="HP38" s="125"/>
      <c r="HQ38" s="125"/>
      <c r="HR38" s="125"/>
      <c r="HS38" s="125"/>
      <c r="HT38" s="125"/>
      <c r="HU38" s="125"/>
      <c r="HV38" s="125"/>
      <c r="HW38" s="125"/>
      <c r="HX38" s="125"/>
      <c r="HY38" s="125"/>
      <c r="HZ38" s="125"/>
      <c r="IA38" s="125"/>
      <c r="IB38" s="125"/>
      <c r="IC38" s="125"/>
      <c r="ID38" s="125"/>
      <c r="IE38" s="125"/>
      <c r="IF38" s="125"/>
      <c r="IG38" s="125"/>
      <c r="IH38" s="125"/>
      <c r="II38" s="125"/>
      <c r="IJ38" s="125"/>
      <c r="IK38" s="125"/>
      <c r="IL38" s="125"/>
      <c r="IM38" s="125"/>
      <c r="IN38" s="125"/>
      <c r="IO38" s="125"/>
      <c r="IP38" s="125"/>
      <c r="IQ38" s="125"/>
      <c r="IR38" s="125"/>
      <c r="IS38" s="125"/>
      <c r="IT38" s="125"/>
      <c r="IU38" s="125"/>
      <c r="IV38" s="125"/>
    </row>
    <row r="39" spans="1:256" ht="24.95" customHeight="1" x14ac:dyDescent="0.35">
      <c r="A39" s="1600">
        <v>33</v>
      </c>
      <c r="B39" s="125"/>
      <c r="C39" s="1607" t="s">
        <v>223</v>
      </c>
      <c r="D39" s="1614" t="s">
        <v>956</v>
      </c>
      <c r="E39" s="1621"/>
      <c r="F39" s="1622"/>
      <c r="G39" s="2066"/>
      <c r="H39" s="1622"/>
      <c r="I39" s="125"/>
      <c r="J39" s="1616"/>
      <c r="K39" s="125"/>
      <c r="L39" s="1616"/>
      <c r="M39" s="125"/>
      <c r="N39" s="125"/>
      <c r="O39" s="125"/>
      <c r="P39" s="125"/>
      <c r="Q39" s="125"/>
      <c r="R39" s="125"/>
      <c r="S39" s="125"/>
      <c r="T39" s="125"/>
      <c r="U39" s="125"/>
      <c r="V39" s="125"/>
      <c r="W39" s="125"/>
      <c r="X39" s="125"/>
      <c r="Y39" s="125"/>
      <c r="Z39" s="125"/>
      <c r="AA39" s="125"/>
      <c r="AB39" s="125"/>
      <c r="AC39" s="125"/>
      <c r="AD39" s="125"/>
      <c r="AE39" s="125"/>
      <c r="AF39" s="125"/>
      <c r="AG39" s="125"/>
      <c r="AH39" s="125"/>
      <c r="AI39" s="125"/>
      <c r="AJ39" s="125"/>
      <c r="AK39" s="125"/>
      <c r="AL39" s="125"/>
      <c r="AM39" s="125"/>
      <c r="AN39" s="125"/>
      <c r="AO39" s="125"/>
      <c r="AP39" s="125"/>
      <c r="AQ39" s="125"/>
      <c r="AR39" s="125"/>
      <c r="AS39" s="125"/>
      <c r="AT39" s="125"/>
      <c r="AU39" s="125"/>
      <c r="AV39" s="125"/>
      <c r="AW39" s="125"/>
      <c r="AX39" s="125"/>
      <c r="AY39" s="125"/>
      <c r="AZ39" s="125"/>
      <c r="BA39" s="125"/>
      <c r="BB39" s="125"/>
      <c r="BC39" s="125"/>
      <c r="BD39" s="125"/>
      <c r="BE39" s="125"/>
      <c r="BF39" s="125"/>
      <c r="BG39" s="125"/>
      <c r="BH39" s="125"/>
      <c r="BI39" s="125"/>
      <c r="BJ39" s="125"/>
      <c r="BK39" s="125"/>
      <c r="BL39" s="125"/>
      <c r="BM39" s="125"/>
      <c r="BN39" s="125"/>
      <c r="BO39" s="125"/>
      <c r="BP39" s="125"/>
      <c r="BQ39" s="125"/>
      <c r="BR39" s="125"/>
      <c r="BS39" s="125"/>
      <c r="BT39" s="125"/>
      <c r="BU39" s="125"/>
      <c r="BV39" s="125"/>
      <c r="BW39" s="125"/>
      <c r="BX39" s="125"/>
      <c r="BY39" s="125"/>
      <c r="BZ39" s="125"/>
      <c r="CA39" s="125"/>
      <c r="CB39" s="125"/>
      <c r="CC39" s="125"/>
      <c r="CD39" s="125"/>
      <c r="CE39" s="125"/>
      <c r="CF39" s="125"/>
      <c r="CG39" s="125"/>
      <c r="CH39" s="125"/>
      <c r="CI39" s="125"/>
      <c r="CJ39" s="125"/>
      <c r="CK39" s="125"/>
      <c r="CL39" s="125"/>
      <c r="CM39" s="125"/>
      <c r="CN39" s="125"/>
      <c r="CO39" s="125"/>
      <c r="CP39" s="125"/>
      <c r="CQ39" s="125"/>
      <c r="CR39" s="125"/>
      <c r="CS39" s="125"/>
      <c r="CT39" s="125"/>
      <c r="CU39" s="125"/>
      <c r="CV39" s="125"/>
      <c r="CW39" s="125"/>
      <c r="CX39" s="125"/>
      <c r="CY39" s="125"/>
      <c r="CZ39" s="125"/>
      <c r="DA39" s="125"/>
      <c r="DB39" s="125"/>
      <c r="DC39" s="125"/>
      <c r="DD39" s="125"/>
      <c r="DE39" s="125"/>
      <c r="DF39" s="125"/>
      <c r="DG39" s="125"/>
      <c r="DH39" s="125"/>
      <c r="DI39" s="125"/>
      <c r="DJ39" s="125"/>
      <c r="DK39" s="125"/>
      <c r="DL39" s="125"/>
      <c r="DM39" s="125"/>
      <c r="DN39" s="125"/>
      <c r="DO39" s="125"/>
      <c r="DP39" s="125"/>
      <c r="DQ39" s="125"/>
      <c r="DR39" s="125"/>
      <c r="DS39" s="125"/>
      <c r="DT39" s="125"/>
      <c r="DU39" s="125"/>
      <c r="DV39" s="125"/>
      <c r="DW39" s="125"/>
      <c r="DX39" s="125"/>
      <c r="DY39" s="125"/>
      <c r="DZ39" s="125"/>
      <c r="EA39" s="125"/>
      <c r="EB39" s="125"/>
      <c r="EC39" s="125"/>
      <c r="ED39" s="125"/>
      <c r="EE39" s="125"/>
      <c r="EF39" s="125"/>
      <c r="EG39" s="125"/>
      <c r="EH39" s="125"/>
      <c r="EI39" s="125"/>
      <c r="EJ39" s="125"/>
      <c r="EK39" s="125"/>
      <c r="EL39" s="125"/>
      <c r="EM39" s="125"/>
      <c r="EN39" s="125"/>
      <c r="EO39" s="125"/>
      <c r="EP39" s="125"/>
      <c r="EQ39" s="125"/>
      <c r="ER39" s="125"/>
      <c r="ES39" s="125"/>
      <c r="ET39" s="125"/>
      <c r="EU39" s="125"/>
      <c r="EV39" s="125"/>
      <c r="EW39" s="125"/>
      <c r="EX39" s="125"/>
      <c r="EY39" s="125"/>
      <c r="EZ39" s="125"/>
      <c r="FA39" s="125"/>
      <c r="FB39" s="125"/>
      <c r="FC39" s="125"/>
      <c r="FD39" s="125"/>
      <c r="FE39" s="125"/>
      <c r="FF39" s="125"/>
      <c r="FG39" s="125"/>
      <c r="FH39" s="125"/>
      <c r="FI39" s="125"/>
      <c r="FJ39" s="125"/>
      <c r="FK39" s="125"/>
      <c r="FL39" s="125"/>
      <c r="FM39" s="125"/>
      <c r="FN39" s="125"/>
      <c r="FO39" s="125"/>
      <c r="FP39" s="125"/>
      <c r="FQ39" s="125"/>
      <c r="FR39" s="125"/>
      <c r="FS39" s="125"/>
      <c r="FT39" s="125"/>
      <c r="FU39" s="125"/>
      <c r="FV39" s="125"/>
      <c r="FW39" s="125"/>
      <c r="FX39" s="125"/>
      <c r="FY39" s="125"/>
      <c r="FZ39" s="125"/>
      <c r="GA39" s="125"/>
      <c r="GB39" s="125"/>
      <c r="GC39" s="125"/>
      <c r="GD39" s="125"/>
      <c r="GE39" s="125"/>
      <c r="GF39" s="125"/>
      <c r="GG39" s="125"/>
      <c r="GH39" s="125"/>
      <c r="GI39" s="125"/>
      <c r="GJ39" s="125"/>
      <c r="GK39" s="125"/>
      <c r="GL39" s="125"/>
      <c r="GM39" s="125"/>
      <c r="GN39" s="125"/>
      <c r="GO39" s="125"/>
      <c r="GP39" s="125"/>
      <c r="GQ39" s="125"/>
      <c r="GR39" s="125"/>
      <c r="GS39" s="125"/>
      <c r="GT39" s="125"/>
      <c r="GU39" s="125"/>
      <c r="GV39" s="125"/>
      <c r="GW39" s="125"/>
      <c r="GX39" s="125"/>
      <c r="GY39" s="125"/>
      <c r="GZ39" s="125"/>
      <c r="HA39" s="125"/>
      <c r="HB39" s="125"/>
      <c r="HC39" s="125"/>
      <c r="HD39" s="125"/>
      <c r="HE39" s="125"/>
      <c r="HF39" s="125"/>
      <c r="HG39" s="125"/>
      <c r="HH39" s="125"/>
      <c r="HI39" s="125"/>
      <c r="HJ39" s="125"/>
      <c r="HK39" s="125"/>
      <c r="HL39" s="125"/>
      <c r="HM39" s="125"/>
      <c r="HN39" s="125"/>
      <c r="HO39" s="125"/>
      <c r="HP39" s="125"/>
      <c r="HQ39" s="125"/>
      <c r="HR39" s="125"/>
      <c r="HS39" s="125"/>
      <c r="HT39" s="125"/>
      <c r="HU39" s="125"/>
      <c r="HV39" s="125"/>
      <c r="HW39" s="125"/>
      <c r="HX39" s="125"/>
      <c r="HY39" s="125"/>
      <c r="HZ39" s="125"/>
      <c r="IA39" s="125"/>
      <c r="IB39" s="125"/>
      <c r="IC39" s="125"/>
      <c r="ID39" s="125"/>
      <c r="IE39" s="125"/>
      <c r="IF39" s="125"/>
      <c r="IG39" s="125"/>
      <c r="IH39" s="125"/>
      <c r="II39" s="125"/>
      <c r="IJ39" s="125"/>
      <c r="IK39" s="125"/>
      <c r="IL39" s="125"/>
      <c r="IM39" s="125"/>
      <c r="IN39" s="125"/>
      <c r="IO39" s="125"/>
      <c r="IP39" s="125"/>
      <c r="IQ39" s="125"/>
      <c r="IR39" s="125"/>
      <c r="IS39" s="125"/>
      <c r="IT39" s="125"/>
      <c r="IU39" s="125"/>
      <c r="IV39" s="125"/>
    </row>
    <row r="40" spans="1:256" ht="18" customHeight="1" x14ac:dyDescent="0.35">
      <c r="A40" s="1600">
        <v>34</v>
      </c>
      <c r="B40" s="125"/>
      <c r="C40" s="1607"/>
      <c r="D40" s="1667" t="s">
        <v>1289</v>
      </c>
      <c r="E40" s="1620">
        <v>-600</v>
      </c>
      <c r="F40" s="1622"/>
      <c r="G40" s="2066"/>
      <c r="H40" s="1622"/>
      <c r="I40" s="125"/>
      <c r="J40" s="1616"/>
      <c r="K40" s="125"/>
      <c r="L40" s="1616"/>
      <c r="M40" s="125"/>
      <c r="N40" s="125"/>
      <c r="O40" s="125"/>
      <c r="P40" s="125"/>
      <c r="Q40" s="125"/>
      <c r="R40" s="125"/>
      <c r="S40" s="125"/>
      <c r="T40" s="125"/>
      <c r="U40" s="125"/>
      <c r="V40" s="125"/>
      <c r="W40" s="125"/>
      <c r="X40" s="125"/>
      <c r="Y40" s="125"/>
      <c r="Z40" s="125"/>
      <c r="AA40" s="125"/>
      <c r="AB40" s="125"/>
      <c r="AC40" s="125"/>
      <c r="AD40" s="125"/>
      <c r="AE40" s="125"/>
      <c r="AF40" s="125"/>
      <c r="AG40" s="125"/>
      <c r="AH40" s="125"/>
      <c r="AI40" s="125"/>
      <c r="AJ40" s="125"/>
      <c r="AK40" s="125"/>
      <c r="AL40" s="125"/>
      <c r="AM40" s="125"/>
      <c r="AN40" s="125"/>
      <c r="AO40" s="125"/>
      <c r="AP40" s="125"/>
      <c r="AQ40" s="125"/>
      <c r="AR40" s="125"/>
      <c r="AS40" s="125"/>
      <c r="AT40" s="125"/>
      <c r="AU40" s="125"/>
      <c r="AV40" s="125"/>
      <c r="AW40" s="125"/>
      <c r="AX40" s="125"/>
      <c r="AY40" s="125"/>
      <c r="AZ40" s="125"/>
      <c r="BA40" s="125"/>
      <c r="BB40" s="125"/>
      <c r="BC40" s="125"/>
      <c r="BD40" s="125"/>
      <c r="BE40" s="125"/>
      <c r="BF40" s="125"/>
      <c r="BG40" s="125"/>
      <c r="BH40" s="125"/>
      <c r="BI40" s="125"/>
      <c r="BJ40" s="125"/>
      <c r="BK40" s="125"/>
      <c r="BL40" s="125"/>
      <c r="BM40" s="125"/>
      <c r="BN40" s="125"/>
      <c r="BO40" s="125"/>
      <c r="BP40" s="125"/>
      <c r="BQ40" s="125"/>
      <c r="BR40" s="125"/>
      <c r="BS40" s="125"/>
      <c r="BT40" s="125"/>
      <c r="BU40" s="125"/>
      <c r="BV40" s="125"/>
      <c r="BW40" s="125"/>
      <c r="BX40" s="125"/>
      <c r="BY40" s="125"/>
      <c r="BZ40" s="125"/>
      <c r="CA40" s="125"/>
      <c r="CB40" s="125"/>
      <c r="CC40" s="125"/>
      <c r="CD40" s="125"/>
      <c r="CE40" s="125"/>
      <c r="CF40" s="125"/>
      <c r="CG40" s="125"/>
      <c r="CH40" s="125"/>
      <c r="CI40" s="125"/>
      <c r="CJ40" s="125"/>
      <c r="CK40" s="125"/>
      <c r="CL40" s="125"/>
      <c r="CM40" s="125"/>
      <c r="CN40" s="125"/>
      <c r="CO40" s="125"/>
      <c r="CP40" s="125"/>
      <c r="CQ40" s="125"/>
      <c r="CR40" s="125"/>
      <c r="CS40" s="125"/>
      <c r="CT40" s="125"/>
      <c r="CU40" s="125"/>
      <c r="CV40" s="125"/>
      <c r="CW40" s="125"/>
      <c r="CX40" s="125"/>
      <c r="CY40" s="125"/>
      <c r="CZ40" s="125"/>
      <c r="DA40" s="125"/>
      <c r="DB40" s="125"/>
      <c r="DC40" s="125"/>
      <c r="DD40" s="125"/>
      <c r="DE40" s="125"/>
      <c r="DF40" s="125"/>
      <c r="DG40" s="125"/>
      <c r="DH40" s="125"/>
      <c r="DI40" s="125"/>
      <c r="DJ40" s="125"/>
      <c r="DK40" s="125"/>
      <c r="DL40" s="125"/>
      <c r="DM40" s="125"/>
      <c r="DN40" s="125"/>
      <c r="DO40" s="125"/>
      <c r="DP40" s="125"/>
      <c r="DQ40" s="125"/>
      <c r="DR40" s="125"/>
      <c r="DS40" s="125"/>
      <c r="DT40" s="125"/>
      <c r="DU40" s="125"/>
      <c r="DV40" s="125"/>
      <c r="DW40" s="125"/>
      <c r="DX40" s="125"/>
      <c r="DY40" s="125"/>
      <c r="DZ40" s="125"/>
      <c r="EA40" s="125"/>
      <c r="EB40" s="125"/>
      <c r="EC40" s="125"/>
      <c r="ED40" s="125"/>
      <c r="EE40" s="125"/>
      <c r="EF40" s="125"/>
      <c r="EG40" s="125"/>
      <c r="EH40" s="125"/>
      <c r="EI40" s="125"/>
      <c r="EJ40" s="125"/>
      <c r="EK40" s="125"/>
      <c r="EL40" s="125"/>
      <c r="EM40" s="125"/>
      <c r="EN40" s="125"/>
      <c r="EO40" s="125"/>
      <c r="EP40" s="125"/>
      <c r="EQ40" s="125"/>
      <c r="ER40" s="125"/>
      <c r="ES40" s="125"/>
      <c r="ET40" s="125"/>
      <c r="EU40" s="125"/>
      <c r="EV40" s="125"/>
      <c r="EW40" s="125"/>
      <c r="EX40" s="125"/>
      <c r="EY40" s="125"/>
      <c r="EZ40" s="125"/>
      <c r="FA40" s="125"/>
      <c r="FB40" s="125"/>
      <c r="FC40" s="125"/>
      <c r="FD40" s="125"/>
      <c r="FE40" s="125"/>
      <c r="FF40" s="125"/>
      <c r="FG40" s="125"/>
      <c r="FH40" s="125"/>
      <c r="FI40" s="125"/>
      <c r="FJ40" s="125"/>
      <c r="FK40" s="125"/>
      <c r="FL40" s="125"/>
      <c r="FM40" s="125"/>
      <c r="FN40" s="125"/>
      <c r="FO40" s="125"/>
      <c r="FP40" s="125"/>
      <c r="FQ40" s="125"/>
      <c r="FR40" s="125"/>
      <c r="FS40" s="125"/>
      <c r="FT40" s="125"/>
      <c r="FU40" s="125"/>
      <c r="FV40" s="125"/>
      <c r="FW40" s="125"/>
      <c r="FX40" s="125"/>
      <c r="FY40" s="125"/>
      <c r="FZ40" s="125"/>
      <c r="GA40" s="125"/>
      <c r="GB40" s="125"/>
      <c r="GC40" s="125"/>
      <c r="GD40" s="125"/>
      <c r="GE40" s="125"/>
      <c r="GF40" s="125"/>
      <c r="GG40" s="125"/>
      <c r="GH40" s="125"/>
      <c r="GI40" s="125"/>
      <c r="GJ40" s="125"/>
      <c r="GK40" s="125"/>
      <c r="GL40" s="125"/>
      <c r="GM40" s="125"/>
      <c r="GN40" s="125"/>
      <c r="GO40" s="125"/>
      <c r="GP40" s="125"/>
      <c r="GQ40" s="125"/>
      <c r="GR40" s="125"/>
      <c r="GS40" s="125"/>
      <c r="GT40" s="125"/>
      <c r="GU40" s="125"/>
      <c r="GV40" s="125"/>
      <c r="GW40" s="125"/>
      <c r="GX40" s="125"/>
      <c r="GY40" s="125"/>
      <c r="GZ40" s="125"/>
      <c r="HA40" s="125"/>
      <c r="HB40" s="125"/>
      <c r="HC40" s="125"/>
      <c r="HD40" s="125"/>
      <c r="HE40" s="125"/>
      <c r="HF40" s="125"/>
      <c r="HG40" s="125"/>
      <c r="HH40" s="125"/>
      <c r="HI40" s="125"/>
      <c r="HJ40" s="125"/>
      <c r="HK40" s="125"/>
      <c r="HL40" s="125"/>
      <c r="HM40" s="125"/>
      <c r="HN40" s="125"/>
      <c r="HO40" s="125"/>
      <c r="HP40" s="125"/>
      <c r="HQ40" s="125"/>
      <c r="HR40" s="125"/>
      <c r="HS40" s="125"/>
      <c r="HT40" s="125"/>
      <c r="HU40" s="125"/>
      <c r="HV40" s="125"/>
      <c r="HW40" s="125"/>
      <c r="HX40" s="125"/>
      <c r="HY40" s="125"/>
      <c r="HZ40" s="125"/>
      <c r="IA40" s="125"/>
      <c r="IB40" s="125"/>
      <c r="IC40" s="125"/>
      <c r="ID40" s="125"/>
      <c r="IE40" s="125"/>
      <c r="IF40" s="125"/>
      <c r="IG40" s="125"/>
      <c r="IH40" s="125"/>
      <c r="II40" s="125"/>
      <c r="IJ40" s="125"/>
      <c r="IK40" s="125"/>
      <c r="IL40" s="125"/>
      <c r="IM40" s="125"/>
      <c r="IN40" s="125"/>
      <c r="IO40" s="125"/>
      <c r="IP40" s="125"/>
      <c r="IQ40" s="125"/>
      <c r="IR40" s="125"/>
      <c r="IS40" s="125"/>
      <c r="IT40" s="125"/>
      <c r="IU40" s="125"/>
      <c r="IV40" s="125"/>
    </row>
    <row r="41" spans="1:256" ht="18" customHeight="1" x14ac:dyDescent="0.35">
      <c r="A41" s="1600">
        <v>35</v>
      </c>
      <c r="B41" s="125"/>
      <c r="C41" s="1607"/>
      <c r="D41" s="1667" t="s">
        <v>1342</v>
      </c>
      <c r="E41" s="1620">
        <v>-2234</v>
      </c>
      <c r="F41" s="1622"/>
      <c r="G41" s="2066"/>
      <c r="H41" s="1622"/>
      <c r="I41" s="125"/>
      <c r="J41" s="1616"/>
      <c r="K41" s="125"/>
      <c r="L41" s="1616"/>
      <c r="M41" s="125"/>
      <c r="N41" s="125"/>
      <c r="O41" s="125"/>
      <c r="P41" s="125"/>
      <c r="Q41" s="125"/>
      <c r="R41" s="125"/>
      <c r="S41" s="125"/>
      <c r="T41" s="125"/>
      <c r="U41" s="125"/>
      <c r="V41" s="125"/>
      <c r="W41" s="125"/>
      <c r="X41" s="125"/>
      <c r="Y41" s="125"/>
      <c r="Z41" s="125"/>
      <c r="AA41" s="125"/>
      <c r="AB41" s="125"/>
      <c r="AC41" s="125"/>
      <c r="AD41" s="125"/>
      <c r="AE41" s="125"/>
      <c r="AF41" s="125"/>
      <c r="AG41" s="125"/>
      <c r="AH41" s="125"/>
      <c r="AI41" s="125"/>
      <c r="AJ41" s="125"/>
      <c r="AK41" s="125"/>
      <c r="AL41" s="125"/>
      <c r="AM41" s="125"/>
      <c r="AN41" s="125"/>
      <c r="AO41" s="125"/>
      <c r="AP41" s="125"/>
      <c r="AQ41" s="125"/>
      <c r="AR41" s="125"/>
      <c r="AS41" s="125"/>
      <c r="AT41" s="125"/>
      <c r="AU41" s="125"/>
      <c r="AV41" s="125"/>
      <c r="AW41" s="125"/>
      <c r="AX41" s="125"/>
      <c r="AY41" s="125"/>
      <c r="AZ41" s="125"/>
      <c r="BA41" s="125"/>
      <c r="BB41" s="125"/>
      <c r="BC41" s="125"/>
      <c r="BD41" s="125"/>
      <c r="BE41" s="125"/>
      <c r="BF41" s="125"/>
      <c r="BG41" s="125"/>
      <c r="BH41" s="125"/>
      <c r="BI41" s="125"/>
      <c r="BJ41" s="125"/>
      <c r="BK41" s="125"/>
      <c r="BL41" s="125"/>
      <c r="BM41" s="125"/>
      <c r="BN41" s="125"/>
      <c r="BO41" s="125"/>
      <c r="BP41" s="125"/>
      <c r="BQ41" s="125"/>
      <c r="BR41" s="125"/>
      <c r="BS41" s="125"/>
      <c r="BT41" s="125"/>
      <c r="BU41" s="125"/>
      <c r="BV41" s="125"/>
      <c r="BW41" s="125"/>
      <c r="BX41" s="125"/>
      <c r="BY41" s="125"/>
      <c r="BZ41" s="125"/>
      <c r="CA41" s="125"/>
      <c r="CB41" s="125"/>
      <c r="CC41" s="125"/>
      <c r="CD41" s="125"/>
      <c r="CE41" s="125"/>
      <c r="CF41" s="125"/>
      <c r="CG41" s="125"/>
      <c r="CH41" s="125"/>
      <c r="CI41" s="125"/>
      <c r="CJ41" s="125"/>
      <c r="CK41" s="125"/>
      <c r="CL41" s="125"/>
      <c r="CM41" s="125"/>
      <c r="CN41" s="125"/>
      <c r="CO41" s="125"/>
      <c r="CP41" s="125"/>
      <c r="CQ41" s="125"/>
      <c r="CR41" s="125"/>
      <c r="CS41" s="125"/>
      <c r="CT41" s="125"/>
      <c r="CU41" s="125"/>
      <c r="CV41" s="125"/>
      <c r="CW41" s="125"/>
      <c r="CX41" s="125"/>
      <c r="CY41" s="125"/>
      <c r="CZ41" s="125"/>
      <c r="DA41" s="125"/>
      <c r="DB41" s="125"/>
      <c r="DC41" s="125"/>
      <c r="DD41" s="125"/>
      <c r="DE41" s="125"/>
      <c r="DF41" s="125"/>
      <c r="DG41" s="125"/>
      <c r="DH41" s="125"/>
      <c r="DI41" s="125"/>
      <c r="DJ41" s="125"/>
      <c r="DK41" s="125"/>
      <c r="DL41" s="125"/>
      <c r="DM41" s="125"/>
      <c r="DN41" s="125"/>
      <c r="DO41" s="125"/>
      <c r="DP41" s="125"/>
      <c r="DQ41" s="125"/>
      <c r="DR41" s="125"/>
      <c r="DS41" s="125"/>
      <c r="DT41" s="125"/>
      <c r="DU41" s="125"/>
      <c r="DV41" s="125"/>
      <c r="DW41" s="125"/>
      <c r="DX41" s="125"/>
      <c r="DY41" s="125"/>
      <c r="DZ41" s="125"/>
      <c r="EA41" s="125"/>
      <c r="EB41" s="125"/>
      <c r="EC41" s="125"/>
      <c r="ED41" s="125"/>
      <c r="EE41" s="125"/>
      <c r="EF41" s="125"/>
      <c r="EG41" s="125"/>
      <c r="EH41" s="125"/>
      <c r="EI41" s="125"/>
      <c r="EJ41" s="125"/>
      <c r="EK41" s="125"/>
      <c r="EL41" s="125"/>
      <c r="EM41" s="125"/>
      <c r="EN41" s="125"/>
      <c r="EO41" s="125"/>
      <c r="EP41" s="125"/>
      <c r="EQ41" s="125"/>
      <c r="ER41" s="125"/>
      <c r="ES41" s="125"/>
      <c r="ET41" s="125"/>
      <c r="EU41" s="125"/>
      <c r="EV41" s="125"/>
      <c r="EW41" s="125"/>
      <c r="EX41" s="125"/>
      <c r="EY41" s="125"/>
      <c r="EZ41" s="125"/>
      <c r="FA41" s="125"/>
      <c r="FB41" s="125"/>
      <c r="FC41" s="125"/>
      <c r="FD41" s="125"/>
      <c r="FE41" s="125"/>
      <c r="FF41" s="125"/>
      <c r="FG41" s="125"/>
      <c r="FH41" s="125"/>
      <c r="FI41" s="125"/>
      <c r="FJ41" s="125"/>
      <c r="FK41" s="125"/>
      <c r="FL41" s="125"/>
      <c r="FM41" s="125"/>
      <c r="FN41" s="125"/>
      <c r="FO41" s="125"/>
      <c r="FP41" s="125"/>
      <c r="FQ41" s="125"/>
      <c r="FR41" s="125"/>
      <c r="FS41" s="125"/>
      <c r="FT41" s="125"/>
      <c r="FU41" s="125"/>
      <c r="FV41" s="125"/>
      <c r="FW41" s="125"/>
      <c r="FX41" s="125"/>
      <c r="FY41" s="125"/>
      <c r="FZ41" s="125"/>
      <c r="GA41" s="125"/>
      <c r="GB41" s="125"/>
      <c r="GC41" s="125"/>
      <c r="GD41" s="125"/>
      <c r="GE41" s="125"/>
      <c r="GF41" s="125"/>
      <c r="GG41" s="125"/>
      <c r="GH41" s="125"/>
      <c r="GI41" s="125"/>
      <c r="GJ41" s="125"/>
      <c r="GK41" s="125"/>
      <c r="GL41" s="125"/>
      <c r="GM41" s="125"/>
      <c r="GN41" s="125"/>
      <c r="GO41" s="125"/>
      <c r="GP41" s="125"/>
      <c r="GQ41" s="125"/>
      <c r="GR41" s="125"/>
      <c r="GS41" s="125"/>
      <c r="GT41" s="125"/>
      <c r="GU41" s="125"/>
      <c r="GV41" s="125"/>
      <c r="GW41" s="125"/>
      <c r="GX41" s="125"/>
      <c r="GY41" s="125"/>
      <c r="GZ41" s="125"/>
      <c r="HA41" s="125"/>
      <c r="HB41" s="125"/>
      <c r="HC41" s="125"/>
      <c r="HD41" s="125"/>
      <c r="HE41" s="125"/>
      <c r="HF41" s="125"/>
      <c r="HG41" s="125"/>
      <c r="HH41" s="125"/>
      <c r="HI41" s="125"/>
      <c r="HJ41" s="125"/>
      <c r="HK41" s="125"/>
      <c r="HL41" s="125"/>
      <c r="HM41" s="125"/>
      <c r="HN41" s="125"/>
      <c r="HO41" s="125"/>
      <c r="HP41" s="125"/>
      <c r="HQ41" s="125"/>
      <c r="HR41" s="125"/>
      <c r="HS41" s="125"/>
      <c r="HT41" s="125"/>
      <c r="HU41" s="125"/>
      <c r="HV41" s="125"/>
      <c r="HW41" s="125"/>
      <c r="HX41" s="125"/>
      <c r="HY41" s="125"/>
      <c r="HZ41" s="125"/>
      <c r="IA41" s="125"/>
      <c r="IB41" s="125"/>
      <c r="IC41" s="125"/>
      <c r="ID41" s="125"/>
      <c r="IE41" s="125"/>
      <c r="IF41" s="125"/>
      <c r="IG41" s="125"/>
      <c r="IH41" s="125"/>
      <c r="II41" s="125"/>
      <c r="IJ41" s="125"/>
      <c r="IK41" s="125"/>
      <c r="IL41" s="125"/>
      <c r="IM41" s="125"/>
      <c r="IN41" s="125"/>
      <c r="IO41" s="125"/>
      <c r="IP41" s="125"/>
      <c r="IQ41" s="125"/>
      <c r="IR41" s="125"/>
      <c r="IS41" s="125"/>
      <c r="IT41" s="125"/>
      <c r="IU41" s="125"/>
      <c r="IV41" s="125"/>
    </row>
    <row r="42" spans="1:256" ht="18" customHeight="1" x14ac:dyDescent="0.35">
      <c r="A42" s="1600">
        <v>36</v>
      </c>
      <c r="B42" s="125"/>
      <c r="C42" s="1607"/>
      <c r="D42" s="1667" t="s">
        <v>1343</v>
      </c>
      <c r="E42" s="1620">
        <v>-1102</v>
      </c>
      <c r="F42" s="1622"/>
      <c r="G42" s="2066"/>
      <c r="H42" s="1622"/>
      <c r="I42" s="125"/>
      <c r="J42" s="1616"/>
      <c r="K42" s="125"/>
      <c r="L42" s="1616"/>
      <c r="M42" s="125"/>
      <c r="N42" s="125"/>
      <c r="O42" s="125"/>
      <c r="P42" s="125"/>
      <c r="Q42" s="125"/>
      <c r="R42" s="125"/>
      <c r="S42" s="125"/>
      <c r="T42" s="125"/>
      <c r="U42" s="125"/>
      <c r="V42" s="125"/>
      <c r="W42" s="125"/>
      <c r="X42" s="125"/>
      <c r="Y42" s="125"/>
      <c r="Z42" s="125"/>
      <c r="AA42" s="125"/>
      <c r="AB42" s="125"/>
      <c r="AC42" s="125"/>
      <c r="AD42" s="125"/>
      <c r="AE42" s="125"/>
      <c r="AF42" s="125"/>
      <c r="AG42" s="125"/>
      <c r="AH42" s="125"/>
      <c r="AI42" s="125"/>
      <c r="AJ42" s="125"/>
      <c r="AK42" s="125"/>
      <c r="AL42" s="125"/>
      <c r="AM42" s="125"/>
      <c r="AN42" s="125"/>
      <c r="AO42" s="125"/>
      <c r="AP42" s="125"/>
      <c r="AQ42" s="125"/>
      <c r="AR42" s="125"/>
      <c r="AS42" s="125"/>
      <c r="AT42" s="125"/>
      <c r="AU42" s="125"/>
      <c r="AV42" s="125"/>
      <c r="AW42" s="125"/>
      <c r="AX42" s="125"/>
      <c r="AY42" s="125"/>
      <c r="AZ42" s="125"/>
      <c r="BA42" s="125"/>
      <c r="BB42" s="125"/>
      <c r="BC42" s="125"/>
      <c r="BD42" s="125"/>
      <c r="BE42" s="125"/>
      <c r="BF42" s="125"/>
      <c r="BG42" s="125"/>
      <c r="BH42" s="125"/>
      <c r="BI42" s="125"/>
      <c r="BJ42" s="125"/>
      <c r="BK42" s="125"/>
      <c r="BL42" s="125"/>
      <c r="BM42" s="125"/>
      <c r="BN42" s="125"/>
      <c r="BO42" s="125"/>
      <c r="BP42" s="125"/>
      <c r="BQ42" s="125"/>
      <c r="BR42" s="125"/>
      <c r="BS42" s="125"/>
      <c r="BT42" s="125"/>
      <c r="BU42" s="125"/>
      <c r="BV42" s="125"/>
      <c r="BW42" s="125"/>
      <c r="BX42" s="125"/>
      <c r="BY42" s="125"/>
      <c r="BZ42" s="125"/>
      <c r="CA42" s="125"/>
      <c r="CB42" s="125"/>
      <c r="CC42" s="125"/>
      <c r="CD42" s="125"/>
      <c r="CE42" s="125"/>
      <c r="CF42" s="125"/>
      <c r="CG42" s="125"/>
      <c r="CH42" s="125"/>
      <c r="CI42" s="125"/>
      <c r="CJ42" s="125"/>
      <c r="CK42" s="125"/>
      <c r="CL42" s="125"/>
      <c r="CM42" s="125"/>
      <c r="CN42" s="125"/>
      <c r="CO42" s="125"/>
      <c r="CP42" s="125"/>
      <c r="CQ42" s="125"/>
      <c r="CR42" s="125"/>
      <c r="CS42" s="125"/>
      <c r="CT42" s="125"/>
      <c r="CU42" s="125"/>
      <c r="CV42" s="125"/>
      <c r="CW42" s="125"/>
      <c r="CX42" s="125"/>
      <c r="CY42" s="125"/>
      <c r="CZ42" s="125"/>
      <c r="DA42" s="125"/>
      <c r="DB42" s="125"/>
      <c r="DC42" s="125"/>
      <c r="DD42" s="125"/>
      <c r="DE42" s="125"/>
      <c r="DF42" s="125"/>
      <c r="DG42" s="125"/>
      <c r="DH42" s="125"/>
      <c r="DI42" s="125"/>
      <c r="DJ42" s="125"/>
      <c r="DK42" s="125"/>
      <c r="DL42" s="125"/>
      <c r="DM42" s="125"/>
      <c r="DN42" s="125"/>
      <c r="DO42" s="125"/>
      <c r="DP42" s="125"/>
      <c r="DQ42" s="125"/>
      <c r="DR42" s="125"/>
      <c r="DS42" s="125"/>
      <c r="DT42" s="125"/>
      <c r="DU42" s="125"/>
      <c r="DV42" s="125"/>
      <c r="DW42" s="125"/>
      <c r="DX42" s="125"/>
      <c r="DY42" s="125"/>
      <c r="DZ42" s="125"/>
      <c r="EA42" s="125"/>
      <c r="EB42" s="125"/>
      <c r="EC42" s="125"/>
      <c r="ED42" s="125"/>
      <c r="EE42" s="125"/>
      <c r="EF42" s="125"/>
      <c r="EG42" s="125"/>
      <c r="EH42" s="125"/>
      <c r="EI42" s="125"/>
      <c r="EJ42" s="125"/>
      <c r="EK42" s="125"/>
      <c r="EL42" s="125"/>
      <c r="EM42" s="125"/>
      <c r="EN42" s="125"/>
      <c r="EO42" s="125"/>
      <c r="EP42" s="125"/>
      <c r="EQ42" s="125"/>
      <c r="ER42" s="125"/>
      <c r="ES42" s="125"/>
      <c r="ET42" s="125"/>
      <c r="EU42" s="125"/>
      <c r="EV42" s="125"/>
      <c r="EW42" s="125"/>
      <c r="EX42" s="125"/>
      <c r="EY42" s="125"/>
      <c r="EZ42" s="125"/>
      <c r="FA42" s="125"/>
      <c r="FB42" s="125"/>
      <c r="FC42" s="125"/>
      <c r="FD42" s="125"/>
      <c r="FE42" s="125"/>
      <c r="FF42" s="125"/>
      <c r="FG42" s="125"/>
      <c r="FH42" s="125"/>
      <c r="FI42" s="125"/>
      <c r="FJ42" s="125"/>
      <c r="FK42" s="125"/>
      <c r="FL42" s="125"/>
      <c r="FM42" s="125"/>
      <c r="FN42" s="125"/>
      <c r="FO42" s="125"/>
      <c r="FP42" s="125"/>
      <c r="FQ42" s="125"/>
      <c r="FR42" s="125"/>
      <c r="FS42" s="125"/>
      <c r="FT42" s="125"/>
      <c r="FU42" s="125"/>
      <c r="FV42" s="125"/>
      <c r="FW42" s="125"/>
      <c r="FX42" s="125"/>
      <c r="FY42" s="125"/>
      <c r="FZ42" s="125"/>
      <c r="GA42" s="125"/>
      <c r="GB42" s="125"/>
      <c r="GC42" s="125"/>
      <c r="GD42" s="125"/>
      <c r="GE42" s="125"/>
      <c r="GF42" s="125"/>
      <c r="GG42" s="125"/>
      <c r="GH42" s="125"/>
      <c r="GI42" s="125"/>
      <c r="GJ42" s="125"/>
      <c r="GK42" s="125"/>
      <c r="GL42" s="125"/>
      <c r="GM42" s="125"/>
      <c r="GN42" s="125"/>
      <c r="GO42" s="125"/>
      <c r="GP42" s="125"/>
      <c r="GQ42" s="125"/>
      <c r="GR42" s="125"/>
      <c r="GS42" s="125"/>
      <c r="GT42" s="125"/>
      <c r="GU42" s="125"/>
      <c r="GV42" s="125"/>
      <c r="GW42" s="125"/>
      <c r="GX42" s="125"/>
      <c r="GY42" s="125"/>
      <c r="GZ42" s="125"/>
      <c r="HA42" s="125"/>
      <c r="HB42" s="125"/>
      <c r="HC42" s="125"/>
      <c r="HD42" s="125"/>
      <c r="HE42" s="125"/>
      <c r="HF42" s="125"/>
      <c r="HG42" s="125"/>
      <c r="HH42" s="125"/>
      <c r="HI42" s="125"/>
      <c r="HJ42" s="125"/>
      <c r="HK42" s="125"/>
      <c r="HL42" s="125"/>
      <c r="HM42" s="125"/>
      <c r="HN42" s="125"/>
      <c r="HO42" s="125"/>
      <c r="HP42" s="125"/>
      <c r="HQ42" s="125"/>
      <c r="HR42" s="125"/>
      <c r="HS42" s="125"/>
      <c r="HT42" s="125"/>
      <c r="HU42" s="125"/>
      <c r="HV42" s="125"/>
      <c r="HW42" s="125"/>
      <c r="HX42" s="125"/>
      <c r="HY42" s="125"/>
      <c r="HZ42" s="125"/>
      <c r="IA42" s="125"/>
      <c r="IB42" s="125"/>
      <c r="IC42" s="125"/>
      <c r="ID42" s="125"/>
      <c r="IE42" s="125"/>
      <c r="IF42" s="125"/>
      <c r="IG42" s="125"/>
      <c r="IH42" s="125"/>
      <c r="II42" s="125"/>
      <c r="IJ42" s="125"/>
      <c r="IK42" s="125"/>
      <c r="IL42" s="125"/>
      <c r="IM42" s="125"/>
      <c r="IN42" s="125"/>
      <c r="IO42" s="125"/>
      <c r="IP42" s="125"/>
      <c r="IQ42" s="125"/>
      <c r="IR42" s="125"/>
      <c r="IS42" s="125"/>
      <c r="IT42" s="125"/>
      <c r="IU42" s="125"/>
      <c r="IV42" s="125"/>
    </row>
    <row r="43" spans="1:256" ht="18" customHeight="1" x14ac:dyDescent="0.35">
      <c r="A43" s="1600">
        <v>37</v>
      </c>
      <c r="B43" s="125"/>
      <c r="C43" s="1607"/>
      <c r="D43" s="1667" t="s">
        <v>1316</v>
      </c>
      <c r="E43" s="1620">
        <v>2617</v>
      </c>
      <c r="F43" s="1622"/>
      <c r="G43" s="2066"/>
      <c r="H43" s="1622"/>
      <c r="I43" s="125"/>
      <c r="J43" s="1616"/>
      <c r="K43" s="125"/>
      <c r="L43" s="1616"/>
      <c r="M43" s="125"/>
      <c r="N43" s="125"/>
      <c r="O43" s="125"/>
      <c r="P43" s="125"/>
      <c r="Q43" s="125"/>
      <c r="R43" s="125"/>
      <c r="S43" s="125"/>
      <c r="T43" s="125"/>
      <c r="U43" s="125"/>
      <c r="V43" s="125"/>
      <c r="W43" s="125"/>
      <c r="X43" s="125"/>
      <c r="Y43" s="125"/>
      <c r="Z43" s="125"/>
      <c r="AA43" s="125"/>
      <c r="AB43" s="125"/>
      <c r="AC43" s="125"/>
      <c r="AD43" s="125"/>
      <c r="AE43" s="125"/>
      <c r="AF43" s="125"/>
      <c r="AG43" s="125"/>
      <c r="AH43" s="125"/>
      <c r="AI43" s="125"/>
      <c r="AJ43" s="125"/>
      <c r="AK43" s="125"/>
      <c r="AL43" s="125"/>
      <c r="AM43" s="125"/>
      <c r="AN43" s="125"/>
      <c r="AO43" s="125"/>
      <c r="AP43" s="125"/>
      <c r="AQ43" s="125"/>
      <c r="AR43" s="125"/>
      <c r="AS43" s="125"/>
      <c r="AT43" s="125"/>
      <c r="AU43" s="125"/>
      <c r="AV43" s="125"/>
      <c r="AW43" s="125"/>
      <c r="AX43" s="125"/>
      <c r="AY43" s="125"/>
      <c r="AZ43" s="125"/>
      <c r="BA43" s="125"/>
      <c r="BB43" s="125"/>
      <c r="BC43" s="125"/>
      <c r="BD43" s="125"/>
      <c r="BE43" s="125"/>
      <c r="BF43" s="125"/>
      <c r="BG43" s="125"/>
      <c r="BH43" s="125"/>
      <c r="BI43" s="125"/>
      <c r="BJ43" s="125"/>
      <c r="BK43" s="125"/>
      <c r="BL43" s="125"/>
      <c r="BM43" s="125"/>
      <c r="BN43" s="125"/>
      <c r="BO43" s="125"/>
      <c r="BP43" s="125"/>
      <c r="BQ43" s="125"/>
      <c r="BR43" s="125"/>
      <c r="BS43" s="125"/>
      <c r="BT43" s="125"/>
      <c r="BU43" s="125"/>
      <c r="BV43" s="125"/>
      <c r="BW43" s="125"/>
      <c r="BX43" s="125"/>
      <c r="BY43" s="125"/>
      <c r="BZ43" s="125"/>
      <c r="CA43" s="125"/>
      <c r="CB43" s="125"/>
      <c r="CC43" s="125"/>
      <c r="CD43" s="125"/>
      <c r="CE43" s="125"/>
      <c r="CF43" s="125"/>
      <c r="CG43" s="125"/>
      <c r="CH43" s="125"/>
      <c r="CI43" s="125"/>
      <c r="CJ43" s="125"/>
      <c r="CK43" s="125"/>
      <c r="CL43" s="125"/>
      <c r="CM43" s="125"/>
      <c r="CN43" s="125"/>
      <c r="CO43" s="125"/>
      <c r="CP43" s="125"/>
      <c r="CQ43" s="125"/>
      <c r="CR43" s="125"/>
      <c r="CS43" s="125"/>
      <c r="CT43" s="125"/>
      <c r="CU43" s="125"/>
      <c r="CV43" s="125"/>
      <c r="CW43" s="125"/>
      <c r="CX43" s="125"/>
      <c r="CY43" s="125"/>
      <c r="CZ43" s="125"/>
      <c r="DA43" s="125"/>
      <c r="DB43" s="125"/>
      <c r="DC43" s="125"/>
      <c r="DD43" s="125"/>
      <c r="DE43" s="125"/>
      <c r="DF43" s="125"/>
      <c r="DG43" s="125"/>
      <c r="DH43" s="125"/>
      <c r="DI43" s="125"/>
      <c r="DJ43" s="125"/>
      <c r="DK43" s="125"/>
      <c r="DL43" s="125"/>
      <c r="DM43" s="125"/>
      <c r="DN43" s="125"/>
      <c r="DO43" s="125"/>
      <c r="DP43" s="125"/>
      <c r="DQ43" s="125"/>
      <c r="DR43" s="125"/>
      <c r="DS43" s="125"/>
      <c r="DT43" s="125"/>
      <c r="DU43" s="125"/>
      <c r="DV43" s="125"/>
      <c r="DW43" s="125"/>
      <c r="DX43" s="125"/>
      <c r="DY43" s="125"/>
      <c r="DZ43" s="125"/>
      <c r="EA43" s="125"/>
      <c r="EB43" s="125"/>
      <c r="EC43" s="125"/>
      <c r="ED43" s="125"/>
      <c r="EE43" s="125"/>
      <c r="EF43" s="125"/>
      <c r="EG43" s="125"/>
      <c r="EH43" s="125"/>
      <c r="EI43" s="125"/>
      <c r="EJ43" s="125"/>
      <c r="EK43" s="125"/>
      <c r="EL43" s="125"/>
      <c r="EM43" s="125"/>
      <c r="EN43" s="125"/>
      <c r="EO43" s="125"/>
      <c r="EP43" s="125"/>
      <c r="EQ43" s="125"/>
      <c r="ER43" s="125"/>
      <c r="ES43" s="125"/>
      <c r="ET43" s="125"/>
      <c r="EU43" s="125"/>
      <c r="EV43" s="125"/>
      <c r="EW43" s="125"/>
      <c r="EX43" s="125"/>
      <c r="EY43" s="125"/>
      <c r="EZ43" s="125"/>
      <c r="FA43" s="125"/>
      <c r="FB43" s="125"/>
      <c r="FC43" s="125"/>
      <c r="FD43" s="125"/>
      <c r="FE43" s="125"/>
      <c r="FF43" s="125"/>
      <c r="FG43" s="125"/>
      <c r="FH43" s="125"/>
      <c r="FI43" s="125"/>
      <c r="FJ43" s="125"/>
      <c r="FK43" s="125"/>
      <c r="FL43" s="125"/>
      <c r="FM43" s="125"/>
      <c r="FN43" s="125"/>
      <c r="FO43" s="125"/>
      <c r="FP43" s="125"/>
      <c r="FQ43" s="125"/>
      <c r="FR43" s="125"/>
      <c r="FS43" s="125"/>
      <c r="FT43" s="125"/>
      <c r="FU43" s="125"/>
      <c r="FV43" s="125"/>
      <c r="FW43" s="125"/>
      <c r="FX43" s="125"/>
      <c r="FY43" s="125"/>
      <c r="FZ43" s="125"/>
      <c r="GA43" s="125"/>
      <c r="GB43" s="125"/>
      <c r="GC43" s="125"/>
      <c r="GD43" s="125"/>
      <c r="GE43" s="125"/>
      <c r="GF43" s="125"/>
      <c r="GG43" s="125"/>
      <c r="GH43" s="125"/>
      <c r="GI43" s="125"/>
      <c r="GJ43" s="125"/>
      <c r="GK43" s="125"/>
      <c r="GL43" s="125"/>
      <c r="GM43" s="125"/>
      <c r="GN43" s="125"/>
      <c r="GO43" s="125"/>
      <c r="GP43" s="125"/>
      <c r="GQ43" s="125"/>
      <c r="GR43" s="125"/>
      <c r="GS43" s="125"/>
      <c r="GT43" s="125"/>
      <c r="GU43" s="125"/>
      <c r="GV43" s="125"/>
      <c r="GW43" s="125"/>
      <c r="GX43" s="125"/>
      <c r="GY43" s="125"/>
      <c r="GZ43" s="125"/>
      <c r="HA43" s="125"/>
      <c r="HB43" s="125"/>
      <c r="HC43" s="125"/>
      <c r="HD43" s="125"/>
      <c r="HE43" s="125"/>
      <c r="HF43" s="125"/>
      <c r="HG43" s="125"/>
      <c r="HH43" s="125"/>
      <c r="HI43" s="125"/>
      <c r="HJ43" s="125"/>
      <c r="HK43" s="125"/>
      <c r="HL43" s="125"/>
      <c r="HM43" s="125"/>
      <c r="HN43" s="125"/>
      <c r="HO43" s="125"/>
      <c r="HP43" s="125"/>
      <c r="HQ43" s="125"/>
      <c r="HR43" s="125"/>
      <c r="HS43" s="125"/>
      <c r="HT43" s="125"/>
      <c r="HU43" s="125"/>
      <c r="HV43" s="125"/>
      <c r="HW43" s="125"/>
      <c r="HX43" s="125"/>
      <c r="HY43" s="125"/>
      <c r="HZ43" s="125"/>
      <c r="IA43" s="125"/>
      <c r="IB43" s="125"/>
      <c r="IC43" s="125"/>
      <c r="ID43" s="125"/>
      <c r="IE43" s="125"/>
      <c r="IF43" s="125"/>
      <c r="IG43" s="125"/>
      <c r="IH43" s="125"/>
      <c r="II43" s="125"/>
      <c r="IJ43" s="125"/>
      <c r="IK43" s="125"/>
      <c r="IL43" s="125"/>
      <c r="IM43" s="125"/>
      <c r="IN43" s="125"/>
      <c r="IO43" s="125"/>
      <c r="IP43" s="125"/>
      <c r="IQ43" s="125"/>
      <c r="IR43" s="125"/>
      <c r="IS43" s="125"/>
      <c r="IT43" s="125"/>
      <c r="IU43" s="125"/>
      <c r="IV43" s="125"/>
    </row>
    <row r="44" spans="1:256" ht="17.25" x14ac:dyDescent="0.35">
      <c r="A44" s="1600">
        <v>38</v>
      </c>
      <c r="B44" s="125"/>
      <c r="C44" s="1607"/>
      <c r="D44" s="1667" t="s">
        <v>1319</v>
      </c>
      <c r="E44" s="1940">
        <v>409</v>
      </c>
      <c r="F44" s="1622"/>
      <c r="G44" s="2066"/>
      <c r="H44" s="1622"/>
      <c r="I44" s="125"/>
      <c r="J44" s="1616"/>
      <c r="K44" s="125"/>
      <c r="L44" s="1616"/>
      <c r="M44" s="125"/>
      <c r="N44" s="125"/>
      <c r="O44" s="125"/>
      <c r="P44" s="125"/>
      <c r="Q44" s="125"/>
      <c r="R44" s="125"/>
      <c r="S44" s="125"/>
      <c r="T44" s="125"/>
      <c r="U44" s="125"/>
      <c r="V44" s="125"/>
      <c r="W44" s="125"/>
      <c r="X44" s="125"/>
      <c r="Y44" s="125"/>
      <c r="Z44" s="125"/>
      <c r="AA44" s="125"/>
      <c r="AB44" s="125"/>
      <c r="AC44" s="125"/>
      <c r="AD44" s="125"/>
      <c r="AE44" s="125"/>
      <c r="AF44" s="125"/>
      <c r="AG44" s="125"/>
      <c r="AH44" s="125"/>
      <c r="AI44" s="125"/>
      <c r="AJ44" s="125"/>
      <c r="AK44" s="125"/>
      <c r="AL44" s="125"/>
      <c r="AM44" s="125"/>
      <c r="AN44" s="125"/>
      <c r="AO44" s="125"/>
      <c r="AP44" s="125"/>
      <c r="AQ44" s="125"/>
      <c r="AR44" s="125"/>
      <c r="AS44" s="125"/>
      <c r="AT44" s="125"/>
      <c r="AU44" s="125"/>
      <c r="AV44" s="125"/>
      <c r="AW44" s="125"/>
      <c r="AX44" s="125"/>
      <c r="AY44" s="125"/>
      <c r="AZ44" s="125"/>
      <c r="BA44" s="125"/>
      <c r="BB44" s="125"/>
      <c r="BC44" s="125"/>
      <c r="BD44" s="125"/>
      <c r="BE44" s="125"/>
      <c r="BF44" s="125"/>
      <c r="BG44" s="125"/>
      <c r="BH44" s="125"/>
      <c r="BI44" s="125"/>
      <c r="BJ44" s="125"/>
      <c r="BK44" s="125"/>
      <c r="BL44" s="125"/>
      <c r="BM44" s="125"/>
      <c r="BN44" s="125"/>
      <c r="BO44" s="125"/>
      <c r="BP44" s="125"/>
      <c r="BQ44" s="125"/>
      <c r="BR44" s="125"/>
      <c r="BS44" s="125"/>
      <c r="BT44" s="125"/>
      <c r="BU44" s="125"/>
      <c r="BV44" s="125"/>
      <c r="BW44" s="125"/>
      <c r="BX44" s="125"/>
      <c r="BY44" s="125"/>
      <c r="BZ44" s="125"/>
      <c r="CA44" s="125"/>
      <c r="CB44" s="125"/>
      <c r="CC44" s="125"/>
      <c r="CD44" s="125"/>
      <c r="CE44" s="125"/>
      <c r="CF44" s="125"/>
      <c r="CG44" s="125"/>
      <c r="CH44" s="125"/>
      <c r="CI44" s="125"/>
      <c r="CJ44" s="125"/>
      <c r="CK44" s="125"/>
      <c r="CL44" s="125"/>
      <c r="CM44" s="125"/>
      <c r="CN44" s="125"/>
      <c r="CO44" s="125"/>
      <c r="CP44" s="125"/>
      <c r="CQ44" s="125"/>
      <c r="CR44" s="125"/>
      <c r="CS44" s="125"/>
      <c r="CT44" s="125"/>
      <c r="CU44" s="125"/>
      <c r="CV44" s="125"/>
      <c r="CW44" s="125"/>
      <c r="CX44" s="125"/>
      <c r="CY44" s="125"/>
      <c r="CZ44" s="125"/>
      <c r="DA44" s="125"/>
      <c r="DB44" s="125"/>
      <c r="DC44" s="125"/>
      <c r="DD44" s="125"/>
      <c r="DE44" s="125"/>
      <c r="DF44" s="125"/>
      <c r="DG44" s="125"/>
      <c r="DH44" s="125"/>
      <c r="DI44" s="125"/>
      <c r="DJ44" s="125"/>
      <c r="DK44" s="125"/>
      <c r="DL44" s="125"/>
      <c r="DM44" s="125"/>
      <c r="DN44" s="125"/>
      <c r="DO44" s="125"/>
      <c r="DP44" s="125"/>
      <c r="DQ44" s="125"/>
      <c r="DR44" s="125"/>
      <c r="DS44" s="125"/>
      <c r="DT44" s="125"/>
      <c r="DU44" s="125"/>
      <c r="DV44" s="125"/>
      <c r="DW44" s="125"/>
      <c r="DX44" s="125"/>
      <c r="DY44" s="125"/>
      <c r="DZ44" s="125"/>
      <c r="EA44" s="125"/>
      <c r="EB44" s="125"/>
      <c r="EC44" s="125"/>
      <c r="ED44" s="125"/>
      <c r="EE44" s="125"/>
      <c r="EF44" s="125"/>
      <c r="EG44" s="125"/>
      <c r="EH44" s="125"/>
      <c r="EI44" s="125"/>
      <c r="EJ44" s="125"/>
      <c r="EK44" s="125"/>
      <c r="EL44" s="125"/>
      <c r="EM44" s="125"/>
      <c r="EN44" s="125"/>
      <c r="EO44" s="125"/>
      <c r="EP44" s="125"/>
      <c r="EQ44" s="125"/>
      <c r="ER44" s="125"/>
      <c r="ES44" s="125"/>
      <c r="ET44" s="125"/>
      <c r="EU44" s="125"/>
      <c r="EV44" s="125"/>
      <c r="EW44" s="125"/>
      <c r="EX44" s="125"/>
      <c r="EY44" s="125"/>
      <c r="EZ44" s="125"/>
      <c r="FA44" s="125"/>
      <c r="FB44" s="125"/>
      <c r="FC44" s="125"/>
      <c r="FD44" s="125"/>
      <c r="FE44" s="125"/>
      <c r="FF44" s="125"/>
      <c r="FG44" s="125"/>
      <c r="FH44" s="125"/>
      <c r="FI44" s="125"/>
      <c r="FJ44" s="125"/>
      <c r="FK44" s="125"/>
      <c r="FL44" s="125"/>
      <c r="FM44" s="125"/>
      <c r="FN44" s="125"/>
      <c r="FO44" s="125"/>
      <c r="FP44" s="125"/>
      <c r="FQ44" s="125"/>
      <c r="FR44" s="125"/>
      <c r="FS44" s="125"/>
      <c r="FT44" s="125"/>
      <c r="FU44" s="125"/>
      <c r="FV44" s="125"/>
      <c r="FW44" s="125"/>
      <c r="FX44" s="125"/>
      <c r="FY44" s="125"/>
      <c r="FZ44" s="125"/>
      <c r="GA44" s="125"/>
      <c r="GB44" s="125"/>
      <c r="GC44" s="125"/>
      <c r="GD44" s="125"/>
      <c r="GE44" s="125"/>
      <c r="GF44" s="125"/>
      <c r="GG44" s="125"/>
      <c r="GH44" s="125"/>
      <c r="GI44" s="125"/>
      <c r="GJ44" s="125"/>
      <c r="GK44" s="125"/>
      <c r="GL44" s="125"/>
      <c r="GM44" s="125"/>
      <c r="GN44" s="125"/>
      <c r="GO44" s="125"/>
      <c r="GP44" s="125"/>
      <c r="GQ44" s="125"/>
      <c r="GR44" s="125"/>
      <c r="GS44" s="125"/>
      <c r="GT44" s="125"/>
      <c r="GU44" s="125"/>
      <c r="GV44" s="125"/>
      <c r="GW44" s="125"/>
      <c r="GX44" s="125"/>
      <c r="GY44" s="125"/>
      <c r="GZ44" s="125"/>
      <c r="HA44" s="125"/>
      <c r="HB44" s="125"/>
      <c r="HC44" s="125"/>
      <c r="HD44" s="125"/>
      <c r="HE44" s="125"/>
      <c r="HF44" s="125"/>
      <c r="HG44" s="125"/>
      <c r="HH44" s="125"/>
      <c r="HI44" s="125"/>
      <c r="HJ44" s="125"/>
      <c r="HK44" s="125"/>
      <c r="HL44" s="125"/>
      <c r="HM44" s="125"/>
      <c r="HN44" s="125"/>
      <c r="HO44" s="125"/>
      <c r="HP44" s="125"/>
      <c r="HQ44" s="125"/>
      <c r="HR44" s="125"/>
      <c r="HS44" s="125"/>
      <c r="HT44" s="125"/>
      <c r="HU44" s="125"/>
      <c r="HV44" s="125"/>
      <c r="HW44" s="125"/>
      <c r="HX44" s="125"/>
      <c r="HY44" s="125"/>
      <c r="HZ44" s="125"/>
      <c r="IA44" s="125"/>
      <c r="IB44" s="125"/>
      <c r="IC44" s="125"/>
      <c r="ID44" s="125"/>
      <c r="IE44" s="125"/>
      <c r="IF44" s="125"/>
      <c r="IG44" s="125"/>
      <c r="IH44" s="125"/>
      <c r="II44" s="125"/>
      <c r="IJ44" s="125"/>
      <c r="IK44" s="125"/>
      <c r="IL44" s="125"/>
      <c r="IM44" s="125"/>
      <c r="IN44" s="125"/>
      <c r="IO44" s="125"/>
      <c r="IP44" s="125"/>
      <c r="IQ44" s="125"/>
      <c r="IR44" s="125"/>
      <c r="IS44" s="125"/>
      <c r="IT44" s="125"/>
      <c r="IU44" s="125"/>
      <c r="IV44" s="125"/>
    </row>
    <row r="45" spans="1:256" ht="17.25" x14ac:dyDescent="0.35">
      <c r="A45" s="1600">
        <v>39</v>
      </c>
      <c r="B45" s="125"/>
      <c r="C45" s="123"/>
      <c r="D45" s="1623" t="s">
        <v>129</v>
      </c>
      <c r="E45" s="1621">
        <f>SUM(E40:E44)</f>
        <v>-910</v>
      </c>
      <c r="F45" s="1622"/>
      <c r="G45" s="2066"/>
      <c r="H45" s="1622"/>
      <c r="I45" s="125"/>
      <c r="J45" s="1616"/>
      <c r="K45" s="125"/>
      <c r="L45" s="1616"/>
      <c r="M45" s="125"/>
      <c r="N45" s="125"/>
      <c r="O45" s="125"/>
      <c r="P45" s="125"/>
      <c r="Q45" s="125"/>
      <c r="R45" s="125"/>
      <c r="S45" s="125"/>
      <c r="T45" s="125"/>
      <c r="U45" s="125"/>
      <c r="V45" s="125"/>
      <c r="W45" s="125"/>
      <c r="X45" s="125"/>
      <c r="Y45" s="125"/>
      <c r="Z45" s="125"/>
      <c r="AA45" s="125"/>
      <c r="AB45" s="125"/>
      <c r="AC45" s="125"/>
      <c r="AD45" s="125"/>
      <c r="AE45" s="125"/>
      <c r="AF45" s="125"/>
      <c r="AG45" s="125"/>
      <c r="AH45" s="125"/>
      <c r="AI45" s="125"/>
      <c r="AJ45" s="125"/>
      <c r="AK45" s="125"/>
      <c r="AL45" s="125"/>
      <c r="AM45" s="125"/>
      <c r="AN45" s="125"/>
      <c r="AO45" s="125"/>
      <c r="AP45" s="125"/>
      <c r="AQ45" s="125"/>
      <c r="AR45" s="125"/>
      <c r="AS45" s="125"/>
      <c r="AT45" s="125"/>
      <c r="AU45" s="125"/>
      <c r="AV45" s="125"/>
      <c r="AW45" s="125"/>
      <c r="AX45" s="125"/>
      <c r="AY45" s="125"/>
      <c r="AZ45" s="125"/>
      <c r="BA45" s="125"/>
      <c r="BB45" s="125"/>
      <c r="BC45" s="125"/>
      <c r="BD45" s="125"/>
      <c r="BE45" s="125"/>
      <c r="BF45" s="125"/>
      <c r="BG45" s="125"/>
      <c r="BH45" s="125"/>
      <c r="BI45" s="125"/>
      <c r="BJ45" s="125"/>
      <c r="BK45" s="125"/>
      <c r="BL45" s="125"/>
      <c r="BM45" s="125"/>
      <c r="BN45" s="125"/>
      <c r="BO45" s="125"/>
      <c r="BP45" s="125"/>
      <c r="BQ45" s="125"/>
      <c r="BR45" s="125"/>
      <c r="BS45" s="125"/>
      <c r="BT45" s="125"/>
      <c r="BU45" s="125"/>
      <c r="BV45" s="125"/>
      <c r="BW45" s="125"/>
      <c r="BX45" s="125"/>
      <c r="BY45" s="125"/>
      <c r="BZ45" s="125"/>
      <c r="CA45" s="125"/>
      <c r="CB45" s="125"/>
      <c r="CC45" s="125"/>
      <c r="CD45" s="125"/>
      <c r="CE45" s="125"/>
      <c r="CF45" s="125"/>
      <c r="CG45" s="125"/>
      <c r="CH45" s="125"/>
      <c r="CI45" s="125"/>
      <c r="CJ45" s="125"/>
      <c r="CK45" s="125"/>
      <c r="CL45" s="125"/>
      <c r="CM45" s="125"/>
      <c r="CN45" s="125"/>
      <c r="CO45" s="125"/>
      <c r="CP45" s="125"/>
      <c r="CQ45" s="125"/>
      <c r="CR45" s="125"/>
      <c r="CS45" s="125"/>
      <c r="CT45" s="125"/>
      <c r="CU45" s="125"/>
      <c r="CV45" s="125"/>
      <c r="CW45" s="125"/>
      <c r="CX45" s="125"/>
      <c r="CY45" s="125"/>
      <c r="CZ45" s="125"/>
      <c r="DA45" s="125"/>
      <c r="DB45" s="125"/>
      <c r="DC45" s="125"/>
      <c r="DD45" s="125"/>
      <c r="DE45" s="125"/>
      <c r="DF45" s="125"/>
      <c r="DG45" s="125"/>
      <c r="DH45" s="125"/>
      <c r="DI45" s="125"/>
      <c r="DJ45" s="125"/>
      <c r="DK45" s="125"/>
      <c r="DL45" s="125"/>
      <c r="DM45" s="125"/>
      <c r="DN45" s="125"/>
      <c r="DO45" s="125"/>
      <c r="DP45" s="125"/>
      <c r="DQ45" s="125"/>
      <c r="DR45" s="125"/>
      <c r="DS45" s="125"/>
      <c r="DT45" s="125"/>
      <c r="DU45" s="125"/>
      <c r="DV45" s="125"/>
      <c r="DW45" s="125"/>
      <c r="DX45" s="125"/>
      <c r="DY45" s="125"/>
      <c r="DZ45" s="125"/>
      <c r="EA45" s="125"/>
      <c r="EB45" s="125"/>
      <c r="EC45" s="125"/>
      <c r="ED45" s="125"/>
      <c r="EE45" s="125"/>
      <c r="EF45" s="125"/>
      <c r="EG45" s="125"/>
      <c r="EH45" s="125"/>
      <c r="EI45" s="125"/>
      <c r="EJ45" s="125"/>
      <c r="EK45" s="125"/>
      <c r="EL45" s="125"/>
      <c r="EM45" s="125"/>
      <c r="EN45" s="125"/>
      <c r="EO45" s="125"/>
      <c r="EP45" s="125"/>
      <c r="EQ45" s="125"/>
      <c r="ER45" s="125"/>
      <c r="ES45" s="125"/>
      <c r="ET45" s="125"/>
      <c r="EU45" s="125"/>
      <c r="EV45" s="125"/>
      <c r="EW45" s="125"/>
      <c r="EX45" s="125"/>
      <c r="EY45" s="125"/>
      <c r="EZ45" s="125"/>
      <c r="FA45" s="125"/>
      <c r="FB45" s="125"/>
      <c r="FC45" s="125"/>
      <c r="FD45" s="125"/>
      <c r="FE45" s="125"/>
      <c r="FF45" s="125"/>
      <c r="FG45" s="125"/>
      <c r="FH45" s="125"/>
      <c r="FI45" s="125"/>
      <c r="FJ45" s="125"/>
      <c r="FK45" s="125"/>
      <c r="FL45" s="125"/>
      <c r="FM45" s="125"/>
      <c r="FN45" s="125"/>
      <c r="FO45" s="125"/>
      <c r="FP45" s="125"/>
      <c r="FQ45" s="125"/>
      <c r="FR45" s="125"/>
      <c r="FS45" s="125"/>
      <c r="FT45" s="125"/>
      <c r="FU45" s="125"/>
      <c r="FV45" s="125"/>
      <c r="FW45" s="125"/>
      <c r="FX45" s="125"/>
      <c r="FY45" s="125"/>
      <c r="FZ45" s="125"/>
      <c r="GA45" s="125"/>
      <c r="GB45" s="125"/>
      <c r="GC45" s="125"/>
      <c r="GD45" s="125"/>
      <c r="GE45" s="125"/>
      <c r="GF45" s="125"/>
      <c r="GG45" s="125"/>
      <c r="GH45" s="125"/>
      <c r="GI45" s="125"/>
      <c r="GJ45" s="125"/>
      <c r="GK45" s="125"/>
      <c r="GL45" s="125"/>
      <c r="GM45" s="125"/>
      <c r="GN45" s="125"/>
      <c r="GO45" s="125"/>
      <c r="GP45" s="125"/>
      <c r="GQ45" s="125"/>
      <c r="GR45" s="125"/>
      <c r="GS45" s="125"/>
      <c r="GT45" s="125"/>
      <c r="GU45" s="125"/>
      <c r="GV45" s="125"/>
      <c r="GW45" s="125"/>
      <c r="GX45" s="125"/>
      <c r="GY45" s="125"/>
      <c r="GZ45" s="125"/>
      <c r="HA45" s="125"/>
      <c r="HB45" s="125"/>
      <c r="HC45" s="125"/>
      <c r="HD45" s="125"/>
      <c r="HE45" s="125"/>
      <c r="HF45" s="125"/>
      <c r="HG45" s="125"/>
      <c r="HH45" s="125"/>
      <c r="HI45" s="125"/>
      <c r="HJ45" s="125"/>
      <c r="HK45" s="125"/>
      <c r="HL45" s="125"/>
      <c r="HM45" s="125"/>
      <c r="HN45" s="125"/>
      <c r="HO45" s="125"/>
      <c r="HP45" s="125"/>
      <c r="HQ45" s="125"/>
      <c r="HR45" s="125"/>
      <c r="HS45" s="125"/>
      <c r="HT45" s="125"/>
      <c r="HU45" s="125"/>
      <c r="HV45" s="125"/>
      <c r="HW45" s="125"/>
      <c r="HX45" s="125"/>
      <c r="HY45" s="125"/>
      <c r="HZ45" s="125"/>
      <c r="IA45" s="125"/>
      <c r="IB45" s="125"/>
      <c r="IC45" s="125"/>
      <c r="ID45" s="125"/>
      <c r="IE45" s="125"/>
      <c r="IF45" s="125"/>
      <c r="IG45" s="125"/>
      <c r="IH45" s="125"/>
      <c r="II45" s="125"/>
      <c r="IJ45" s="125"/>
      <c r="IK45" s="125"/>
      <c r="IL45" s="125"/>
      <c r="IM45" s="125"/>
      <c r="IN45" s="125"/>
      <c r="IO45" s="125"/>
      <c r="IP45" s="125"/>
      <c r="IQ45" s="125"/>
      <c r="IR45" s="125"/>
      <c r="IS45" s="125"/>
      <c r="IT45" s="125"/>
      <c r="IU45" s="125"/>
      <c r="IV45" s="125"/>
    </row>
    <row r="46" spans="1:256" ht="17.25" x14ac:dyDescent="0.35">
      <c r="A46" s="1600">
        <v>40</v>
      </c>
      <c r="B46" s="125"/>
      <c r="C46" s="1607" t="s">
        <v>375</v>
      </c>
      <c r="D46" s="1614" t="s">
        <v>1174</v>
      </c>
      <c r="E46" s="1621"/>
      <c r="F46" s="1622"/>
      <c r="G46" s="2066"/>
      <c r="H46" s="1622"/>
      <c r="I46" s="125"/>
      <c r="J46" s="1616"/>
      <c r="K46" s="125"/>
      <c r="L46" s="1616"/>
      <c r="M46" s="125"/>
      <c r="N46" s="125"/>
      <c r="O46" s="125"/>
      <c r="P46" s="125"/>
      <c r="Q46" s="125"/>
      <c r="R46" s="125"/>
      <c r="S46" s="125"/>
      <c r="T46" s="125"/>
      <c r="U46" s="125"/>
      <c r="V46" s="125"/>
      <c r="W46" s="125"/>
      <c r="X46" s="125"/>
      <c r="Y46" s="125"/>
      <c r="Z46" s="125"/>
      <c r="AA46" s="125"/>
      <c r="AB46" s="125"/>
      <c r="AC46" s="125"/>
      <c r="AD46" s="125"/>
      <c r="AE46" s="125"/>
      <c r="AF46" s="125"/>
      <c r="AG46" s="125"/>
      <c r="AH46" s="125"/>
      <c r="AI46" s="125"/>
      <c r="AJ46" s="125"/>
      <c r="AK46" s="125"/>
      <c r="AL46" s="125"/>
      <c r="AM46" s="125"/>
      <c r="AN46" s="125"/>
      <c r="AO46" s="125"/>
      <c r="AP46" s="125"/>
      <c r="AQ46" s="125"/>
      <c r="AR46" s="125"/>
      <c r="AS46" s="125"/>
      <c r="AT46" s="125"/>
      <c r="AU46" s="125"/>
      <c r="AV46" s="125"/>
      <c r="AW46" s="125"/>
      <c r="AX46" s="125"/>
      <c r="AY46" s="125"/>
      <c r="AZ46" s="125"/>
      <c r="BA46" s="125"/>
      <c r="BB46" s="125"/>
      <c r="BC46" s="125"/>
      <c r="BD46" s="125"/>
      <c r="BE46" s="125"/>
      <c r="BF46" s="125"/>
      <c r="BG46" s="125"/>
      <c r="BH46" s="125"/>
      <c r="BI46" s="125"/>
      <c r="BJ46" s="125"/>
      <c r="BK46" s="125"/>
      <c r="BL46" s="125"/>
      <c r="BM46" s="125"/>
      <c r="BN46" s="125"/>
      <c r="BO46" s="125"/>
      <c r="BP46" s="125"/>
      <c r="BQ46" s="125"/>
      <c r="BR46" s="125"/>
      <c r="BS46" s="125"/>
      <c r="BT46" s="125"/>
      <c r="BU46" s="125"/>
      <c r="BV46" s="125"/>
      <c r="BW46" s="125"/>
      <c r="BX46" s="125"/>
      <c r="BY46" s="125"/>
      <c r="BZ46" s="125"/>
      <c r="CA46" s="125"/>
      <c r="CB46" s="125"/>
      <c r="CC46" s="125"/>
      <c r="CD46" s="125"/>
      <c r="CE46" s="125"/>
      <c r="CF46" s="125"/>
      <c r="CG46" s="125"/>
      <c r="CH46" s="125"/>
      <c r="CI46" s="125"/>
      <c r="CJ46" s="125"/>
      <c r="CK46" s="125"/>
      <c r="CL46" s="125"/>
      <c r="CM46" s="125"/>
      <c r="CN46" s="125"/>
      <c r="CO46" s="125"/>
      <c r="CP46" s="125"/>
      <c r="CQ46" s="125"/>
      <c r="CR46" s="125"/>
      <c r="CS46" s="125"/>
      <c r="CT46" s="125"/>
      <c r="CU46" s="125"/>
      <c r="CV46" s="125"/>
      <c r="CW46" s="125"/>
      <c r="CX46" s="125"/>
      <c r="CY46" s="125"/>
      <c r="CZ46" s="125"/>
      <c r="DA46" s="125"/>
      <c r="DB46" s="125"/>
      <c r="DC46" s="125"/>
      <c r="DD46" s="125"/>
      <c r="DE46" s="125"/>
      <c r="DF46" s="125"/>
      <c r="DG46" s="125"/>
      <c r="DH46" s="125"/>
      <c r="DI46" s="125"/>
      <c r="DJ46" s="125"/>
      <c r="DK46" s="125"/>
      <c r="DL46" s="125"/>
      <c r="DM46" s="125"/>
      <c r="DN46" s="125"/>
      <c r="DO46" s="125"/>
      <c r="DP46" s="125"/>
      <c r="DQ46" s="125"/>
      <c r="DR46" s="125"/>
      <c r="DS46" s="125"/>
      <c r="DT46" s="125"/>
      <c r="DU46" s="125"/>
      <c r="DV46" s="125"/>
      <c r="DW46" s="125"/>
      <c r="DX46" s="125"/>
      <c r="DY46" s="125"/>
      <c r="DZ46" s="125"/>
      <c r="EA46" s="125"/>
      <c r="EB46" s="125"/>
      <c r="EC46" s="125"/>
      <c r="ED46" s="125"/>
      <c r="EE46" s="125"/>
      <c r="EF46" s="125"/>
      <c r="EG46" s="125"/>
      <c r="EH46" s="125"/>
      <c r="EI46" s="125"/>
      <c r="EJ46" s="125"/>
      <c r="EK46" s="125"/>
      <c r="EL46" s="125"/>
      <c r="EM46" s="125"/>
      <c r="EN46" s="125"/>
      <c r="EO46" s="125"/>
      <c r="EP46" s="125"/>
      <c r="EQ46" s="125"/>
      <c r="ER46" s="125"/>
      <c r="ES46" s="125"/>
      <c r="ET46" s="125"/>
      <c r="EU46" s="125"/>
      <c r="EV46" s="125"/>
      <c r="EW46" s="125"/>
      <c r="EX46" s="125"/>
      <c r="EY46" s="125"/>
      <c r="EZ46" s="125"/>
      <c r="FA46" s="125"/>
      <c r="FB46" s="125"/>
      <c r="FC46" s="125"/>
      <c r="FD46" s="125"/>
      <c r="FE46" s="125"/>
      <c r="FF46" s="125"/>
      <c r="FG46" s="125"/>
      <c r="FH46" s="125"/>
      <c r="FI46" s="125"/>
      <c r="FJ46" s="125"/>
      <c r="FK46" s="125"/>
      <c r="FL46" s="125"/>
      <c r="FM46" s="125"/>
      <c r="FN46" s="125"/>
      <c r="FO46" s="125"/>
      <c r="FP46" s="125"/>
      <c r="FQ46" s="125"/>
      <c r="FR46" s="125"/>
      <c r="FS46" s="125"/>
      <c r="FT46" s="125"/>
      <c r="FU46" s="125"/>
      <c r="FV46" s="125"/>
      <c r="FW46" s="125"/>
      <c r="FX46" s="125"/>
      <c r="FY46" s="125"/>
      <c r="FZ46" s="125"/>
      <c r="GA46" s="125"/>
      <c r="GB46" s="125"/>
      <c r="GC46" s="125"/>
      <c r="GD46" s="125"/>
      <c r="GE46" s="125"/>
      <c r="GF46" s="125"/>
      <c r="GG46" s="125"/>
      <c r="GH46" s="125"/>
      <c r="GI46" s="125"/>
      <c r="GJ46" s="125"/>
      <c r="GK46" s="125"/>
      <c r="GL46" s="125"/>
      <c r="GM46" s="125"/>
      <c r="GN46" s="125"/>
      <c r="GO46" s="125"/>
      <c r="GP46" s="125"/>
      <c r="GQ46" s="125"/>
      <c r="GR46" s="125"/>
      <c r="GS46" s="125"/>
      <c r="GT46" s="125"/>
      <c r="GU46" s="125"/>
      <c r="GV46" s="125"/>
      <c r="GW46" s="125"/>
      <c r="GX46" s="125"/>
      <c r="GY46" s="125"/>
      <c r="GZ46" s="125"/>
      <c r="HA46" s="125"/>
      <c r="HB46" s="125"/>
      <c r="HC46" s="125"/>
      <c r="HD46" s="125"/>
      <c r="HE46" s="125"/>
      <c r="HF46" s="125"/>
      <c r="HG46" s="125"/>
      <c r="HH46" s="125"/>
      <c r="HI46" s="125"/>
      <c r="HJ46" s="125"/>
      <c r="HK46" s="125"/>
      <c r="HL46" s="125"/>
      <c r="HM46" s="125"/>
      <c r="HN46" s="125"/>
      <c r="HO46" s="125"/>
      <c r="HP46" s="125"/>
      <c r="HQ46" s="125"/>
      <c r="HR46" s="125"/>
      <c r="HS46" s="125"/>
      <c r="HT46" s="125"/>
      <c r="HU46" s="125"/>
      <c r="HV46" s="125"/>
      <c r="HW46" s="125"/>
      <c r="HX46" s="125"/>
      <c r="HY46" s="125"/>
      <c r="HZ46" s="125"/>
      <c r="IA46" s="125"/>
      <c r="IB46" s="125"/>
      <c r="IC46" s="125"/>
      <c r="ID46" s="125"/>
      <c r="IE46" s="125"/>
      <c r="IF46" s="125"/>
      <c r="IG46" s="125"/>
      <c r="IH46" s="125"/>
      <c r="II46" s="125"/>
      <c r="IJ46" s="125"/>
      <c r="IK46" s="125"/>
      <c r="IL46" s="125"/>
      <c r="IM46" s="125"/>
      <c r="IN46" s="125"/>
      <c r="IO46" s="125"/>
      <c r="IP46" s="125"/>
      <c r="IQ46" s="125"/>
      <c r="IR46" s="125"/>
      <c r="IS46" s="125"/>
      <c r="IT46" s="125"/>
      <c r="IU46" s="125"/>
      <c r="IV46" s="125"/>
    </row>
    <row r="47" spans="1:256" ht="17.25" x14ac:dyDescent="0.35">
      <c r="A47" s="1600">
        <v>41</v>
      </c>
      <c r="B47" s="125"/>
      <c r="C47" s="123"/>
      <c r="D47" s="1957" t="s">
        <v>1310</v>
      </c>
      <c r="E47" s="1620">
        <v>2602</v>
      </c>
      <c r="F47" s="1622"/>
      <c r="G47" s="2066"/>
      <c r="H47" s="1622"/>
      <c r="I47" s="125"/>
      <c r="J47" s="1616"/>
      <c r="K47" s="125"/>
      <c r="L47" s="1616"/>
      <c r="M47" s="125"/>
      <c r="N47" s="125"/>
      <c r="O47" s="125"/>
      <c r="P47" s="125"/>
      <c r="Q47" s="125"/>
      <c r="R47" s="125"/>
      <c r="S47" s="125"/>
      <c r="T47" s="125"/>
      <c r="U47" s="125"/>
      <c r="V47" s="125"/>
      <c r="W47" s="125"/>
      <c r="X47" s="125"/>
      <c r="Y47" s="125"/>
      <c r="Z47" s="125"/>
      <c r="AA47" s="125"/>
      <c r="AB47" s="125"/>
      <c r="AC47" s="125"/>
      <c r="AD47" s="125"/>
      <c r="AE47" s="125"/>
      <c r="AF47" s="125"/>
      <c r="AG47" s="125"/>
      <c r="AH47" s="125"/>
      <c r="AI47" s="125"/>
      <c r="AJ47" s="125"/>
      <c r="AK47" s="125"/>
      <c r="AL47" s="125"/>
      <c r="AM47" s="125"/>
      <c r="AN47" s="125"/>
      <c r="AO47" s="125"/>
      <c r="AP47" s="125"/>
      <c r="AQ47" s="125"/>
      <c r="AR47" s="125"/>
      <c r="AS47" s="125"/>
      <c r="AT47" s="125"/>
      <c r="AU47" s="125"/>
      <c r="AV47" s="125"/>
      <c r="AW47" s="125"/>
      <c r="AX47" s="125"/>
      <c r="AY47" s="125"/>
      <c r="AZ47" s="125"/>
      <c r="BA47" s="125"/>
      <c r="BB47" s="125"/>
      <c r="BC47" s="125"/>
      <c r="BD47" s="125"/>
      <c r="BE47" s="125"/>
      <c r="BF47" s="125"/>
      <c r="BG47" s="125"/>
      <c r="BH47" s="125"/>
      <c r="BI47" s="125"/>
      <c r="BJ47" s="125"/>
      <c r="BK47" s="125"/>
      <c r="BL47" s="125"/>
      <c r="BM47" s="125"/>
      <c r="BN47" s="125"/>
      <c r="BO47" s="125"/>
      <c r="BP47" s="125"/>
      <c r="BQ47" s="125"/>
      <c r="BR47" s="125"/>
      <c r="BS47" s="125"/>
      <c r="BT47" s="125"/>
      <c r="BU47" s="125"/>
      <c r="BV47" s="125"/>
      <c r="BW47" s="125"/>
      <c r="BX47" s="125"/>
      <c r="BY47" s="125"/>
      <c r="BZ47" s="125"/>
      <c r="CA47" s="125"/>
      <c r="CB47" s="125"/>
      <c r="CC47" s="125"/>
      <c r="CD47" s="125"/>
      <c r="CE47" s="125"/>
      <c r="CF47" s="125"/>
      <c r="CG47" s="125"/>
      <c r="CH47" s="125"/>
      <c r="CI47" s="125"/>
      <c r="CJ47" s="125"/>
      <c r="CK47" s="125"/>
      <c r="CL47" s="125"/>
      <c r="CM47" s="125"/>
      <c r="CN47" s="125"/>
      <c r="CO47" s="125"/>
      <c r="CP47" s="125"/>
      <c r="CQ47" s="125"/>
      <c r="CR47" s="125"/>
      <c r="CS47" s="125"/>
      <c r="CT47" s="125"/>
      <c r="CU47" s="125"/>
      <c r="CV47" s="125"/>
      <c r="CW47" s="125"/>
      <c r="CX47" s="125"/>
      <c r="CY47" s="125"/>
      <c r="CZ47" s="125"/>
      <c r="DA47" s="125"/>
      <c r="DB47" s="125"/>
      <c r="DC47" s="125"/>
      <c r="DD47" s="125"/>
      <c r="DE47" s="125"/>
      <c r="DF47" s="125"/>
      <c r="DG47" s="125"/>
      <c r="DH47" s="125"/>
      <c r="DI47" s="125"/>
      <c r="DJ47" s="125"/>
      <c r="DK47" s="125"/>
      <c r="DL47" s="125"/>
      <c r="DM47" s="125"/>
      <c r="DN47" s="125"/>
      <c r="DO47" s="125"/>
      <c r="DP47" s="125"/>
      <c r="DQ47" s="125"/>
      <c r="DR47" s="125"/>
      <c r="DS47" s="125"/>
      <c r="DT47" s="125"/>
      <c r="DU47" s="125"/>
      <c r="DV47" s="125"/>
      <c r="DW47" s="125"/>
      <c r="DX47" s="125"/>
      <c r="DY47" s="125"/>
      <c r="DZ47" s="125"/>
      <c r="EA47" s="125"/>
      <c r="EB47" s="125"/>
      <c r="EC47" s="125"/>
      <c r="ED47" s="125"/>
      <c r="EE47" s="125"/>
      <c r="EF47" s="125"/>
      <c r="EG47" s="125"/>
      <c r="EH47" s="125"/>
      <c r="EI47" s="125"/>
      <c r="EJ47" s="125"/>
      <c r="EK47" s="125"/>
      <c r="EL47" s="125"/>
      <c r="EM47" s="125"/>
      <c r="EN47" s="125"/>
      <c r="EO47" s="125"/>
      <c r="EP47" s="125"/>
      <c r="EQ47" s="125"/>
      <c r="ER47" s="125"/>
      <c r="ES47" s="125"/>
      <c r="ET47" s="125"/>
      <c r="EU47" s="125"/>
      <c r="EV47" s="125"/>
      <c r="EW47" s="125"/>
      <c r="EX47" s="125"/>
      <c r="EY47" s="125"/>
      <c r="EZ47" s="125"/>
      <c r="FA47" s="125"/>
      <c r="FB47" s="125"/>
      <c r="FC47" s="125"/>
      <c r="FD47" s="125"/>
      <c r="FE47" s="125"/>
      <c r="FF47" s="125"/>
      <c r="FG47" s="125"/>
      <c r="FH47" s="125"/>
      <c r="FI47" s="125"/>
      <c r="FJ47" s="125"/>
      <c r="FK47" s="125"/>
      <c r="FL47" s="125"/>
      <c r="FM47" s="125"/>
      <c r="FN47" s="125"/>
      <c r="FO47" s="125"/>
      <c r="FP47" s="125"/>
      <c r="FQ47" s="125"/>
      <c r="FR47" s="125"/>
      <c r="FS47" s="125"/>
      <c r="FT47" s="125"/>
      <c r="FU47" s="125"/>
      <c r="FV47" s="125"/>
      <c r="FW47" s="125"/>
      <c r="FX47" s="125"/>
      <c r="FY47" s="125"/>
      <c r="FZ47" s="125"/>
      <c r="GA47" s="125"/>
      <c r="GB47" s="125"/>
      <c r="GC47" s="125"/>
      <c r="GD47" s="125"/>
      <c r="GE47" s="125"/>
      <c r="GF47" s="125"/>
      <c r="GG47" s="125"/>
      <c r="GH47" s="125"/>
      <c r="GI47" s="125"/>
      <c r="GJ47" s="125"/>
      <c r="GK47" s="125"/>
      <c r="GL47" s="125"/>
      <c r="GM47" s="125"/>
      <c r="GN47" s="125"/>
      <c r="GO47" s="125"/>
      <c r="GP47" s="125"/>
      <c r="GQ47" s="125"/>
      <c r="GR47" s="125"/>
      <c r="GS47" s="125"/>
      <c r="GT47" s="125"/>
      <c r="GU47" s="125"/>
      <c r="GV47" s="125"/>
      <c r="GW47" s="125"/>
      <c r="GX47" s="125"/>
      <c r="GY47" s="125"/>
      <c r="GZ47" s="125"/>
      <c r="HA47" s="125"/>
      <c r="HB47" s="125"/>
      <c r="HC47" s="125"/>
      <c r="HD47" s="125"/>
      <c r="HE47" s="125"/>
      <c r="HF47" s="125"/>
      <c r="HG47" s="125"/>
      <c r="HH47" s="125"/>
      <c r="HI47" s="125"/>
      <c r="HJ47" s="125"/>
      <c r="HK47" s="125"/>
      <c r="HL47" s="125"/>
      <c r="HM47" s="125"/>
      <c r="HN47" s="125"/>
      <c r="HO47" s="125"/>
      <c r="HP47" s="125"/>
      <c r="HQ47" s="125"/>
      <c r="HR47" s="125"/>
      <c r="HS47" s="125"/>
      <c r="HT47" s="125"/>
      <c r="HU47" s="125"/>
      <c r="HV47" s="125"/>
      <c r="HW47" s="125"/>
      <c r="HX47" s="125"/>
      <c r="HY47" s="125"/>
      <c r="HZ47" s="125"/>
      <c r="IA47" s="125"/>
      <c r="IB47" s="125"/>
      <c r="IC47" s="125"/>
      <c r="ID47" s="125"/>
      <c r="IE47" s="125"/>
      <c r="IF47" s="125"/>
      <c r="IG47" s="125"/>
      <c r="IH47" s="125"/>
      <c r="II47" s="125"/>
      <c r="IJ47" s="125"/>
      <c r="IK47" s="125"/>
      <c r="IL47" s="125"/>
      <c r="IM47" s="125"/>
      <c r="IN47" s="125"/>
      <c r="IO47" s="125"/>
      <c r="IP47" s="125"/>
      <c r="IQ47" s="125"/>
      <c r="IR47" s="125"/>
      <c r="IS47" s="125"/>
      <c r="IT47" s="125"/>
      <c r="IU47" s="125"/>
      <c r="IV47" s="125"/>
    </row>
    <row r="48" spans="1:256" ht="17.25" x14ac:dyDescent="0.35">
      <c r="A48" s="1600">
        <v>42</v>
      </c>
      <c r="B48" s="125"/>
      <c r="C48" s="123"/>
      <c r="D48" s="1957" t="s">
        <v>1334</v>
      </c>
      <c r="E48" s="1776">
        <v>8944</v>
      </c>
      <c r="F48" s="1622"/>
      <c r="G48" s="2066"/>
      <c r="H48" s="1622"/>
      <c r="I48" s="125"/>
      <c r="J48" s="1616"/>
      <c r="K48" s="125"/>
      <c r="L48" s="1616"/>
      <c r="M48" s="125"/>
      <c r="N48" s="125"/>
      <c r="O48" s="125"/>
      <c r="P48" s="125"/>
      <c r="Q48" s="125"/>
      <c r="R48" s="125"/>
      <c r="S48" s="125"/>
      <c r="T48" s="125"/>
      <c r="U48" s="125"/>
      <c r="V48" s="125"/>
      <c r="W48" s="125"/>
      <c r="X48" s="125"/>
      <c r="Y48" s="125"/>
      <c r="Z48" s="125"/>
      <c r="AA48" s="125"/>
      <c r="AB48" s="125"/>
      <c r="AC48" s="125"/>
      <c r="AD48" s="125"/>
      <c r="AE48" s="125"/>
      <c r="AF48" s="125"/>
      <c r="AG48" s="125"/>
      <c r="AH48" s="125"/>
      <c r="AI48" s="125"/>
      <c r="AJ48" s="125"/>
      <c r="AK48" s="125"/>
      <c r="AL48" s="125"/>
      <c r="AM48" s="125"/>
      <c r="AN48" s="125"/>
      <c r="AO48" s="125"/>
      <c r="AP48" s="125"/>
      <c r="AQ48" s="125"/>
      <c r="AR48" s="125"/>
      <c r="AS48" s="125"/>
      <c r="AT48" s="125"/>
      <c r="AU48" s="125"/>
      <c r="AV48" s="125"/>
      <c r="AW48" s="125"/>
      <c r="AX48" s="125"/>
      <c r="AY48" s="125"/>
      <c r="AZ48" s="125"/>
      <c r="BA48" s="125"/>
      <c r="BB48" s="125"/>
      <c r="BC48" s="125"/>
      <c r="BD48" s="125"/>
      <c r="BE48" s="125"/>
      <c r="BF48" s="125"/>
      <c r="BG48" s="125"/>
      <c r="BH48" s="125"/>
      <c r="BI48" s="125"/>
      <c r="BJ48" s="125"/>
      <c r="BK48" s="125"/>
      <c r="BL48" s="125"/>
      <c r="BM48" s="125"/>
      <c r="BN48" s="125"/>
      <c r="BO48" s="125"/>
      <c r="BP48" s="125"/>
      <c r="BQ48" s="125"/>
      <c r="BR48" s="125"/>
      <c r="BS48" s="125"/>
      <c r="BT48" s="125"/>
      <c r="BU48" s="125"/>
      <c r="BV48" s="125"/>
      <c r="BW48" s="125"/>
      <c r="BX48" s="125"/>
      <c r="BY48" s="125"/>
      <c r="BZ48" s="125"/>
      <c r="CA48" s="125"/>
      <c r="CB48" s="125"/>
      <c r="CC48" s="125"/>
      <c r="CD48" s="125"/>
      <c r="CE48" s="125"/>
      <c r="CF48" s="125"/>
      <c r="CG48" s="125"/>
      <c r="CH48" s="125"/>
      <c r="CI48" s="125"/>
      <c r="CJ48" s="125"/>
      <c r="CK48" s="125"/>
      <c r="CL48" s="125"/>
      <c r="CM48" s="125"/>
      <c r="CN48" s="125"/>
      <c r="CO48" s="125"/>
      <c r="CP48" s="125"/>
      <c r="CQ48" s="125"/>
      <c r="CR48" s="125"/>
      <c r="CS48" s="125"/>
      <c r="CT48" s="125"/>
      <c r="CU48" s="125"/>
      <c r="CV48" s="125"/>
      <c r="CW48" s="125"/>
      <c r="CX48" s="125"/>
      <c r="CY48" s="125"/>
      <c r="CZ48" s="125"/>
      <c r="DA48" s="125"/>
      <c r="DB48" s="125"/>
      <c r="DC48" s="125"/>
      <c r="DD48" s="125"/>
      <c r="DE48" s="125"/>
      <c r="DF48" s="125"/>
      <c r="DG48" s="125"/>
      <c r="DH48" s="125"/>
      <c r="DI48" s="125"/>
      <c r="DJ48" s="125"/>
      <c r="DK48" s="125"/>
      <c r="DL48" s="125"/>
      <c r="DM48" s="125"/>
      <c r="DN48" s="125"/>
      <c r="DO48" s="125"/>
      <c r="DP48" s="125"/>
      <c r="DQ48" s="125"/>
      <c r="DR48" s="125"/>
      <c r="DS48" s="125"/>
      <c r="DT48" s="125"/>
      <c r="DU48" s="125"/>
      <c r="DV48" s="125"/>
      <c r="DW48" s="125"/>
      <c r="DX48" s="125"/>
      <c r="DY48" s="125"/>
      <c r="DZ48" s="125"/>
      <c r="EA48" s="125"/>
      <c r="EB48" s="125"/>
      <c r="EC48" s="125"/>
      <c r="ED48" s="125"/>
      <c r="EE48" s="125"/>
      <c r="EF48" s="125"/>
      <c r="EG48" s="125"/>
      <c r="EH48" s="125"/>
      <c r="EI48" s="125"/>
      <c r="EJ48" s="125"/>
      <c r="EK48" s="125"/>
      <c r="EL48" s="125"/>
      <c r="EM48" s="125"/>
      <c r="EN48" s="125"/>
      <c r="EO48" s="125"/>
      <c r="EP48" s="125"/>
      <c r="EQ48" s="125"/>
      <c r="ER48" s="125"/>
      <c r="ES48" s="125"/>
      <c r="ET48" s="125"/>
      <c r="EU48" s="125"/>
      <c r="EV48" s="125"/>
      <c r="EW48" s="125"/>
      <c r="EX48" s="125"/>
      <c r="EY48" s="125"/>
      <c r="EZ48" s="125"/>
      <c r="FA48" s="125"/>
      <c r="FB48" s="125"/>
      <c r="FC48" s="125"/>
      <c r="FD48" s="125"/>
      <c r="FE48" s="125"/>
      <c r="FF48" s="125"/>
      <c r="FG48" s="125"/>
      <c r="FH48" s="125"/>
      <c r="FI48" s="125"/>
      <c r="FJ48" s="125"/>
      <c r="FK48" s="125"/>
      <c r="FL48" s="125"/>
      <c r="FM48" s="125"/>
      <c r="FN48" s="125"/>
      <c r="FO48" s="125"/>
      <c r="FP48" s="125"/>
      <c r="FQ48" s="125"/>
      <c r="FR48" s="125"/>
      <c r="FS48" s="125"/>
      <c r="FT48" s="125"/>
      <c r="FU48" s="125"/>
      <c r="FV48" s="125"/>
      <c r="FW48" s="125"/>
      <c r="FX48" s="125"/>
      <c r="FY48" s="125"/>
      <c r="FZ48" s="125"/>
      <c r="GA48" s="125"/>
      <c r="GB48" s="125"/>
      <c r="GC48" s="125"/>
      <c r="GD48" s="125"/>
      <c r="GE48" s="125"/>
      <c r="GF48" s="125"/>
      <c r="GG48" s="125"/>
      <c r="GH48" s="125"/>
      <c r="GI48" s="125"/>
      <c r="GJ48" s="125"/>
      <c r="GK48" s="125"/>
      <c r="GL48" s="125"/>
      <c r="GM48" s="125"/>
      <c r="GN48" s="125"/>
      <c r="GO48" s="125"/>
      <c r="GP48" s="125"/>
      <c r="GQ48" s="125"/>
      <c r="GR48" s="125"/>
      <c r="GS48" s="125"/>
      <c r="GT48" s="125"/>
      <c r="GU48" s="125"/>
      <c r="GV48" s="125"/>
      <c r="GW48" s="125"/>
      <c r="GX48" s="125"/>
      <c r="GY48" s="125"/>
      <c r="GZ48" s="125"/>
      <c r="HA48" s="125"/>
      <c r="HB48" s="125"/>
      <c r="HC48" s="125"/>
      <c r="HD48" s="125"/>
      <c r="HE48" s="125"/>
      <c r="HF48" s="125"/>
      <c r="HG48" s="125"/>
      <c r="HH48" s="125"/>
      <c r="HI48" s="125"/>
      <c r="HJ48" s="125"/>
      <c r="HK48" s="125"/>
      <c r="HL48" s="125"/>
      <c r="HM48" s="125"/>
      <c r="HN48" s="125"/>
      <c r="HO48" s="125"/>
      <c r="HP48" s="125"/>
      <c r="HQ48" s="125"/>
      <c r="HR48" s="125"/>
      <c r="HS48" s="125"/>
      <c r="HT48" s="125"/>
      <c r="HU48" s="125"/>
      <c r="HV48" s="125"/>
      <c r="HW48" s="125"/>
      <c r="HX48" s="125"/>
      <c r="HY48" s="125"/>
      <c r="HZ48" s="125"/>
      <c r="IA48" s="125"/>
      <c r="IB48" s="125"/>
      <c r="IC48" s="125"/>
      <c r="ID48" s="125"/>
      <c r="IE48" s="125"/>
      <c r="IF48" s="125"/>
      <c r="IG48" s="125"/>
      <c r="IH48" s="125"/>
      <c r="II48" s="125"/>
      <c r="IJ48" s="125"/>
      <c r="IK48" s="125"/>
      <c r="IL48" s="125"/>
      <c r="IM48" s="125"/>
      <c r="IN48" s="125"/>
      <c r="IO48" s="125"/>
      <c r="IP48" s="125"/>
      <c r="IQ48" s="125"/>
      <c r="IR48" s="125"/>
      <c r="IS48" s="125"/>
      <c r="IT48" s="125"/>
      <c r="IU48" s="125"/>
      <c r="IV48" s="125"/>
    </row>
    <row r="49" spans="1:256" ht="17.25" x14ac:dyDescent="0.35">
      <c r="A49" s="1600">
        <v>43</v>
      </c>
      <c r="B49" s="125"/>
      <c r="C49" s="123"/>
      <c r="D49" s="1623" t="s">
        <v>129</v>
      </c>
      <c r="E49" s="1621">
        <f>SUM(E47:E48)</f>
        <v>11546</v>
      </c>
      <c r="F49" s="1622"/>
      <c r="G49" s="2066"/>
      <c r="H49" s="1622"/>
      <c r="I49" s="125"/>
      <c r="J49" s="1616"/>
      <c r="K49" s="125"/>
      <c r="L49" s="1616"/>
      <c r="M49" s="125"/>
      <c r="N49" s="125"/>
      <c r="O49" s="125"/>
      <c r="P49" s="125"/>
      <c r="Q49" s="125"/>
      <c r="R49" s="125"/>
      <c r="S49" s="125"/>
      <c r="T49" s="125"/>
      <c r="U49" s="125"/>
      <c r="V49" s="125"/>
      <c r="W49" s="125"/>
      <c r="X49" s="125"/>
      <c r="Y49" s="125"/>
      <c r="Z49" s="125"/>
      <c r="AA49" s="125"/>
      <c r="AB49" s="125"/>
      <c r="AC49" s="125"/>
      <c r="AD49" s="125"/>
      <c r="AE49" s="125"/>
      <c r="AF49" s="125"/>
      <c r="AG49" s="125"/>
      <c r="AH49" s="125"/>
      <c r="AI49" s="125"/>
      <c r="AJ49" s="125"/>
      <c r="AK49" s="125"/>
      <c r="AL49" s="125"/>
      <c r="AM49" s="125"/>
      <c r="AN49" s="125"/>
      <c r="AO49" s="125"/>
      <c r="AP49" s="125"/>
      <c r="AQ49" s="125"/>
      <c r="AR49" s="125"/>
      <c r="AS49" s="125"/>
      <c r="AT49" s="125"/>
      <c r="AU49" s="125"/>
      <c r="AV49" s="125"/>
      <c r="AW49" s="125"/>
      <c r="AX49" s="125"/>
      <c r="AY49" s="125"/>
      <c r="AZ49" s="125"/>
      <c r="BA49" s="125"/>
      <c r="BB49" s="125"/>
      <c r="BC49" s="125"/>
      <c r="BD49" s="125"/>
      <c r="BE49" s="125"/>
      <c r="BF49" s="125"/>
      <c r="BG49" s="125"/>
      <c r="BH49" s="125"/>
      <c r="BI49" s="125"/>
      <c r="BJ49" s="125"/>
      <c r="BK49" s="125"/>
      <c r="BL49" s="125"/>
      <c r="BM49" s="125"/>
      <c r="BN49" s="125"/>
      <c r="BO49" s="125"/>
      <c r="BP49" s="125"/>
      <c r="BQ49" s="125"/>
      <c r="BR49" s="125"/>
      <c r="BS49" s="125"/>
      <c r="BT49" s="125"/>
      <c r="BU49" s="125"/>
      <c r="BV49" s="125"/>
      <c r="BW49" s="125"/>
      <c r="BX49" s="125"/>
      <c r="BY49" s="125"/>
      <c r="BZ49" s="125"/>
      <c r="CA49" s="125"/>
      <c r="CB49" s="125"/>
      <c r="CC49" s="125"/>
      <c r="CD49" s="125"/>
      <c r="CE49" s="125"/>
      <c r="CF49" s="125"/>
      <c r="CG49" s="125"/>
      <c r="CH49" s="125"/>
      <c r="CI49" s="125"/>
      <c r="CJ49" s="125"/>
      <c r="CK49" s="125"/>
      <c r="CL49" s="125"/>
      <c r="CM49" s="125"/>
      <c r="CN49" s="125"/>
      <c r="CO49" s="125"/>
      <c r="CP49" s="125"/>
      <c r="CQ49" s="125"/>
      <c r="CR49" s="125"/>
      <c r="CS49" s="125"/>
      <c r="CT49" s="125"/>
      <c r="CU49" s="125"/>
      <c r="CV49" s="125"/>
      <c r="CW49" s="125"/>
      <c r="CX49" s="125"/>
      <c r="CY49" s="125"/>
      <c r="CZ49" s="125"/>
      <c r="DA49" s="125"/>
      <c r="DB49" s="125"/>
      <c r="DC49" s="125"/>
      <c r="DD49" s="125"/>
      <c r="DE49" s="125"/>
      <c r="DF49" s="125"/>
      <c r="DG49" s="125"/>
      <c r="DH49" s="125"/>
      <c r="DI49" s="125"/>
      <c r="DJ49" s="125"/>
      <c r="DK49" s="125"/>
      <c r="DL49" s="125"/>
      <c r="DM49" s="125"/>
      <c r="DN49" s="125"/>
      <c r="DO49" s="125"/>
      <c r="DP49" s="125"/>
      <c r="DQ49" s="125"/>
      <c r="DR49" s="125"/>
      <c r="DS49" s="125"/>
      <c r="DT49" s="125"/>
      <c r="DU49" s="125"/>
      <c r="DV49" s="125"/>
      <c r="DW49" s="125"/>
      <c r="DX49" s="125"/>
      <c r="DY49" s="125"/>
      <c r="DZ49" s="125"/>
      <c r="EA49" s="125"/>
      <c r="EB49" s="125"/>
      <c r="EC49" s="125"/>
      <c r="ED49" s="125"/>
      <c r="EE49" s="125"/>
      <c r="EF49" s="125"/>
      <c r="EG49" s="125"/>
      <c r="EH49" s="125"/>
      <c r="EI49" s="125"/>
      <c r="EJ49" s="125"/>
      <c r="EK49" s="125"/>
      <c r="EL49" s="125"/>
      <c r="EM49" s="125"/>
      <c r="EN49" s="125"/>
      <c r="EO49" s="125"/>
      <c r="EP49" s="125"/>
      <c r="EQ49" s="125"/>
      <c r="ER49" s="125"/>
      <c r="ES49" s="125"/>
      <c r="ET49" s="125"/>
      <c r="EU49" s="125"/>
      <c r="EV49" s="125"/>
      <c r="EW49" s="125"/>
      <c r="EX49" s="125"/>
      <c r="EY49" s="125"/>
      <c r="EZ49" s="125"/>
      <c r="FA49" s="125"/>
      <c r="FB49" s="125"/>
      <c r="FC49" s="125"/>
      <c r="FD49" s="125"/>
      <c r="FE49" s="125"/>
      <c r="FF49" s="125"/>
      <c r="FG49" s="125"/>
      <c r="FH49" s="125"/>
      <c r="FI49" s="125"/>
      <c r="FJ49" s="125"/>
      <c r="FK49" s="125"/>
      <c r="FL49" s="125"/>
      <c r="FM49" s="125"/>
      <c r="FN49" s="125"/>
      <c r="FO49" s="125"/>
      <c r="FP49" s="125"/>
      <c r="FQ49" s="125"/>
      <c r="FR49" s="125"/>
      <c r="FS49" s="125"/>
      <c r="FT49" s="125"/>
      <c r="FU49" s="125"/>
      <c r="FV49" s="125"/>
      <c r="FW49" s="125"/>
      <c r="FX49" s="125"/>
      <c r="FY49" s="125"/>
      <c r="FZ49" s="125"/>
      <c r="GA49" s="125"/>
      <c r="GB49" s="125"/>
      <c r="GC49" s="125"/>
      <c r="GD49" s="125"/>
      <c r="GE49" s="125"/>
      <c r="GF49" s="125"/>
      <c r="GG49" s="125"/>
      <c r="GH49" s="125"/>
      <c r="GI49" s="125"/>
      <c r="GJ49" s="125"/>
      <c r="GK49" s="125"/>
      <c r="GL49" s="125"/>
      <c r="GM49" s="125"/>
      <c r="GN49" s="125"/>
      <c r="GO49" s="125"/>
      <c r="GP49" s="125"/>
      <c r="GQ49" s="125"/>
      <c r="GR49" s="125"/>
      <c r="GS49" s="125"/>
      <c r="GT49" s="125"/>
      <c r="GU49" s="125"/>
      <c r="GV49" s="125"/>
      <c r="GW49" s="125"/>
      <c r="GX49" s="125"/>
      <c r="GY49" s="125"/>
      <c r="GZ49" s="125"/>
      <c r="HA49" s="125"/>
      <c r="HB49" s="125"/>
      <c r="HC49" s="125"/>
      <c r="HD49" s="125"/>
      <c r="HE49" s="125"/>
      <c r="HF49" s="125"/>
      <c r="HG49" s="125"/>
      <c r="HH49" s="125"/>
      <c r="HI49" s="125"/>
      <c r="HJ49" s="125"/>
      <c r="HK49" s="125"/>
      <c r="HL49" s="125"/>
      <c r="HM49" s="125"/>
      <c r="HN49" s="125"/>
      <c r="HO49" s="125"/>
      <c r="HP49" s="125"/>
      <c r="HQ49" s="125"/>
      <c r="HR49" s="125"/>
      <c r="HS49" s="125"/>
      <c r="HT49" s="125"/>
      <c r="HU49" s="125"/>
      <c r="HV49" s="125"/>
      <c r="HW49" s="125"/>
      <c r="HX49" s="125"/>
      <c r="HY49" s="125"/>
      <c r="HZ49" s="125"/>
      <c r="IA49" s="125"/>
      <c r="IB49" s="125"/>
      <c r="IC49" s="125"/>
      <c r="ID49" s="125"/>
      <c r="IE49" s="125"/>
      <c r="IF49" s="125"/>
      <c r="IG49" s="125"/>
      <c r="IH49" s="125"/>
      <c r="II49" s="125"/>
      <c r="IJ49" s="125"/>
      <c r="IK49" s="125"/>
      <c r="IL49" s="125"/>
      <c r="IM49" s="125"/>
      <c r="IN49" s="125"/>
      <c r="IO49" s="125"/>
      <c r="IP49" s="125"/>
      <c r="IQ49" s="125"/>
      <c r="IR49" s="125"/>
      <c r="IS49" s="125"/>
      <c r="IT49" s="125"/>
      <c r="IU49" s="125"/>
      <c r="IV49" s="125"/>
    </row>
    <row r="50" spans="1:256" ht="24.95" customHeight="1" x14ac:dyDescent="0.35">
      <c r="A50" s="1600">
        <v>44</v>
      </c>
      <c r="B50" s="125"/>
      <c r="C50" s="1607" t="s">
        <v>604</v>
      </c>
      <c r="D50" s="1614" t="s">
        <v>185</v>
      </c>
      <c r="E50" s="1620"/>
      <c r="F50" s="1622"/>
      <c r="G50" s="2066"/>
      <c r="H50" s="1622"/>
      <c r="I50" s="125"/>
      <c r="J50" s="1616"/>
      <c r="K50" s="125"/>
      <c r="L50" s="1616"/>
      <c r="M50" s="125"/>
      <c r="N50" s="125"/>
      <c r="O50" s="125"/>
      <c r="P50" s="125"/>
      <c r="Q50" s="125"/>
      <c r="R50" s="125"/>
      <c r="S50" s="125"/>
      <c r="T50" s="125"/>
      <c r="U50" s="125"/>
      <c r="V50" s="125"/>
      <c r="W50" s="125"/>
      <c r="X50" s="125"/>
      <c r="Y50" s="125"/>
      <c r="Z50" s="125"/>
      <c r="AA50" s="125"/>
      <c r="AB50" s="125"/>
      <c r="AC50" s="125"/>
      <c r="AD50" s="125"/>
      <c r="AE50" s="125"/>
      <c r="AF50" s="125"/>
      <c r="AG50" s="125"/>
      <c r="AH50" s="125"/>
      <c r="AI50" s="125"/>
      <c r="AJ50" s="125"/>
      <c r="AK50" s="125"/>
      <c r="AL50" s="125"/>
      <c r="AM50" s="125"/>
      <c r="AN50" s="125"/>
      <c r="AO50" s="125"/>
      <c r="AP50" s="125"/>
      <c r="AQ50" s="125"/>
      <c r="AR50" s="125"/>
      <c r="AS50" s="125"/>
      <c r="AT50" s="125"/>
      <c r="AU50" s="125"/>
      <c r="AV50" s="125"/>
      <c r="AW50" s="125"/>
      <c r="AX50" s="125"/>
      <c r="AY50" s="125"/>
      <c r="AZ50" s="125"/>
      <c r="BA50" s="125"/>
      <c r="BB50" s="125"/>
      <c r="BC50" s="125"/>
      <c r="BD50" s="125"/>
      <c r="BE50" s="125"/>
      <c r="BF50" s="125"/>
      <c r="BG50" s="125"/>
      <c r="BH50" s="125"/>
      <c r="BI50" s="125"/>
      <c r="BJ50" s="125"/>
      <c r="BK50" s="125"/>
      <c r="BL50" s="125"/>
      <c r="BM50" s="125"/>
      <c r="BN50" s="125"/>
      <c r="BO50" s="125"/>
      <c r="BP50" s="125"/>
      <c r="BQ50" s="125"/>
      <c r="BR50" s="125"/>
      <c r="BS50" s="125"/>
      <c r="BT50" s="125"/>
      <c r="BU50" s="125"/>
      <c r="BV50" s="125"/>
      <c r="BW50" s="125"/>
      <c r="BX50" s="125"/>
      <c r="BY50" s="125"/>
      <c r="BZ50" s="125"/>
      <c r="CA50" s="125"/>
      <c r="CB50" s="125"/>
      <c r="CC50" s="125"/>
      <c r="CD50" s="125"/>
      <c r="CE50" s="125"/>
      <c r="CF50" s="125"/>
      <c r="CG50" s="125"/>
      <c r="CH50" s="125"/>
      <c r="CI50" s="125"/>
      <c r="CJ50" s="125"/>
      <c r="CK50" s="125"/>
      <c r="CL50" s="125"/>
      <c r="CM50" s="125"/>
      <c r="CN50" s="125"/>
      <c r="CO50" s="125"/>
      <c r="CP50" s="125"/>
      <c r="CQ50" s="125"/>
      <c r="CR50" s="125"/>
      <c r="CS50" s="125"/>
      <c r="CT50" s="125"/>
      <c r="CU50" s="125"/>
      <c r="CV50" s="125"/>
      <c r="CW50" s="125"/>
      <c r="CX50" s="125"/>
      <c r="CY50" s="125"/>
      <c r="CZ50" s="125"/>
      <c r="DA50" s="125"/>
      <c r="DB50" s="125"/>
      <c r="DC50" s="125"/>
      <c r="DD50" s="125"/>
      <c r="DE50" s="125"/>
      <c r="DF50" s="125"/>
      <c r="DG50" s="125"/>
      <c r="DH50" s="125"/>
      <c r="DI50" s="125"/>
      <c r="DJ50" s="125"/>
      <c r="DK50" s="125"/>
      <c r="DL50" s="125"/>
      <c r="DM50" s="125"/>
      <c r="DN50" s="125"/>
      <c r="DO50" s="125"/>
      <c r="DP50" s="125"/>
      <c r="DQ50" s="125"/>
      <c r="DR50" s="125"/>
      <c r="DS50" s="125"/>
      <c r="DT50" s="125"/>
      <c r="DU50" s="125"/>
      <c r="DV50" s="125"/>
      <c r="DW50" s="125"/>
      <c r="DX50" s="125"/>
      <c r="DY50" s="125"/>
      <c r="DZ50" s="125"/>
      <c r="EA50" s="125"/>
      <c r="EB50" s="125"/>
      <c r="EC50" s="125"/>
      <c r="ED50" s="125"/>
      <c r="EE50" s="125"/>
      <c r="EF50" s="125"/>
      <c r="EG50" s="125"/>
      <c r="EH50" s="125"/>
      <c r="EI50" s="125"/>
      <c r="EJ50" s="125"/>
      <c r="EK50" s="125"/>
      <c r="EL50" s="125"/>
      <c r="EM50" s="125"/>
      <c r="EN50" s="125"/>
      <c r="EO50" s="125"/>
      <c r="EP50" s="125"/>
      <c r="EQ50" s="125"/>
      <c r="ER50" s="125"/>
      <c r="ES50" s="125"/>
      <c r="ET50" s="125"/>
      <c r="EU50" s="125"/>
      <c r="EV50" s="125"/>
      <c r="EW50" s="125"/>
      <c r="EX50" s="125"/>
      <c r="EY50" s="125"/>
      <c r="EZ50" s="125"/>
      <c r="FA50" s="125"/>
      <c r="FB50" s="125"/>
      <c r="FC50" s="125"/>
      <c r="FD50" s="125"/>
      <c r="FE50" s="125"/>
      <c r="FF50" s="125"/>
      <c r="FG50" s="125"/>
      <c r="FH50" s="125"/>
      <c r="FI50" s="125"/>
      <c r="FJ50" s="125"/>
      <c r="FK50" s="125"/>
      <c r="FL50" s="125"/>
      <c r="FM50" s="125"/>
      <c r="FN50" s="125"/>
      <c r="FO50" s="125"/>
      <c r="FP50" s="125"/>
      <c r="FQ50" s="125"/>
      <c r="FR50" s="125"/>
      <c r="FS50" s="125"/>
      <c r="FT50" s="125"/>
      <c r="FU50" s="125"/>
      <c r="FV50" s="125"/>
      <c r="FW50" s="125"/>
      <c r="FX50" s="125"/>
      <c r="FY50" s="125"/>
      <c r="FZ50" s="125"/>
      <c r="GA50" s="125"/>
      <c r="GB50" s="125"/>
      <c r="GC50" s="125"/>
      <c r="GD50" s="125"/>
      <c r="GE50" s="125"/>
      <c r="GF50" s="125"/>
      <c r="GG50" s="125"/>
      <c r="GH50" s="125"/>
      <c r="GI50" s="125"/>
      <c r="GJ50" s="125"/>
      <c r="GK50" s="125"/>
      <c r="GL50" s="125"/>
      <c r="GM50" s="125"/>
      <c r="GN50" s="125"/>
      <c r="GO50" s="125"/>
      <c r="GP50" s="125"/>
      <c r="GQ50" s="125"/>
      <c r="GR50" s="125"/>
      <c r="GS50" s="125"/>
      <c r="GT50" s="125"/>
      <c r="GU50" s="125"/>
      <c r="GV50" s="125"/>
      <c r="GW50" s="125"/>
      <c r="GX50" s="125"/>
      <c r="GY50" s="125"/>
      <c r="GZ50" s="125"/>
      <c r="HA50" s="125"/>
      <c r="HB50" s="125"/>
      <c r="HC50" s="125"/>
      <c r="HD50" s="125"/>
      <c r="HE50" s="125"/>
      <c r="HF50" s="125"/>
      <c r="HG50" s="125"/>
      <c r="HH50" s="125"/>
      <c r="HI50" s="125"/>
      <c r="HJ50" s="125"/>
      <c r="HK50" s="125"/>
      <c r="HL50" s="125"/>
      <c r="HM50" s="125"/>
      <c r="HN50" s="125"/>
      <c r="HO50" s="125"/>
      <c r="HP50" s="125"/>
      <c r="HQ50" s="125"/>
      <c r="HR50" s="125"/>
      <c r="HS50" s="125"/>
      <c r="HT50" s="125"/>
      <c r="HU50" s="125"/>
      <c r="HV50" s="125"/>
      <c r="HW50" s="125"/>
      <c r="HX50" s="125"/>
      <c r="HY50" s="125"/>
      <c r="HZ50" s="125"/>
      <c r="IA50" s="125"/>
      <c r="IB50" s="125"/>
      <c r="IC50" s="125"/>
      <c r="ID50" s="125"/>
      <c r="IE50" s="125"/>
      <c r="IF50" s="125"/>
      <c r="IG50" s="125"/>
      <c r="IH50" s="125"/>
      <c r="II50" s="125"/>
      <c r="IJ50" s="125"/>
      <c r="IK50" s="125"/>
      <c r="IL50" s="125"/>
      <c r="IM50" s="125"/>
      <c r="IN50" s="125"/>
      <c r="IO50" s="125"/>
      <c r="IP50" s="125"/>
      <c r="IQ50" s="125"/>
      <c r="IR50" s="125"/>
      <c r="IS50" s="125"/>
      <c r="IT50" s="125"/>
      <c r="IU50" s="125"/>
      <c r="IV50" s="125"/>
    </row>
    <row r="51" spans="1:256" ht="32.25" customHeight="1" x14ac:dyDescent="0.35">
      <c r="A51" s="1600">
        <v>45</v>
      </c>
      <c r="B51" s="125"/>
      <c r="C51" s="1607"/>
      <c r="D51" s="1985" t="s">
        <v>1253</v>
      </c>
      <c r="E51" s="2031">
        <v>3302000</v>
      </c>
      <c r="F51" s="2031"/>
      <c r="G51" s="1922"/>
      <c r="H51" s="1622"/>
      <c r="I51" s="125"/>
      <c r="J51" s="1616"/>
      <c r="K51" s="125"/>
      <c r="L51" s="1616"/>
      <c r="M51" s="125"/>
      <c r="N51" s="125"/>
      <c r="O51" s="125"/>
      <c r="P51" s="125"/>
      <c r="Q51" s="125"/>
      <c r="R51" s="125"/>
      <c r="S51" s="125"/>
      <c r="T51" s="125"/>
      <c r="U51" s="125"/>
      <c r="V51" s="125"/>
      <c r="W51" s="125"/>
      <c r="X51" s="125"/>
      <c r="Y51" s="125"/>
      <c r="Z51" s="125"/>
      <c r="AA51" s="125"/>
      <c r="AB51" s="125"/>
      <c r="AC51" s="125"/>
      <c r="AD51" s="125"/>
      <c r="AE51" s="125"/>
      <c r="AF51" s="125"/>
      <c r="AG51" s="125"/>
      <c r="AH51" s="125"/>
      <c r="AI51" s="125"/>
      <c r="AJ51" s="125"/>
      <c r="AK51" s="125"/>
      <c r="AL51" s="125"/>
      <c r="AM51" s="125"/>
      <c r="AN51" s="125"/>
      <c r="AO51" s="125"/>
      <c r="AP51" s="125"/>
      <c r="AQ51" s="125"/>
      <c r="AR51" s="125"/>
      <c r="AS51" s="125"/>
      <c r="AT51" s="125"/>
      <c r="AU51" s="125"/>
      <c r="AV51" s="125"/>
      <c r="AW51" s="125"/>
      <c r="AX51" s="125"/>
      <c r="AY51" s="125"/>
      <c r="AZ51" s="125"/>
      <c r="BA51" s="125"/>
      <c r="BB51" s="125"/>
      <c r="BC51" s="125"/>
      <c r="BD51" s="125"/>
      <c r="BE51" s="125"/>
      <c r="BF51" s="125"/>
      <c r="BG51" s="125"/>
      <c r="BH51" s="125"/>
      <c r="BI51" s="125"/>
      <c r="BJ51" s="125"/>
      <c r="BK51" s="125"/>
      <c r="BL51" s="125"/>
      <c r="BM51" s="125"/>
      <c r="BN51" s="125"/>
      <c r="BO51" s="125"/>
      <c r="BP51" s="125"/>
      <c r="BQ51" s="125"/>
      <c r="BR51" s="125"/>
      <c r="BS51" s="125"/>
      <c r="BT51" s="125"/>
      <c r="BU51" s="125"/>
      <c r="BV51" s="125"/>
      <c r="BW51" s="125"/>
      <c r="BX51" s="125"/>
      <c r="BY51" s="125"/>
      <c r="BZ51" s="125"/>
      <c r="CA51" s="125"/>
      <c r="CB51" s="125"/>
      <c r="CC51" s="125"/>
      <c r="CD51" s="125"/>
      <c r="CE51" s="125"/>
      <c r="CF51" s="125"/>
      <c r="CG51" s="125"/>
      <c r="CH51" s="125"/>
      <c r="CI51" s="125"/>
      <c r="CJ51" s="125"/>
      <c r="CK51" s="125"/>
      <c r="CL51" s="125"/>
      <c r="CM51" s="125"/>
      <c r="CN51" s="125"/>
      <c r="CO51" s="125"/>
      <c r="CP51" s="125"/>
      <c r="CQ51" s="125"/>
      <c r="CR51" s="125"/>
      <c r="CS51" s="125"/>
      <c r="CT51" s="125"/>
      <c r="CU51" s="125"/>
      <c r="CV51" s="125"/>
      <c r="CW51" s="125"/>
      <c r="CX51" s="125"/>
      <c r="CY51" s="125"/>
      <c r="CZ51" s="125"/>
      <c r="DA51" s="125"/>
      <c r="DB51" s="125"/>
      <c r="DC51" s="125"/>
      <c r="DD51" s="125"/>
      <c r="DE51" s="125"/>
      <c r="DF51" s="125"/>
      <c r="DG51" s="125"/>
      <c r="DH51" s="125"/>
      <c r="DI51" s="125"/>
      <c r="DJ51" s="125"/>
      <c r="DK51" s="125"/>
      <c r="DL51" s="125"/>
      <c r="DM51" s="125"/>
      <c r="DN51" s="125"/>
      <c r="DO51" s="125"/>
      <c r="DP51" s="125"/>
      <c r="DQ51" s="125"/>
      <c r="DR51" s="125"/>
      <c r="DS51" s="125"/>
      <c r="DT51" s="125"/>
      <c r="DU51" s="125"/>
      <c r="DV51" s="125"/>
      <c r="DW51" s="125"/>
      <c r="DX51" s="125"/>
      <c r="DY51" s="125"/>
      <c r="DZ51" s="125"/>
      <c r="EA51" s="125"/>
      <c r="EB51" s="125"/>
      <c r="EC51" s="125"/>
      <c r="ED51" s="125"/>
      <c r="EE51" s="125"/>
      <c r="EF51" s="125"/>
      <c r="EG51" s="125"/>
      <c r="EH51" s="125"/>
      <c r="EI51" s="125"/>
      <c r="EJ51" s="125"/>
      <c r="EK51" s="125"/>
      <c r="EL51" s="125"/>
      <c r="EM51" s="125"/>
      <c r="EN51" s="125"/>
      <c r="EO51" s="125"/>
      <c r="EP51" s="125"/>
      <c r="EQ51" s="125"/>
      <c r="ER51" s="125"/>
      <c r="ES51" s="125"/>
      <c r="ET51" s="125"/>
      <c r="EU51" s="125"/>
      <c r="EV51" s="125"/>
      <c r="EW51" s="125"/>
      <c r="EX51" s="125"/>
      <c r="EY51" s="125"/>
      <c r="EZ51" s="125"/>
      <c r="FA51" s="125"/>
      <c r="FB51" s="125"/>
      <c r="FC51" s="125"/>
      <c r="FD51" s="125"/>
      <c r="FE51" s="125"/>
      <c r="FF51" s="125"/>
      <c r="FG51" s="125"/>
      <c r="FH51" s="125"/>
      <c r="FI51" s="125"/>
      <c r="FJ51" s="125"/>
      <c r="FK51" s="125"/>
      <c r="FL51" s="125"/>
      <c r="FM51" s="125"/>
      <c r="FN51" s="125"/>
      <c r="FO51" s="125"/>
      <c r="FP51" s="125"/>
      <c r="FQ51" s="125"/>
      <c r="FR51" s="125"/>
      <c r="FS51" s="125"/>
      <c r="FT51" s="125"/>
      <c r="FU51" s="125"/>
      <c r="FV51" s="125"/>
      <c r="FW51" s="125"/>
      <c r="FX51" s="125"/>
      <c r="FY51" s="125"/>
      <c r="FZ51" s="125"/>
      <c r="GA51" s="125"/>
      <c r="GB51" s="125"/>
      <c r="GC51" s="125"/>
      <c r="GD51" s="125"/>
      <c r="GE51" s="125"/>
      <c r="GF51" s="125"/>
      <c r="GG51" s="125"/>
      <c r="GH51" s="125"/>
      <c r="GI51" s="125"/>
      <c r="GJ51" s="125"/>
      <c r="GK51" s="125"/>
      <c r="GL51" s="125"/>
      <c r="GM51" s="125"/>
      <c r="GN51" s="125"/>
      <c r="GO51" s="125"/>
      <c r="GP51" s="125"/>
      <c r="GQ51" s="125"/>
      <c r="GR51" s="125"/>
      <c r="GS51" s="125"/>
      <c r="GT51" s="125"/>
      <c r="GU51" s="125"/>
      <c r="GV51" s="125"/>
      <c r="GW51" s="125"/>
      <c r="GX51" s="125"/>
      <c r="GY51" s="125"/>
      <c r="GZ51" s="125"/>
      <c r="HA51" s="125"/>
      <c r="HB51" s="125"/>
      <c r="HC51" s="125"/>
      <c r="HD51" s="125"/>
      <c r="HE51" s="125"/>
      <c r="HF51" s="125"/>
      <c r="HG51" s="125"/>
      <c r="HH51" s="125"/>
      <c r="HI51" s="125"/>
      <c r="HJ51" s="125"/>
      <c r="HK51" s="125"/>
      <c r="HL51" s="125"/>
      <c r="HM51" s="125"/>
      <c r="HN51" s="125"/>
      <c r="HO51" s="125"/>
      <c r="HP51" s="125"/>
      <c r="HQ51" s="125"/>
      <c r="HR51" s="125"/>
      <c r="HS51" s="125"/>
      <c r="HT51" s="125"/>
      <c r="HU51" s="125"/>
      <c r="HV51" s="125"/>
      <c r="HW51" s="125"/>
      <c r="HX51" s="125"/>
      <c r="HY51" s="125"/>
      <c r="HZ51" s="125"/>
      <c r="IA51" s="125"/>
      <c r="IB51" s="125"/>
      <c r="IC51" s="125"/>
      <c r="ID51" s="125"/>
      <c r="IE51" s="125"/>
      <c r="IF51" s="125"/>
      <c r="IG51" s="125"/>
      <c r="IH51" s="125"/>
      <c r="II51" s="125"/>
      <c r="IJ51" s="125"/>
      <c r="IK51" s="125"/>
      <c r="IL51" s="125"/>
      <c r="IM51" s="125"/>
      <c r="IN51" s="125"/>
      <c r="IO51" s="125"/>
      <c r="IP51" s="125"/>
      <c r="IQ51" s="125"/>
      <c r="IR51" s="125"/>
      <c r="IS51" s="125"/>
      <c r="IT51" s="125"/>
      <c r="IU51" s="125"/>
      <c r="IV51" s="125"/>
    </row>
    <row r="52" spans="1:256" ht="20.100000000000001" customHeight="1" x14ac:dyDescent="0.35">
      <c r="A52" s="1600">
        <v>46</v>
      </c>
      <c r="B52" s="125"/>
      <c r="C52" s="1607"/>
      <c r="D52" s="1985" t="s">
        <v>1285</v>
      </c>
      <c r="E52" s="1940">
        <v>4994</v>
      </c>
      <c r="F52" s="2096"/>
      <c r="G52" s="2086"/>
      <c r="H52" s="2097"/>
      <c r="I52" s="2085"/>
      <c r="J52" s="2088"/>
      <c r="K52" s="125"/>
      <c r="L52" s="1616"/>
      <c r="M52" s="125"/>
      <c r="N52" s="125"/>
      <c r="O52" s="125"/>
      <c r="P52" s="125"/>
      <c r="Q52" s="125"/>
      <c r="R52" s="125"/>
      <c r="S52" s="125"/>
      <c r="T52" s="125"/>
      <c r="U52" s="125"/>
      <c r="V52" s="125"/>
      <c r="W52" s="125"/>
      <c r="X52" s="125"/>
      <c r="Y52" s="125"/>
      <c r="Z52" s="125"/>
      <c r="AA52" s="125"/>
      <c r="AB52" s="125"/>
      <c r="AC52" s="125"/>
      <c r="AD52" s="125"/>
      <c r="AE52" s="125"/>
      <c r="AF52" s="125"/>
      <c r="AG52" s="125"/>
      <c r="AH52" s="125"/>
      <c r="AI52" s="125"/>
      <c r="AJ52" s="125"/>
      <c r="AK52" s="125"/>
      <c r="AL52" s="125"/>
      <c r="AM52" s="125"/>
      <c r="AN52" s="125"/>
      <c r="AO52" s="125"/>
      <c r="AP52" s="125"/>
      <c r="AQ52" s="125"/>
      <c r="AR52" s="125"/>
      <c r="AS52" s="125"/>
      <c r="AT52" s="125"/>
      <c r="AU52" s="125"/>
      <c r="AV52" s="125"/>
      <c r="AW52" s="125"/>
      <c r="AX52" s="125"/>
      <c r="AY52" s="125"/>
      <c r="AZ52" s="125"/>
      <c r="BA52" s="125"/>
      <c r="BB52" s="125"/>
      <c r="BC52" s="125"/>
      <c r="BD52" s="125"/>
      <c r="BE52" s="125"/>
      <c r="BF52" s="125"/>
      <c r="BG52" s="125"/>
      <c r="BH52" s="125"/>
      <c r="BI52" s="125"/>
      <c r="BJ52" s="125"/>
      <c r="BK52" s="125"/>
      <c r="BL52" s="125"/>
      <c r="BM52" s="125"/>
      <c r="BN52" s="125"/>
      <c r="BO52" s="125"/>
      <c r="BP52" s="125"/>
      <c r="BQ52" s="125"/>
      <c r="BR52" s="125"/>
      <c r="BS52" s="125"/>
      <c r="BT52" s="125"/>
      <c r="BU52" s="125"/>
      <c r="BV52" s="125"/>
      <c r="BW52" s="125"/>
      <c r="BX52" s="125"/>
      <c r="BY52" s="125"/>
      <c r="BZ52" s="125"/>
      <c r="CA52" s="125"/>
      <c r="CB52" s="125"/>
      <c r="CC52" s="125"/>
      <c r="CD52" s="125"/>
      <c r="CE52" s="125"/>
      <c r="CF52" s="125"/>
      <c r="CG52" s="125"/>
      <c r="CH52" s="125"/>
      <c r="CI52" s="125"/>
      <c r="CJ52" s="125"/>
      <c r="CK52" s="125"/>
      <c r="CL52" s="125"/>
      <c r="CM52" s="125"/>
      <c r="CN52" s="125"/>
      <c r="CO52" s="125"/>
      <c r="CP52" s="125"/>
      <c r="CQ52" s="125"/>
      <c r="CR52" s="125"/>
      <c r="CS52" s="125"/>
      <c r="CT52" s="125"/>
      <c r="CU52" s="125"/>
      <c r="CV52" s="125"/>
      <c r="CW52" s="125"/>
      <c r="CX52" s="125"/>
      <c r="CY52" s="125"/>
      <c r="CZ52" s="125"/>
      <c r="DA52" s="125"/>
      <c r="DB52" s="125"/>
      <c r="DC52" s="125"/>
      <c r="DD52" s="125"/>
      <c r="DE52" s="125"/>
      <c r="DF52" s="125"/>
      <c r="DG52" s="125"/>
      <c r="DH52" s="125"/>
      <c r="DI52" s="125"/>
      <c r="DJ52" s="125"/>
      <c r="DK52" s="125"/>
      <c r="DL52" s="125"/>
      <c r="DM52" s="125"/>
      <c r="DN52" s="125"/>
      <c r="DO52" s="125"/>
      <c r="DP52" s="125"/>
      <c r="DQ52" s="125"/>
      <c r="DR52" s="125"/>
      <c r="DS52" s="125"/>
      <c r="DT52" s="125"/>
      <c r="DU52" s="125"/>
      <c r="DV52" s="125"/>
      <c r="DW52" s="125"/>
      <c r="DX52" s="125"/>
      <c r="DY52" s="125"/>
      <c r="DZ52" s="125"/>
      <c r="EA52" s="125"/>
      <c r="EB52" s="125"/>
      <c r="EC52" s="125"/>
      <c r="ED52" s="125"/>
      <c r="EE52" s="125"/>
      <c r="EF52" s="125"/>
      <c r="EG52" s="125"/>
      <c r="EH52" s="125"/>
      <c r="EI52" s="125"/>
      <c r="EJ52" s="125"/>
      <c r="EK52" s="125"/>
      <c r="EL52" s="125"/>
      <c r="EM52" s="125"/>
      <c r="EN52" s="125"/>
      <c r="EO52" s="125"/>
      <c r="EP52" s="125"/>
      <c r="EQ52" s="125"/>
      <c r="ER52" s="125"/>
      <c r="ES52" s="125"/>
      <c r="ET52" s="125"/>
      <c r="EU52" s="125"/>
      <c r="EV52" s="125"/>
      <c r="EW52" s="125"/>
      <c r="EX52" s="125"/>
      <c r="EY52" s="125"/>
      <c r="EZ52" s="125"/>
      <c r="FA52" s="125"/>
      <c r="FB52" s="125"/>
      <c r="FC52" s="125"/>
      <c r="FD52" s="125"/>
      <c r="FE52" s="125"/>
      <c r="FF52" s="125"/>
      <c r="FG52" s="125"/>
      <c r="FH52" s="125"/>
      <c r="FI52" s="125"/>
      <c r="FJ52" s="125"/>
      <c r="FK52" s="125"/>
      <c r="FL52" s="125"/>
      <c r="FM52" s="125"/>
      <c r="FN52" s="125"/>
      <c r="FO52" s="125"/>
      <c r="FP52" s="125"/>
      <c r="FQ52" s="125"/>
      <c r="FR52" s="125"/>
      <c r="FS52" s="125"/>
      <c r="FT52" s="125"/>
      <c r="FU52" s="125"/>
      <c r="FV52" s="125"/>
      <c r="FW52" s="125"/>
      <c r="FX52" s="125"/>
      <c r="FY52" s="125"/>
      <c r="FZ52" s="125"/>
      <c r="GA52" s="125"/>
      <c r="GB52" s="125"/>
      <c r="GC52" s="125"/>
      <c r="GD52" s="125"/>
      <c r="GE52" s="125"/>
      <c r="GF52" s="125"/>
      <c r="GG52" s="125"/>
      <c r="GH52" s="125"/>
      <c r="GI52" s="125"/>
      <c r="GJ52" s="125"/>
      <c r="GK52" s="125"/>
      <c r="GL52" s="125"/>
      <c r="GM52" s="125"/>
      <c r="GN52" s="125"/>
      <c r="GO52" s="125"/>
      <c r="GP52" s="125"/>
      <c r="GQ52" s="125"/>
      <c r="GR52" s="125"/>
      <c r="GS52" s="125"/>
      <c r="GT52" s="125"/>
      <c r="GU52" s="125"/>
      <c r="GV52" s="125"/>
      <c r="GW52" s="125"/>
      <c r="GX52" s="125"/>
      <c r="GY52" s="125"/>
      <c r="GZ52" s="125"/>
      <c r="HA52" s="125"/>
      <c r="HB52" s="125"/>
      <c r="HC52" s="125"/>
      <c r="HD52" s="125"/>
      <c r="HE52" s="125"/>
      <c r="HF52" s="125"/>
      <c r="HG52" s="125"/>
      <c r="HH52" s="125"/>
      <c r="HI52" s="125"/>
      <c r="HJ52" s="125"/>
      <c r="HK52" s="125"/>
      <c r="HL52" s="125"/>
      <c r="HM52" s="125"/>
      <c r="HN52" s="125"/>
      <c r="HO52" s="125"/>
      <c r="HP52" s="125"/>
      <c r="HQ52" s="125"/>
      <c r="HR52" s="125"/>
      <c r="HS52" s="125"/>
      <c r="HT52" s="125"/>
      <c r="HU52" s="125"/>
      <c r="HV52" s="125"/>
      <c r="HW52" s="125"/>
      <c r="HX52" s="125"/>
      <c r="HY52" s="125"/>
      <c r="HZ52" s="125"/>
      <c r="IA52" s="125"/>
      <c r="IB52" s="125"/>
      <c r="IC52" s="125"/>
      <c r="ID52" s="125"/>
      <c r="IE52" s="125"/>
      <c r="IF52" s="125"/>
      <c r="IG52" s="125"/>
      <c r="IH52" s="125"/>
      <c r="II52" s="125"/>
      <c r="IJ52" s="125"/>
      <c r="IK52" s="125"/>
      <c r="IL52" s="125"/>
      <c r="IM52" s="125"/>
      <c r="IN52" s="125"/>
      <c r="IO52" s="125"/>
      <c r="IP52" s="125"/>
      <c r="IQ52" s="125"/>
      <c r="IR52" s="125"/>
      <c r="IS52" s="125"/>
      <c r="IT52" s="125"/>
      <c r="IU52" s="125"/>
      <c r="IV52" s="125"/>
    </row>
    <row r="53" spans="1:256" ht="20.100000000000001" customHeight="1" x14ac:dyDescent="0.35">
      <c r="A53" s="1600">
        <v>47</v>
      </c>
      <c r="B53" s="125"/>
      <c r="C53" s="1607"/>
      <c r="D53" s="1623" t="s">
        <v>129</v>
      </c>
      <c r="E53" s="1780">
        <f>SUM(E51:E52)</f>
        <v>3306994</v>
      </c>
      <c r="F53" s="1622"/>
      <c r="G53" s="2066"/>
      <c r="H53" s="1622"/>
      <c r="I53" s="125"/>
      <c r="J53" s="1616"/>
      <c r="K53" s="125"/>
      <c r="L53" s="1616"/>
      <c r="M53" s="125"/>
      <c r="N53" s="125"/>
      <c r="O53" s="125"/>
      <c r="P53" s="125"/>
      <c r="Q53" s="125"/>
      <c r="R53" s="125"/>
      <c r="S53" s="125"/>
      <c r="T53" s="125"/>
      <c r="U53" s="125"/>
      <c r="V53" s="125"/>
      <c r="W53" s="125"/>
      <c r="X53" s="125"/>
      <c r="Y53" s="125"/>
      <c r="Z53" s="125"/>
      <c r="AA53" s="125"/>
      <c r="AB53" s="125"/>
      <c r="AC53" s="125"/>
      <c r="AD53" s="125"/>
      <c r="AE53" s="125"/>
      <c r="AF53" s="125"/>
      <c r="AG53" s="125"/>
      <c r="AH53" s="125"/>
      <c r="AI53" s="125"/>
      <c r="AJ53" s="125"/>
      <c r="AK53" s="125"/>
      <c r="AL53" s="125"/>
      <c r="AM53" s="125"/>
      <c r="AN53" s="125"/>
      <c r="AO53" s="125"/>
      <c r="AP53" s="125"/>
      <c r="AQ53" s="125"/>
      <c r="AR53" s="125"/>
      <c r="AS53" s="125"/>
      <c r="AT53" s="125"/>
      <c r="AU53" s="125"/>
      <c r="AV53" s="125"/>
      <c r="AW53" s="125"/>
      <c r="AX53" s="125"/>
      <c r="AY53" s="125"/>
      <c r="AZ53" s="125"/>
      <c r="BA53" s="125"/>
      <c r="BB53" s="125"/>
      <c r="BC53" s="125"/>
      <c r="BD53" s="125"/>
      <c r="BE53" s="125"/>
      <c r="BF53" s="125"/>
      <c r="BG53" s="125"/>
      <c r="BH53" s="125"/>
      <c r="BI53" s="125"/>
      <c r="BJ53" s="125"/>
      <c r="BK53" s="125"/>
      <c r="BL53" s="125"/>
      <c r="BM53" s="125"/>
      <c r="BN53" s="125"/>
      <c r="BO53" s="125"/>
      <c r="BP53" s="125"/>
      <c r="BQ53" s="125"/>
      <c r="BR53" s="125"/>
      <c r="BS53" s="125"/>
      <c r="BT53" s="125"/>
      <c r="BU53" s="125"/>
      <c r="BV53" s="125"/>
      <c r="BW53" s="125"/>
      <c r="BX53" s="125"/>
      <c r="BY53" s="125"/>
      <c r="BZ53" s="125"/>
      <c r="CA53" s="125"/>
      <c r="CB53" s="125"/>
      <c r="CC53" s="125"/>
      <c r="CD53" s="125"/>
      <c r="CE53" s="125"/>
      <c r="CF53" s="125"/>
      <c r="CG53" s="125"/>
      <c r="CH53" s="125"/>
      <c r="CI53" s="125"/>
      <c r="CJ53" s="125"/>
      <c r="CK53" s="125"/>
      <c r="CL53" s="125"/>
      <c r="CM53" s="125"/>
      <c r="CN53" s="125"/>
      <c r="CO53" s="125"/>
      <c r="CP53" s="125"/>
      <c r="CQ53" s="125"/>
      <c r="CR53" s="125"/>
      <c r="CS53" s="125"/>
      <c r="CT53" s="125"/>
      <c r="CU53" s="125"/>
      <c r="CV53" s="125"/>
      <c r="CW53" s="125"/>
      <c r="CX53" s="125"/>
      <c r="CY53" s="125"/>
      <c r="CZ53" s="125"/>
      <c r="DA53" s="125"/>
      <c r="DB53" s="125"/>
      <c r="DC53" s="125"/>
      <c r="DD53" s="125"/>
      <c r="DE53" s="125"/>
      <c r="DF53" s="125"/>
      <c r="DG53" s="125"/>
      <c r="DH53" s="125"/>
      <c r="DI53" s="125"/>
      <c r="DJ53" s="125"/>
      <c r="DK53" s="125"/>
      <c r="DL53" s="125"/>
      <c r="DM53" s="125"/>
      <c r="DN53" s="125"/>
      <c r="DO53" s="125"/>
      <c r="DP53" s="125"/>
      <c r="DQ53" s="125"/>
      <c r="DR53" s="125"/>
      <c r="DS53" s="125"/>
      <c r="DT53" s="125"/>
      <c r="DU53" s="125"/>
      <c r="DV53" s="125"/>
      <c r="DW53" s="125"/>
      <c r="DX53" s="125"/>
      <c r="DY53" s="125"/>
      <c r="DZ53" s="125"/>
      <c r="EA53" s="125"/>
      <c r="EB53" s="125"/>
      <c r="EC53" s="125"/>
      <c r="ED53" s="125"/>
      <c r="EE53" s="125"/>
      <c r="EF53" s="125"/>
      <c r="EG53" s="125"/>
      <c r="EH53" s="125"/>
      <c r="EI53" s="125"/>
      <c r="EJ53" s="125"/>
      <c r="EK53" s="125"/>
      <c r="EL53" s="125"/>
      <c r="EM53" s="125"/>
      <c r="EN53" s="125"/>
      <c r="EO53" s="125"/>
      <c r="EP53" s="125"/>
      <c r="EQ53" s="125"/>
      <c r="ER53" s="125"/>
      <c r="ES53" s="125"/>
      <c r="ET53" s="125"/>
      <c r="EU53" s="125"/>
      <c r="EV53" s="125"/>
      <c r="EW53" s="125"/>
      <c r="EX53" s="125"/>
      <c r="EY53" s="125"/>
      <c r="EZ53" s="125"/>
      <c r="FA53" s="125"/>
      <c r="FB53" s="125"/>
      <c r="FC53" s="125"/>
      <c r="FD53" s="125"/>
      <c r="FE53" s="125"/>
      <c r="FF53" s="125"/>
      <c r="FG53" s="125"/>
      <c r="FH53" s="125"/>
      <c r="FI53" s="125"/>
      <c r="FJ53" s="125"/>
      <c r="FK53" s="125"/>
      <c r="FL53" s="125"/>
      <c r="FM53" s="125"/>
      <c r="FN53" s="125"/>
      <c r="FO53" s="125"/>
      <c r="FP53" s="125"/>
      <c r="FQ53" s="125"/>
      <c r="FR53" s="125"/>
      <c r="FS53" s="125"/>
      <c r="FT53" s="125"/>
      <c r="FU53" s="125"/>
      <c r="FV53" s="125"/>
      <c r="FW53" s="125"/>
      <c r="FX53" s="125"/>
      <c r="FY53" s="125"/>
      <c r="FZ53" s="125"/>
      <c r="GA53" s="125"/>
      <c r="GB53" s="125"/>
      <c r="GC53" s="125"/>
      <c r="GD53" s="125"/>
      <c r="GE53" s="125"/>
      <c r="GF53" s="125"/>
      <c r="GG53" s="125"/>
      <c r="GH53" s="125"/>
      <c r="GI53" s="125"/>
      <c r="GJ53" s="125"/>
      <c r="GK53" s="125"/>
      <c r="GL53" s="125"/>
      <c r="GM53" s="125"/>
      <c r="GN53" s="125"/>
      <c r="GO53" s="125"/>
      <c r="GP53" s="125"/>
      <c r="GQ53" s="125"/>
      <c r="GR53" s="125"/>
      <c r="GS53" s="125"/>
      <c r="GT53" s="125"/>
      <c r="GU53" s="125"/>
      <c r="GV53" s="125"/>
      <c r="GW53" s="125"/>
      <c r="GX53" s="125"/>
      <c r="GY53" s="125"/>
      <c r="GZ53" s="125"/>
      <c r="HA53" s="125"/>
      <c r="HB53" s="125"/>
      <c r="HC53" s="125"/>
      <c r="HD53" s="125"/>
      <c r="HE53" s="125"/>
      <c r="HF53" s="125"/>
      <c r="HG53" s="125"/>
      <c r="HH53" s="125"/>
      <c r="HI53" s="125"/>
      <c r="HJ53" s="125"/>
      <c r="HK53" s="125"/>
      <c r="HL53" s="125"/>
      <c r="HM53" s="125"/>
      <c r="HN53" s="125"/>
      <c r="HO53" s="125"/>
      <c r="HP53" s="125"/>
      <c r="HQ53" s="125"/>
      <c r="HR53" s="125"/>
      <c r="HS53" s="125"/>
      <c r="HT53" s="125"/>
      <c r="HU53" s="125"/>
      <c r="HV53" s="125"/>
      <c r="HW53" s="125"/>
      <c r="HX53" s="125"/>
      <c r="HY53" s="125"/>
      <c r="HZ53" s="125"/>
      <c r="IA53" s="125"/>
      <c r="IB53" s="125"/>
      <c r="IC53" s="125"/>
      <c r="ID53" s="125"/>
      <c r="IE53" s="125"/>
      <c r="IF53" s="125"/>
      <c r="IG53" s="125"/>
      <c r="IH53" s="125"/>
      <c r="II53" s="125"/>
      <c r="IJ53" s="125"/>
      <c r="IK53" s="125"/>
      <c r="IL53" s="125"/>
      <c r="IM53" s="125"/>
      <c r="IN53" s="125"/>
      <c r="IO53" s="125"/>
      <c r="IP53" s="125"/>
      <c r="IQ53" s="125"/>
      <c r="IR53" s="125"/>
      <c r="IS53" s="125"/>
      <c r="IT53" s="125"/>
      <c r="IU53" s="125"/>
      <c r="IV53" s="125"/>
    </row>
    <row r="54" spans="1:256" ht="20.100000000000001" customHeight="1" x14ac:dyDescent="0.35">
      <c r="A54" s="1600">
        <v>48</v>
      </c>
      <c r="B54" s="125"/>
      <c r="C54" s="1607" t="s">
        <v>836</v>
      </c>
      <c r="D54" s="1614" t="s">
        <v>1335</v>
      </c>
      <c r="E54" s="1780"/>
      <c r="F54" s="1622"/>
      <c r="G54" s="2066"/>
      <c r="H54" s="1622"/>
      <c r="I54" s="125"/>
      <c r="J54" s="1616"/>
      <c r="K54" s="125"/>
      <c r="L54" s="1616"/>
      <c r="M54" s="125"/>
      <c r="N54" s="125"/>
      <c r="O54" s="125"/>
      <c r="P54" s="125"/>
      <c r="Q54" s="125"/>
      <c r="R54" s="125"/>
      <c r="S54" s="125"/>
      <c r="T54" s="125"/>
      <c r="U54" s="125"/>
      <c r="V54" s="125"/>
      <c r="W54" s="125"/>
      <c r="X54" s="125"/>
      <c r="Y54" s="125"/>
      <c r="Z54" s="125"/>
      <c r="AA54" s="125"/>
      <c r="AB54" s="125"/>
      <c r="AC54" s="125"/>
      <c r="AD54" s="125"/>
      <c r="AE54" s="125"/>
      <c r="AF54" s="125"/>
      <c r="AG54" s="125"/>
      <c r="AH54" s="125"/>
      <c r="AI54" s="125"/>
      <c r="AJ54" s="125"/>
      <c r="AK54" s="125"/>
      <c r="AL54" s="125"/>
      <c r="AM54" s="125"/>
      <c r="AN54" s="125"/>
      <c r="AO54" s="125"/>
      <c r="AP54" s="125"/>
      <c r="AQ54" s="125"/>
      <c r="AR54" s="125"/>
      <c r="AS54" s="125"/>
      <c r="AT54" s="125"/>
      <c r="AU54" s="125"/>
      <c r="AV54" s="125"/>
      <c r="AW54" s="125"/>
      <c r="AX54" s="125"/>
      <c r="AY54" s="125"/>
      <c r="AZ54" s="125"/>
      <c r="BA54" s="125"/>
      <c r="BB54" s="125"/>
      <c r="BC54" s="125"/>
      <c r="BD54" s="125"/>
      <c r="BE54" s="125"/>
      <c r="BF54" s="125"/>
      <c r="BG54" s="125"/>
      <c r="BH54" s="125"/>
      <c r="BI54" s="125"/>
      <c r="BJ54" s="125"/>
      <c r="BK54" s="125"/>
      <c r="BL54" s="125"/>
      <c r="BM54" s="125"/>
      <c r="BN54" s="125"/>
      <c r="BO54" s="125"/>
      <c r="BP54" s="125"/>
      <c r="BQ54" s="125"/>
      <c r="BR54" s="125"/>
      <c r="BS54" s="125"/>
      <c r="BT54" s="125"/>
      <c r="BU54" s="125"/>
      <c r="BV54" s="125"/>
      <c r="BW54" s="125"/>
      <c r="BX54" s="125"/>
      <c r="BY54" s="125"/>
      <c r="BZ54" s="125"/>
      <c r="CA54" s="125"/>
      <c r="CB54" s="125"/>
      <c r="CC54" s="125"/>
      <c r="CD54" s="125"/>
      <c r="CE54" s="125"/>
      <c r="CF54" s="125"/>
      <c r="CG54" s="125"/>
      <c r="CH54" s="125"/>
      <c r="CI54" s="125"/>
      <c r="CJ54" s="125"/>
      <c r="CK54" s="125"/>
      <c r="CL54" s="125"/>
      <c r="CM54" s="125"/>
      <c r="CN54" s="125"/>
      <c r="CO54" s="125"/>
      <c r="CP54" s="125"/>
      <c r="CQ54" s="125"/>
      <c r="CR54" s="125"/>
      <c r="CS54" s="125"/>
      <c r="CT54" s="125"/>
      <c r="CU54" s="125"/>
      <c r="CV54" s="125"/>
      <c r="CW54" s="125"/>
      <c r="CX54" s="125"/>
      <c r="CY54" s="125"/>
      <c r="CZ54" s="125"/>
      <c r="DA54" s="125"/>
      <c r="DB54" s="125"/>
      <c r="DC54" s="125"/>
      <c r="DD54" s="125"/>
      <c r="DE54" s="125"/>
      <c r="DF54" s="125"/>
      <c r="DG54" s="125"/>
      <c r="DH54" s="125"/>
      <c r="DI54" s="125"/>
      <c r="DJ54" s="125"/>
      <c r="DK54" s="125"/>
      <c r="DL54" s="125"/>
      <c r="DM54" s="125"/>
      <c r="DN54" s="125"/>
      <c r="DO54" s="125"/>
      <c r="DP54" s="125"/>
      <c r="DQ54" s="125"/>
      <c r="DR54" s="125"/>
      <c r="DS54" s="125"/>
      <c r="DT54" s="125"/>
      <c r="DU54" s="125"/>
      <c r="DV54" s="125"/>
      <c r="DW54" s="125"/>
      <c r="DX54" s="125"/>
      <c r="DY54" s="125"/>
      <c r="DZ54" s="125"/>
      <c r="EA54" s="125"/>
      <c r="EB54" s="125"/>
      <c r="EC54" s="125"/>
      <c r="ED54" s="125"/>
      <c r="EE54" s="125"/>
      <c r="EF54" s="125"/>
      <c r="EG54" s="125"/>
      <c r="EH54" s="125"/>
      <c r="EI54" s="125"/>
      <c r="EJ54" s="125"/>
      <c r="EK54" s="125"/>
      <c r="EL54" s="125"/>
      <c r="EM54" s="125"/>
      <c r="EN54" s="125"/>
      <c r="EO54" s="125"/>
      <c r="EP54" s="125"/>
      <c r="EQ54" s="125"/>
      <c r="ER54" s="125"/>
      <c r="ES54" s="125"/>
      <c r="ET54" s="125"/>
      <c r="EU54" s="125"/>
      <c r="EV54" s="125"/>
      <c r="EW54" s="125"/>
      <c r="EX54" s="125"/>
      <c r="EY54" s="125"/>
      <c r="EZ54" s="125"/>
      <c r="FA54" s="125"/>
      <c r="FB54" s="125"/>
      <c r="FC54" s="125"/>
      <c r="FD54" s="125"/>
      <c r="FE54" s="125"/>
      <c r="FF54" s="125"/>
      <c r="FG54" s="125"/>
      <c r="FH54" s="125"/>
      <c r="FI54" s="125"/>
      <c r="FJ54" s="125"/>
      <c r="FK54" s="125"/>
      <c r="FL54" s="125"/>
      <c r="FM54" s="125"/>
      <c r="FN54" s="125"/>
      <c r="FO54" s="125"/>
      <c r="FP54" s="125"/>
      <c r="FQ54" s="125"/>
      <c r="FR54" s="125"/>
      <c r="FS54" s="125"/>
      <c r="FT54" s="125"/>
      <c r="FU54" s="125"/>
      <c r="FV54" s="125"/>
      <c r="FW54" s="125"/>
      <c r="FX54" s="125"/>
      <c r="FY54" s="125"/>
      <c r="FZ54" s="125"/>
      <c r="GA54" s="125"/>
      <c r="GB54" s="125"/>
      <c r="GC54" s="125"/>
      <c r="GD54" s="125"/>
      <c r="GE54" s="125"/>
      <c r="GF54" s="125"/>
      <c r="GG54" s="125"/>
      <c r="GH54" s="125"/>
      <c r="GI54" s="125"/>
      <c r="GJ54" s="125"/>
      <c r="GK54" s="125"/>
      <c r="GL54" s="125"/>
      <c r="GM54" s="125"/>
      <c r="GN54" s="125"/>
      <c r="GO54" s="125"/>
      <c r="GP54" s="125"/>
      <c r="GQ54" s="125"/>
      <c r="GR54" s="125"/>
      <c r="GS54" s="125"/>
      <c r="GT54" s="125"/>
      <c r="GU54" s="125"/>
      <c r="GV54" s="125"/>
      <c r="GW54" s="125"/>
      <c r="GX54" s="125"/>
      <c r="GY54" s="125"/>
      <c r="GZ54" s="125"/>
      <c r="HA54" s="125"/>
      <c r="HB54" s="125"/>
      <c r="HC54" s="125"/>
      <c r="HD54" s="125"/>
      <c r="HE54" s="125"/>
      <c r="HF54" s="125"/>
      <c r="HG54" s="125"/>
      <c r="HH54" s="125"/>
      <c r="HI54" s="125"/>
      <c r="HJ54" s="125"/>
      <c r="HK54" s="125"/>
      <c r="HL54" s="125"/>
      <c r="HM54" s="125"/>
      <c r="HN54" s="125"/>
      <c r="HO54" s="125"/>
      <c r="HP54" s="125"/>
      <c r="HQ54" s="125"/>
      <c r="HR54" s="125"/>
      <c r="HS54" s="125"/>
      <c r="HT54" s="125"/>
      <c r="HU54" s="125"/>
      <c r="HV54" s="125"/>
      <c r="HW54" s="125"/>
      <c r="HX54" s="125"/>
      <c r="HY54" s="125"/>
      <c r="HZ54" s="125"/>
      <c r="IA54" s="125"/>
      <c r="IB54" s="125"/>
      <c r="IC54" s="125"/>
      <c r="ID54" s="125"/>
      <c r="IE54" s="125"/>
      <c r="IF54" s="125"/>
      <c r="IG54" s="125"/>
      <c r="IH54" s="125"/>
      <c r="II54" s="125"/>
      <c r="IJ54" s="125"/>
      <c r="IK54" s="125"/>
      <c r="IL54" s="125"/>
      <c r="IM54" s="125"/>
      <c r="IN54" s="125"/>
      <c r="IO54" s="125"/>
      <c r="IP54" s="125"/>
      <c r="IQ54" s="125"/>
      <c r="IR54" s="125"/>
      <c r="IS54" s="125"/>
      <c r="IT54" s="125"/>
      <c r="IU54" s="125"/>
      <c r="IV54" s="125"/>
    </row>
    <row r="55" spans="1:256" ht="20.100000000000001" customHeight="1" x14ac:dyDescent="0.35">
      <c r="A55" s="1600">
        <v>49</v>
      </c>
      <c r="B55" s="125"/>
      <c r="C55" s="1607"/>
      <c r="D55" s="1957" t="s">
        <v>1344</v>
      </c>
      <c r="E55" s="1780">
        <v>-152661</v>
      </c>
      <c r="F55" s="1622"/>
      <c r="G55" s="2066"/>
      <c r="H55" s="1622"/>
      <c r="I55" s="125"/>
      <c r="J55" s="1616"/>
      <c r="K55" s="125"/>
      <c r="L55" s="1616"/>
      <c r="M55" s="125"/>
      <c r="N55" s="125"/>
      <c r="O55" s="125"/>
      <c r="P55" s="125"/>
      <c r="Q55" s="125"/>
      <c r="R55" s="125"/>
      <c r="S55" s="125"/>
      <c r="T55" s="125"/>
      <c r="U55" s="125"/>
      <c r="V55" s="125"/>
      <c r="W55" s="125"/>
      <c r="X55" s="125"/>
      <c r="Y55" s="125"/>
      <c r="Z55" s="125"/>
      <c r="AA55" s="125"/>
      <c r="AB55" s="125"/>
      <c r="AC55" s="125"/>
      <c r="AD55" s="125"/>
      <c r="AE55" s="125"/>
      <c r="AF55" s="125"/>
      <c r="AG55" s="125"/>
      <c r="AH55" s="125"/>
      <c r="AI55" s="125"/>
      <c r="AJ55" s="125"/>
      <c r="AK55" s="125"/>
      <c r="AL55" s="125"/>
      <c r="AM55" s="125"/>
      <c r="AN55" s="125"/>
      <c r="AO55" s="125"/>
      <c r="AP55" s="125"/>
      <c r="AQ55" s="125"/>
      <c r="AR55" s="125"/>
      <c r="AS55" s="125"/>
      <c r="AT55" s="125"/>
      <c r="AU55" s="125"/>
      <c r="AV55" s="125"/>
      <c r="AW55" s="125"/>
      <c r="AX55" s="125"/>
      <c r="AY55" s="125"/>
      <c r="AZ55" s="125"/>
      <c r="BA55" s="125"/>
      <c r="BB55" s="125"/>
      <c r="BC55" s="125"/>
      <c r="BD55" s="125"/>
      <c r="BE55" s="125"/>
      <c r="BF55" s="125"/>
      <c r="BG55" s="125"/>
      <c r="BH55" s="125"/>
      <c r="BI55" s="125"/>
      <c r="BJ55" s="125"/>
      <c r="BK55" s="125"/>
      <c r="BL55" s="125"/>
      <c r="BM55" s="125"/>
      <c r="BN55" s="125"/>
      <c r="BO55" s="125"/>
      <c r="BP55" s="125"/>
      <c r="BQ55" s="125"/>
      <c r="BR55" s="125"/>
      <c r="BS55" s="125"/>
      <c r="BT55" s="125"/>
      <c r="BU55" s="125"/>
      <c r="BV55" s="125"/>
      <c r="BW55" s="125"/>
      <c r="BX55" s="125"/>
      <c r="BY55" s="125"/>
      <c r="BZ55" s="125"/>
      <c r="CA55" s="125"/>
      <c r="CB55" s="125"/>
      <c r="CC55" s="125"/>
      <c r="CD55" s="125"/>
      <c r="CE55" s="125"/>
      <c r="CF55" s="125"/>
      <c r="CG55" s="125"/>
      <c r="CH55" s="125"/>
      <c r="CI55" s="125"/>
      <c r="CJ55" s="125"/>
      <c r="CK55" s="125"/>
      <c r="CL55" s="125"/>
      <c r="CM55" s="125"/>
      <c r="CN55" s="125"/>
      <c r="CO55" s="125"/>
      <c r="CP55" s="125"/>
      <c r="CQ55" s="125"/>
      <c r="CR55" s="125"/>
      <c r="CS55" s="125"/>
      <c r="CT55" s="125"/>
      <c r="CU55" s="125"/>
      <c r="CV55" s="125"/>
      <c r="CW55" s="125"/>
      <c r="CX55" s="125"/>
      <c r="CY55" s="125"/>
      <c r="CZ55" s="125"/>
      <c r="DA55" s="125"/>
      <c r="DB55" s="125"/>
      <c r="DC55" s="125"/>
      <c r="DD55" s="125"/>
      <c r="DE55" s="125"/>
      <c r="DF55" s="125"/>
      <c r="DG55" s="125"/>
      <c r="DH55" s="125"/>
      <c r="DI55" s="125"/>
      <c r="DJ55" s="125"/>
      <c r="DK55" s="125"/>
      <c r="DL55" s="125"/>
      <c r="DM55" s="125"/>
      <c r="DN55" s="125"/>
      <c r="DO55" s="125"/>
      <c r="DP55" s="125"/>
      <c r="DQ55" s="125"/>
      <c r="DR55" s="125"/>
      <c r="DS55" s="125"/>
      <c r="DT55" s="125"/>
      <c r="DU55" s="125"/>
      <c r="DV55" s="125"/>
      <c r="DW55" s="125"/>
      <c r="DX55" s="125"/>
      <c r="DY55" s="125"/>
      <c r="DZ55" s="125"/>
      <c r="EA55" s="125"/>
      <c r="EB55" s="125"/>
      <c r="EC55" s="125"/>
      <c r="ED55" s="125"/>
      <c r="EE55" s="125"/>
      <c r="EF55" s="125"/>
      <c r="EG55" s="125"/>
      <c r="EH55" s="125"/>
      <c r="EI55" s="125"/>
      <c r="EJ55" s="125"/>
      <c r="EK55" s="125"/>
      <c r="EL55" s="125"/>
      <c r="EM55" s="125"/>
      <c r="EN55" s="125"/>
      <c r="EO55" s="125"/>
      <c r="EP55" s="125"/>
      <c r="EQ55" s="125"/>
      <c r="ER55" s="125"/>
      <c r="ES55" s="125"/>
      <c r="ET55" s="125"/>
      <c r="EU55" s="125"/>
      <c r="EV55" s="125"/>
      <c r="EW55" s="125"/>
      <c r="EX55" s="125"/>
      <c r="EY55" s="125"/>
      <c r="EZ55" s="125"/>
      <c r="FA55" s="125"/>
      <c r="FB55" s="125"/>
      <c r="FC55" s="125"/>
      <c r="FD55" s="125"/>
      <c r="FE55" s="125"/>
      <c r="FF55" s="125"/>
      <c r="FG55" s="125"/>
      <c r="FH55" s="125"/>
      <c r="FI55" s="125"/>
      <c r="FJ55" s="125"/>
      <c r="FK55" s="125"/>
      <c r="FL55" s="125"/>
      <c r="FM55" s="125"/>
      <c r="FN55" s="125"/>
      <c r="FO55" s="125"/>
      <c r="FP55" s="125"/>
      <c r="FQ55" s="125"/>
      <c r="FR55" s="125"/>
      <c r="FS55" s="125"/>
      <c r="FT55" s="125"/>
      <c r="FU55" s="125"/>
      <c r="FV55" s="125"/>
      <c r="FW55" s="125"/>
      <c r="FX55" s="125"/>
      <c r="FY55" s="125"/>
      <c r="FZ55" s="125"/>
      <c r="GA55" s="125"/>
      <c r="GB55" s="125"/>
      <c r="GC55" s="125"/>
      <c r="GD55" s="125"/>
      <c r="GE55" s="125"/>
      <c r="GF55" s="125"/>
      <c r="GG55" s="125"/>
      <c r="GH55" s="125"/>
      <c r="GI55" s="125"/>
      <c r="GJ55" s="125"/>
      <c r="GK55" s="125"/>
      <c r="GL55" s="125"/>
      <c r="GM55" s="125"/>
      <c r="GN55" s="125"/>
      <c r="GO55" s="125"/>
      <c r="GP55" s="125"/>
      <c r="GQ55" s="125"/>
      <c r="GR55" s="125"/>
      <c r="GS55" s="125"/>
      <c r="GT55" s="125"/>
      <c r="GU55" s="125"/>
      <c r="GV55" s="125"/>
      <c r="GW55" s="125"/>
      <c r="GX55" s="125"/>
      <c r="GY55" s="125"/>
      <c r="GZ55" s="125"/>
      <c r="HA55" s="125"/>
      <c r="HB55" s="125"/>
      <c r="HC55" s="125"/>
      <c r="HD55" s="125"/>
      <c r="HE55" s="125"/>
      <c r="HF55" s="125"/>
      <c r="HG55" s="125"/>
      <c r="HH55" s="125"/>
      <c r="HI55" s="125"/>
      <c r="HJ55" s="125"/>
      <c r="HK55" s="125"/>
      <c r="HL55" s="125"/>
      <c r="HM55" s="125"/>
      <c r="HN55" s="125"/>
      <c r="HO55" s="125"/>
      <c r="HP55" s="125"/>
      <c r="HQ55" s="125"/>
      <c r="HR55" s="125"/>
      <c r="HS55" s="125"/>
      <c r="HT55" s="125"/>
      <c r="HU55" s="125"/>
      <c r="HV55" s="125"/>
      <c r="HW55" s="125"/>
      <c r="HX55" s="125"/>
      <c r="HY55" s="125"/>
      <c r="HZ55" s="125"/>
      <c r="IA55" s="125"/>
      <c r="IB55" s="125"/>
      <c r="IC55" s="125"/>
      <c r="ID55" s="125"/>
      <c r="IE55" s="125"/>
      <c r="IF55" s="125"/>
      <c r="IG55" s="125"/>
      <c r="IH55" s="125"/>
      <c r="II55" s="125"/>
      <c r="IJ55" s="125"/>
      <c r="IK55" s="125"/>
      <c r="IL55" s="125"/>
      <c r="IM55" s="125"/>
      <c r="IN55" s="125"/>
      <c r="IO55" s="125"/>
      <c r="IP55" s="125"/>
      <c r="IQ55" s="125"/>
      <c r="IR55" s="125"/>
      <c r="IS55" s="125"/>
      <c r="IT55" s="125"/>
      <c r="IU55" s="125"/>
      <c r="IV55" s="125"/>
    </row>
    <row r="56" spans="1:256" ht="18" customHeight="1" x14ac:dyDescent="0.35">
      <c r="A56" s="1600">
        <v>50</v>
      </c>
      <c r="B56" s="125"/>
      <c r="C56" s="1607"/>
      <c r="D56" s="1614"/>
      <c r="E56" s="1780"/>
      <c r="F56" s="1622"/>
      <c r="G56" s="2066"/>
      <c r="H56" s="1622"/>
      <c r="I56" s="125"/>
      <c r="J56" s="1616"/>
      <c r="K56" s="125"/>
      <c r="L56" s="1616"/>
      <c r="M56" s="125"/>
      <c r="N56" s="125"/>
      <c r="O56" s="125"/>
      <c r="P56" s="125"/>
      <c r="Q56" s="125"/>
      <c r="R56" s="125"/>
      <c r="S56" s="125"/>
      <c r="T56" s="125"/>
      <c r="U56" s="125"/>
      <c r="V56" s="125"/>
      <c r="W56" s="125"/>
      <c r="X56" s="125"/>
      <c r="Y56" s="125"/>
      <c r="Z56" s="125"/>
      <c r="AA56" s="125"/>
      <c r="AB56" s="125"/>
      <c r="AC56" s="125"/>
      <c r="AD56" s="125"/>
      <c r="AE56" s="125"/>
      <c r="AF56" s="125"/>
      <c r="AG56" s="125"/>
      <c r="AH56" s="125"/>
      <c r="AI56" s="125"/>
      <c r="AJ56" s="125"/>
      <c r="AK56" s="125"/>
      <c r="AL56" s="125"/>
      <c r="AM56" s="125"/>
      <c r="AN56" s="125"/>
      <c r="AO56" s="125"/>
      <c r="AP56" s="125"/>
      <c r="AQ56" s="125"/>
      <c r="AR56" s="125"/>
      <c r="AS56" s="125"/>
      <c r="AT56" s="125"/>
      <c r="AU56" s="125"/>
      <c r="AV56" s="125"/>
      <c r="AW56" s="125"/>
      <c r="AX56" s="125"/>
      <c r="AY56" s="125"/>
      <c r="AZ56" s="125"/>
      <c r="BA56" s="125"/>
      <c r="BB56" s="125"/>
      <c r="BC56" s="125"/>
      <c r="BD56" s="125"/>
      <c r="BE56" s="125"/>
      <c r="BF56" s="125"/>
      <c r="BG56" s="125"/>
      <c r="BH56" s="125"/>
      <c r="BI56" s="125"/>
      <c r="BJ56" s="125"/>
      <c r="BK56" s="125"/>
      <c r="BL56" s="125"/>
      <c r="BM56" s="125"/>
      <c r="BN56" s="125"/>
      <c r="BO56" s="125"/>
      <c r="BP56" s="125"/>
      <c r="BQ56" s="125"/>
      <c r="BR56" s="125"/>
      <c r="BS56" s="125"/>
      <c r="BT56" s="125"/>
      <c r="BU56" s="125"/>
      <c r="BV56" s="125"/>
      <c r="BW56" s="125"/>
      <c r="BX56" s="125"/>
      <c r="BY56" s="125"/>
      <c r="BZ56" s="125"/>
      <c r="CA56" s="125"/>
      <c r="CB56" s="125"/>
      <c r="CC56" s="125"/>
      <c r="CD56" s="125"/>
      <c r="CE56" s="125"/>
      <c r="CF56" s="125"/>
      <c r="CG56" s="125"/>
      <c r="CH56" s="125"/>
      <c r="CI56" s="125"/>
      <c r="CJ56" s="125"/>
      <c r="CK56" s="125"/>
      <c r="CL56" s="125"/>
      <c r="CM56" s="125"/>
      <c r="CN56" s="125"/>
      <c r="CO56" s="125"/>
      <c r="CP56" s="125"/>
      <c r="CQ56" s="125"/>
      <c r="CR56" s="125"/>
      <c r="CS56" s="125"/>
      <c r="CT56" s="125"/>
      <c r="CU56" s="125"/>
      <c r="CV56" s="125"/>
      <c r="CW56" s="125"/>
      <c r="CX56" s="125"/>
      <c r="CY56" s="125"/>
      <c r="CZ56" s="125"/>
      <c r="DA56" s="125"/>
      <c r="DB56" s="125"/>
      <c r="DC56" s="125"/>
      <c r="DD56" s="125"/>
      <c r="DE56" s="125"/>
      <c r="DF56" s="125"/>
      <c r="DG56" s="125"/>
      <c r="DH56" s="125"/>
      <c r="DI56" s="125"/>
      <c r="DJ56" s="125"/>
      <c r="DK56" s="125"/>
      <c r="DL56" s="125"/>
      <c r="DM56" s="125"/>
      <c r="DN56" s="125"/>
      <c r="DO56" s="125"/>
      <c r="DP56" s="125"/>
      <c r="DQ56" s="125"/>
      <c r="DR56" s="125"/>
      <c r="DS56" s="125"/>
      <c r="DT56" s="125"/>
      <c r="DU56" s="125"/>
      <c r="DV56" s="125"/>
      <c r="DW56" s="125"/>
      <c r="DX56" s="125"/>
      <c r="DY56" s="125"/>
      <c r="DZ56" s="125"/>
      <c r="EA56" s="125"/>
      <c r="EB56" s="125"/>
      <c r="EC56" s="125"/>
      <c r="ED56" s="125"/>
      <c r="EE56" s="125"/>
      <c r="EF56" s="125"/>
      <c r="EG56" s="125"/>
      <c r="EH56" s="125"/>
      <c r="EI56" s="125"/>
      <c r="EJ56" s="125"/>
      <c r="EK56" s="125"/>
      <c r="EL56" s="125"/>
      <c r="EM56" s="125"/>
      <c r="EN56" s="125"/>
      <c r="EO56" s="125"/>
      <c r="EP56" s="125"/>
      <c r="EQ56" s="125"/>
      <c r="ER56" s="125"/>
      <c r="ES56" s="125"/>
      <c r="ET56" s="125"/>
      <c r="EU56" s="125"/>
      <c r="EV56" s="125"/>
      <c r="EW56" s="125"/>
      <c r="EX56" s="125"/>
      <c r="EY56" s="125"/>
      <c r="EZ56" s="125"/>
      <c r="FA56" s="125"/>
      <c r="FB56" s="125"/>
      <c r="FC56" s="125"/>
      <c r="FD56" s="125"/>
      <c r="FE56" s="125"/>
      <c r="FF56" s="125"/>
      <c r="FG56" s="125"/>
      <c r="FH56" s="125"/>
      <c r="FI56" s="125"/>
      <c r="FJ56" s="125"/>
      <c r="FK56" s="125"/>
      <c r="FL56" s="125"/>
      <c r="FM56" s="125"/>
      <c r="FN56" s="125"/>
      <c r="FO56" s="125"/>
      <c r="FP56" s="125"/>
      <c r="FQ56" s="125"/>
      <c r="FR56" s="125"/>
      <c r="FS56" s="125"/>
      <c r="FT56" s="125"/>
      <c r="FU56" s="125"/>
      <c r="FV56" s="125"/>
      <c r="FW56" s="125"/>
      <c r="FX56" s="125"/>
      <c r="FY56" s="125"/>
      <c r="FZ56" s="125"/>
      <c r="GA56" s="125"/>
      <c r="GB56" s="125"/>
      <c r="GC56" s="125"/>
      <c r="GD56" s="125"/>
      <c r="GE56" s="125"/>
      <c r="GF56" s="125"/>
      <c r="GG56" s="125"/>
      <c r="GH56" s="125"/>
      <c r="GI56" s="125"/>
      <c r="GJ56" s="125"/>
      <c r="GK56" s="125"/>
      <c r="GL56" s="125"/>
      <c r="GM56" s="125"/>
      <c r="GN56" s="125"/>
      <c r="GO56" s="125"/>
      <c r="GP56" s="125"/>
      <c r="GQ56" s="125"/>
      <c r="GR56" s="125"/>
      <c r="GS56" s="125"/>
      <c r="GT56" s="125"/>
      <c r="GU56" s="125"/>
      <c r="GV56" s="125"/>
      <c r="GW56" s="125"/>
      <c r="GX56" s="125"/>
      <c r="GY56" s="125"/>
      <c r="GZ56" s="125"/>
      <c r="HA56" s="125"/>
      <c r="HB56" s="125"/>
      <c r="HC56" s="125"/>
      <c r="HD56" s="125"/>
      <c r="HE56" s="125"/>
      <c r="HF56" s="125"/>
      <c r="HG56" s="125"/>
      <c r="HH56" s="125"/>
      <c r="HI56" s="125"/>
      <c r="HJ56" s="125"/>
      <c r="HK56" s="125"/>
      <c r="HL56" s="125"/>
      <c r="HM56" s="125"/>
      <c r="HN56" s="125"/>
      <c r="HO56" s="125"/>
      <c r="HP56" s="125"/>
      <c r="HQ56" s="125"/>
      <c r="HR56" s="125"/>
      <c r="HS56" s="125"/>
      <c r="HT56" s="125"/>
      <c r="HU56" s="125"/>
      <c r="HV56" s="125"/>
      <c r="HW56" s="125"/>
      <c r="HX56" s="125"/>
      <c r="HY56" s="125"/>
      <c r="HZ56" s="125"/>
      <c r="IA56" s="125"/>
      <c r="IB56" s="125"/>
      <c r="IC56" s="125"/>
      <c r="ID56" s="125"/>
      <c r="IE56" s="125"/>
      <c r="IF56" s="125"/>
      <c r="IG56" s="125"/>
      <c r="IH56" s="125"/>
      <c r="II56" s="125"/>
      <c r="IJ56" s="125"/>
      <c r="IK56" s="125"/>
      <c r="IL56" s="125"/>
      <c r="IM56" s="125"/>
      <c r="IN56" s="125"/>
      <c r="IO56" s="125"/>
      <c r="IP56" s="125"/>
      <c r="IQ56" s="125"/>
      <c r="IR56" s="125"/>
      <c r="IS56" s="125"/>
      <c r="IT56" s="125"/>
      <c r="IU56" s="125"/>
      <c r="IV56" s="125"/>
    </row>
    <row r="57" spans="1:256" ht="18" customHeight="1" x14ac:dyDescent="0.35">
      <c r="A57" s="1600">
        <v>51</v>
      </c>
      <c r="B57" s="125"/>
      <c r="C57" s="1607" t="s">
        <v>1206</v>
      </c>
      <c r="D57" s="1614" t="s">
        <v>197</v>
      </c>
      <c r="E57" s="1780"/>
      <c r="F57" s="1622"/>
      <c r="G57" s="2066"/>
      <c r="H57" s="1622"/>
      <c r="I57" s="125"/>
      <c r="J57" s="1616"/>
      <c r="K57" s="125"/>
      <c r="L57" s="1616"/>
      <c r="M57" s="125"/>
      <c r="N57" s="125"/>
      <c r="O57" s="125"/>
      <c r="P57" s="125"/>
      <c r="Q57" s="125"/>
      <c r="R57" s="125"/>
      <c r="S57" s="125"/>
      <c r="T57" s="125"/>
      <c r="U57" s="125"/>
      <c r="V57" s="125"/>
      <c r="W57" s="125"/>
      <c r="X57" s="125"/>
      <c r="Y57" s="125"/>
      <c r="Z57" s="125"/>
      <c r="AA57" s="125"/>
      <c r="AB57" s="125"/>
      <c r="AC57" s="125"/>
      <c r="AD57" s="125"/>
      <c r="AE57" s="125"/>
      <c r="AF57" s="125"/>
      <c r="AG57" s="125"/>
      <c r="AH57" s="125"/>
      <c r="AI57" s="125"/>
      <c r="AJ57" s="125"/>
      <c r="AK57" s="125"/>
      <c r="AL57" s="125"/>
      <c r="AM57" s="125"/>
      <c r="AN57" s="125"/>
      <c r="AO57" s="125"/>
      <c r="AP57" s="125"/>
      <c r="AQ57" s="125"/>
      <c r="AR57" s="125"/>
      <c r="AS57" s="125"/>
      <c r="AT57" s="125"/>
      <c r="AU57" s="125"/>
      <c r="AV57" s="125"/>
      <c r="AW57" s="125"/>
      <c r="AX57" s="125"/>
      <c r="AY57" s="125"/>
      <c r="AZ57" s="125"/>
      <c r="BA57" s="125"/>
      <c r="BB57" s="125"/>
      <c r="BC57" s="125"/>
      <c r="BD57" s="125"/>
      <c r="BE57" s="125"/>
      <c r="BF57" s="125"/>
      <c r="BG57" s="125"/>
      <c r="BH57" s="125"/>
      <c r="BI57" s="125"/>
      <c r="BJ57" s="125"/>
      <c r="BK57" s="125"/>
      <c r="BL57" s="125"/>
      <c r="BM57" s="125"/>
      <c r="BN57" s="125"/>
      <c r="BO57" s="125"/>
      <c r="BP57" s="125"/>
      <c r="BQ57" s="125"/>
      <c r="BR57" s="125"/>
      <c r="BS57" s="125"/>
      <c r="BT57" s="125"/>
      <c r="BU57" s="125"/>
      <c r="BV57" s="125"/>
      <c r="BW57" s="125"/>
      <c r="BX57" s="125"/>
      <c r="BY57" s="125"/>
      <c r="BZ57" s="125"/>
      <c r="CA57" s="125"/>
      <c r="CB57" s="125"/>
      <c r="CC57" s="125"/>
      <c r="CD57" s="125"/>
      <c r="CE57" s="125"/>
      <c r="CF57" s="125"/>
      <c r="CG57" s="125"/>
      <c r="CH57" s="125"/>
      <c r="CI57" s="125"/>
      <c r="CJ57" s="125"/>
      <c r="CK57" s="125"/>
      <c r="CL57" s="125"/>
      <c r="CM57" s="125"/>
      <c r="CN57" s="125"/>
      <c r="CO57" s="125"/>
      <c r="CP57" s="125"/>
      <c r="CQ57" s="125"/>
      <c r="CR57" s="125"/>
      <c r="CS57" s="125"/>
      <c r="CT57" s="125"/>
      <c r="CU57" s="125"/>
      <c r="CV57" s="125"/>
      <c r="CW57" s="125"/>
      <c r="CX57" s="125"/>
      <c r="CY57" s="125"/>
      <c r="CZ57" s="125"/>
      <c r="DA57" s="125"/>
      <c r="DB57" s="125"/>
      <c r="DC57" s="125"/>
      <c r="DD57" s="125"/>
      <c r="DE57" s="125"/>
      <c r="DF57" s="125"/>
      <c r="DG57" s="125"/>
      <c r="DH57" s="125"/>
      <c r="DI57" s="125"/>
      <c r="DJ57" s="125"/>
      <c r="DK57" s="125"/>
      <c r="DL57" s="125"/>
      <c r="DM57" s="125"/>
      <c r="DN57" s="125"/>
      <c r="DO57" s="125"/>
      <c r="DP57" s="125"/>
      <c r="DQ57" s="125"/>
      <c r="DR57" s="125"/>
      <c r="DS57" s="125"/>
      <c r="DT57" s="125"/>
      <c r="DU57" s="125"/>
      <c r="DV57" s="125"/>
      <c r="DW57" s="125"/>
      <c r="DX57" s="125"/>
      <c r="DY57" s="125"/>
      <c r="DZ57" s="125"/>
      <c r="EA57" s="125"/>
      <c r="EB57" s="125"/>
      <c r="EC57" s="125"/>
      <c r="ED57" s="125"/>
      <c r="EE57" s="125"/>
      <c r="EF57" s="125"/>
      <c r="EG57" s="125"/>
      <c r="EH57" s="125"/>
      <c r="EI57" s="125"/>
      <c r="EJ57" s="125"/>
      <c r="EK57" s="125"/>
      <c r="EL57" s="125"/>
      <c r="EM57" s="125"/>
      <c r="EN57" s="125"/>
      <c r="EO57" s="125"/>
      <c r="EP57" s="125"/>
      <c r="EQ57" s="125"/>
      <c r="ER57" s="125"/>
      <c r="ES57" s="125"/>
      <c r="ET57" s="125"/>
      <c r="EU57" s="125"/>
      <c r="EV57" s="125"/>
      <c r="EW57" s="125"/>
      <c r="EX57" s="125"/>
      <c r="EY57" s="125"/>
      <c r="EZ57" s="125"/>
      <c r="FA57" s="125"/>
      <c r="FB57" s="125"/>
      <c r="FC57" s="125"/>
      <c r="FD57" s="125"/>
      <c r="FE57" s="125"/>
      <c r="FF57" s="125"/>
      <c r="FG57" s="125"/>
      <c r="FH57" s="125"/>
      <c r="FI57" s="125"/>
      <c r="FJ57" s="125"/>
      <c r="FK57" s="125"/>
      <c r="FL57" s="125"/>
      <c r="FM57" s="125"/>
      <c r="FN57" s="125"/>
      <c r="FO57" s="125"/>
      <c r="FP57" s="125"/>
      <c r="FQ57" s="125"/>
      <c r="FR57" s="125"/>
      <c r="FS57" s="125"/>
      <c r="FT57" s="125"/>
      <c r="FU57" s="125"/>
      <c r="FV57" s="125"/>
      <c r="FW57" s="125"/>
      <c r="FX57" s="125"/>
      <c r="FY57" s="125"/>
      <c r="FZ57" s="125"/>
      <c r="GA57" s="125"/>
      <c r="GB57" s="125"/>
      <c r="GC57" s="125"/>
      <c r="GD57" s="125"/>
      <c r="GE57" s="125"/>
      <c r="GF57" s="125"/>
      <c r="GG57" s="125"/>
      <c r="GH57" s="125"/>
      <c r="GI57" s="125"/>
      <c r="GJ57" s="125"/>
      <c r="GK57" s="125"/>
      <c r="GL57" s="125"/>
      <c r="GM57" s="125"/>
      <c r="GN57" s="125"/>
      <c r="GO57" s="125"/>
      <c r="GP57" s="125"/>
      <c r="GQ57" s="125"/>
      <c r="GR57" s="125"/>
      <c r="GS57" s="125"/>
      <c r="GT57" s="125"/>
      <c r="GU57" s="125"/>
      <c r="GV57" s="125"/>
      <c r="GW57" s="125"/>
      <c r="GX57" s="125"/>
      <c r="GY57" s="125"/>
      <c r="GZ57" s="125"/>
      <c r="HA57" s="125"/>
      <c r="HB57" s="125"/>
      <c r="HC57" s="125"/>
      <c r="HD57" s="125"/>
      <c r="HE57" s="125"/>
      <c r="HF57" s="125"/>
      <c r="HG57" s="125"/>
      <c r="HH57" s="125"/>
      <c r="HI57" s="125"/>
      <c r="HJ57" s="125"/>
      <c r="HK57" s="125"/>
      <c r="HL57" s="125"/>
      <c r="HM57" s="125"/>
      <c r="HN57" s="125"/>
      <c r="HO57" s="125"/>
      <c r="HP57" s="125"/>
      <c r="HQ57" s="125"/>
      <c r="HR57" s="125"/>
      <c r="HS57" s="125"/>
      <c r="HT57" s="125"/>
      <c r="HU57" s="125"/>
      <c r="HV57" s="125"/>
      <c r="HW57" s="125"/>
      <c r="HX57" s="125"/>
      <c r="HY57" s="125"/>
      <c r="HZ57" s="125"/>
      <c r="IA57" s="125"/>
      <c r="IB57" s="125"/>
      <c r="IC57" s="125"/>
      <c r="ID57" s="125"/>
      <c r="IE57" s="125"/>
      <c r="IF57" s="125"/>
      <c r="IG57" s="125"/>
      <c r="IH57" s="125"/>
      <c r="II57" s="125"/>
      <c r="IJ57" s="125"/>
      <c r="IK57" s="125"/>
      <c r="IL57" s="125"/>
      <c r="IM57" s="125"/>
      <c r="IN57" s="125"/>
      <c r="IO57" s="125"/>
      <c r="IP57" s="125"/>
      <c r="IQ57" s="125"/>
      <c r="IR57" s="125"/>
      <c r="IS57" s="125"/>
      <c r="IT57" s="125"/>
      <c r="IU57" s="125"/>
      <c r="IV57" s="125"/>
    </row>
    <row r="58" spans="1:256" ht="18" customHeight="1" x14ac:dyDescent="0.3">
      <c r="A58" s="1600">
        <v>52</v>
      </c>
      <c r="B58" s="125"/>
      <c r="D58" s="1957" t="s">
        <v>263</v>
      </c>
      <c r="E58" s="1780">
        <v>328363</v>
      </c>
      <c r="F58" s="1620"/>
      <c r="G58" s="2066"/>
      <c r="I58" s="125"/>
      <c r="J58" s="1620"/>
      <c r="K58" s="125"/>
      <c r="L58" s="1616"/>
      <c r="M58" s="125"/>
      <c r="N58" s="125"/>
      <c r="O58" s="125"/>
      <c r="P58" s="125"/>
      <c r="Q58" s="125"/>
      <c r="R58" s="125"/>
      <c r="S58" s="125"/>
      <c r="T58" s="125"/>
      <c r="U58" s="125"/>
      <c r="V58" s="125"/>
      <c r="W58" s="125"/>
      <c r="X58" s="125"/>
      <c r="Y58" s="125"/>
      <c r="Z58" s="125"/>
      <c r="AA58" s="125"/>
      <c r="AB58" s="125"/>
      <c r="AC58" s="125"/>
      <c r="AD58" s="125"/>
      <c r="AE58" s="125"/>
      <c r="AF58" s="125"/>
      <c r="AG58" s="125"/>
      <c r="AH58" s="125"/>
      <c r="AI58" s="125"/>
      <c r="AJ58" s="125"/>
      <c r="AK58" s="125"/>
      <c r="AL58" s="125"/>
      <c r="AM58" s="125"/>
      <c r="AN58" s="125"/>
      <c r="AO58" s="125"/>
      <c r="AP58" s="125"/>
      <c r="AQ58" s="125"/>
      <c r="AR58" s="125"/>
      <c r="AS58" s="125"/>
      <c r="AT58" s="125"/>
      <c r="AU58" s="125"/>
      <c r="AV58" s="125"/>
      <c r="AW58" s="125"/>
      <c r="AX58" s="125"/>
      <c r="AY58" s="125"/>
      <c r="AZ58" s="125"/>
      <c r="BA58" s="125"/>
      <c r="BB58" s="125"/>
      <c r="BC58" s="125"/>
      <c r="BD58" s="125"/>
      <c r="BE58" s="125"/>
      <c r="BF58" s="125"/>
      <c r="BG58" s="125"/>
      <c r="BH58" s="125"/>
      <c r="BI58" s="125"/>
      <c r="BJ58" s="125"/>
      <c r="BK58" s="125"/>
      <c r="BL58" s="125"/>
      <c r="BM58" s="125"/>
      <c r="BN58" s="125"/>
      <c r="BO58" s="125"/>
      <c r="BP58" s="125"/>
      <c r="BQ58" s="125"/>
      <c r="BR58" s="125"/>
      <c r="BS58" s="125"/>
      <c r="BT58" s="125"/>
      <c r="BU58" s="125"/>
      <c r="BV58" s="125"/>
      <c r="BW58" s="125"/>
      <c r="BX58" s="125"/>
      <c r="BY58" s="125"/>
      <c r="BZ58" s="125"/>
      <c r="CA58" s="125"/>
      <c r="CB58" s="125"/>
      <c r="CC58" s="125"/>
      <c r="CD58" s="125"/>
      <c r="CE58" s="125"/>
      <c r="CF58" s="125"/>
      <c r="CG58" s="125"/>
      <c r="CH58" s="125"/>
      <c r="CI58" s="125"/>
      <c r="CJ58" s="125"/>
      <c r="CK58" s="125"/>
      <c r="CL58" s="125"/>
      <c r="CM58" s="125"/>
      <c r="CN58" s="125"/>
      <c r="CO58" s="125"/>
      <c r="CP58" s="125"/>
      <c r="CQ58" s="125"/>
      <c r="CR58" s="125"/>
      <c r="CS58" s="125"/>
      <c r="CT58" s="125"/>
      <c r="CU58" s="125"/>
      <c r="CV58" s="125"/>
      <c r="CW58" s="125"/>
      <c r="CX58" s="125"/>
      <c r="CY58" s="125"/>
      <c r="CZ58" s="125"/>
      <c r="DA58" s="125"/>
      <c r="DB58" s="125"/>
      <c r="DC58" s="125"/>
      <c r="DD58" s="125"/>
      <c r="DE58" s="125"/>
      <c r="DF58" s="125"/>
      <c r="DG58" s="125"/>
      <c r="DH58" s="125"/>
      <c r="DI58" s="125"/>
      <c r="DJ58" s="125"/>
      <c r="DK58" s="125"/>
      <c r="DL58" s="125"/>
      <c r="DM58" s="125"/>
      <c r="DN58" s="125"/>
      <c r="DO58" s="125"/>
      <c r="DP58" s="125"/>
      <c r="DQ58" s="125"/>
      <c r="DR58" s="125"/>
      <c r="DS58" s="125"/>
      <c r="DT58" s="125"/>
      <c r="DU58" s="125"/>
      <c r="DV58" s="125"/>
      <c r="DW58" s="125"/>
      <c r="DX58" s="125"/>
      <c r="DY58" s="125"/>
      <c r="DZ58" s="125"/>
      <c r="EA58" s="125"/>
      <c r="EB58" s="125"/>
      <c r="EC58" s="125"/>
      <c r="ED58" s="125"/>
      <c r="EE58" s="125"/>
      <c r="EF58" s="125"/>
      <c r="EG58" s="125"/>
      <c r="EH58" s="125"/>
      <c r="EI58" s="125"/>
      <c r="EJ58" s="125"/>
      <c r="EK58" s="125"/>
      <c r="EL58" s="125"/>
      <c r="EM58" s="125"/>
      <c r="EN58" s="125"/>
      <c r="EO58" s="125"/>
      <c r="EP58" s="125"/>
      <c r="EQ58" s="125"/>
      <c r="ER58" s="125"/>
      <c r="ES58" s="125"/>
      <c r="ET58" s="125"/>
      <c r="EU58" s="125"/>
      <c r="EV58" s="125"/>
      <c r="EW58" s="125"/>
      <c r="EX58" s="125"/>
      <c r="EY58" s="125"/>
      <c r="EZ58" s="125"/>
      <c r="FA58" s="125"/>
      <c r="FB58" s="125"/>
      <c r="FC58" s="125"/>
      <c r="FD58" s="125"/>
      <c r="FE58" s="125"/>
      <c r="FF58" s="125"/>
      <c r="FG58" s="125"/>
      <c r="FH58" s="125"/>
      <c r="FI58" s="125"/>
      <c r="FJ58" s="125"/>
      <c r="FK58" s="125"/>
      <c r="FL58" s="125"/>
      <c r="FM58" s="125"/>
      <c r="FN58" s="125"/>
      <c r="FO58" s="125"/>
      <c r="FP58" s="125"/>
      <c r="FQ58" s="125"/>
      <c r="FR58" s="125"/>
      <c r="FS58" s="125"/>
      <c r="FT58" s="125"/>
      <c r="FU58" s="125"/>
      <c r="FV58" s="125"/>
      <c r="FW58" s="125"/>
      <c r="FX58" s="125"/>
      <c r="FY58" s="125"/>
      <c r="FZ58" s="125"/>
      <c r="GA58" s="125"/>
      <c r="GB58" s="125"/>
      <c r="GC58" s="125"/>
      <c r="GD58" s="125"/>
      <c r="GE58" s="125"/>
      <c r="GF58" s="125"/>
      <c r="GG58" s="125"/>
      <c r="GH58" s="125"/>
      <c r="GI58" s="125"/>
      <c r="GJ58" s="125"/>
      <c r="GK58" s="125"/>
      <c r="GL58" s="125"/>
      <c r="GM58" s="125"/>
      <c r="GN58" s="125"/>
      <c r="GO58" s="125"/>
      <c r="GP58" s="125"/>
      <c r="GQ58" s="125"/>
      <c r="GR58" s="125"/>
      <c r="GS58" s="125"/>
      <c r="GT58" s="125"/>
      <c r="GU58" s="125"/>
      <c r="GV58" s="125"/>
      <c r="GW58" s="125"/>
      <c r="GX58" s="125"/>
      <c r="GY58" s="125"/>
      <c r="GZ58" s="125"/>
      <c r="HA58" s="125"/>
      <c r="HB58" s="125"/>
      <c r="HC58" s="125"/>
      <c r="HD58" s="125"/>
      <c r="HE58" s="125"/>
      <c r="HF58" s="125"/>
      <c r="HG58" s="125"/>
      <c r="HH58" s="125"/>
      <c r="HI58" s="125"/>
      <c r="HJ58" s="125"/>
      <c r="HK58" s="125"/>
      <c r="HL58" s="125"/>
      <c r="HM58" s="125"/>
      <c r="HN58" s="125"/>
      <c r="HO58" s="125"/>
      <c r="HP58" s="125"/>
      <c r="HQ58" s="125"/>
      <c r="HR58" s="125"/>
      <c r="HS58" s="125"/>
      <c r="HT58" s="125"/>
      <c r="HU58" s="125"/>
      <c r="HV58" s="125"/>
      <c r="HW58" s="125"/>
      <c r="HX58" s="125"/>
      <c r="HY58" s="125"/>
      <c r="HZ58" s="125"/>
      <c r="IA58" s="125"/>
      <c r="IB58" s="125"/>
      <c r="IC58" s="125"/>
      <c r="ID58" s="125"/>
      <c r="IE58" s="125"/>
      <c r="IF58" s="125"/>
      <c r="IG58" s="125"/>
      <c r="IH58" s="125"/>
      <c r="II58" s="125"/>
      <c r="IJ58" s="125"/>
      <c r="IK58" s="125"/>
      <c r="IL58" s="125"/>
      <c r="IM58" s="125"/>
      <c r="IN58" s="125"/>
      <c r="IO58" s="125"/>
      <c r="IP58" s="125"/>
      <c r="IQ58" s="125"/>
      <c r="IR58" s="125"/>
      <c r="IS58" s="125"/>
      <c r="IT58" s="125"/>
      <c r="IU58" s="125"/>
      <c r="IV58" s="125"/>
    </row>
    <row r="59" spans="1:256" ht="18" customHeight="1" x14ac:dyDescent="0.3">
      <c r="A59" s="1600">
        <v>53</v>
      </c>
      <c r="B59" s="125"/>
      <c r="D59" s="1957" t="s">
        <v>1338</v>
      </c>
      <c r="E59" s="1780"/>
      <c r="F59" s="1620"/>
      <c r="G59" s="2066"/>
      <c r="I59" s="125"/>
      <c r="J59" s="1620"/>
      <c r="K59" s="125"/>
      <c r="L59" s="1616"/>
      <c r="M59" s="125"/>
      <c r="N59" s="125"/>
      <c r="O59" s="125"/>
      <c r="P59" s="125"/>
      <c r="Q59" s="125"/>
      <c r="R59" s="125"/>
      <c r="S59" s="125"/>
      <c r="T59" s="125"/>
      <c r="U59" s="125"/>
      <c r="V59" s="125"/>
      <c r="W59" s="125"/>
      <c r="X59" s="125"/>
      <c r="Y59" s="125"/>
      <c r="Z59" s="125"/>
      <c r="AA59" s="125"/>
      <c r="AB59" s="125"/>
      <c r="AC59" s="125"/>
      <c r="AD59" s="125"/>
      <c r="AE59" s="125"/>
      <c r="AF59" s="125"/>
      <c r="AG59" s="125"/>
      <c r="AH59" s="125"/>
      <c r="AI59" s="125"/>
      <c r="AJ59" s="125"/>
      <c r="AK59" s="125"/>
      <c r="AL59" s="125"/>
      <c r="AM59" s="125"/>
      <c r="AN59" s="125"/>
      <c r="AO59" s="125"/>
      <c r="AP59" s="125"/>
      <c r="AQ59" s="125"/>
      <c r="AR59" s="125"/>
      <c r="AS59" s="125"/>
      <c r="AT59" s="125"/>
      <c r="AU59" s="125"/>
      <c r="AV59" s="125"/>
      <c r="AW59" s="125"/>
      <c r="AX59" s="125"/>
      <c r="AY59" s="125"/>
      <c r="AZ59" s="125"/>
      <c r="BA59" s="125"/>
      <c r="BB59" s="125"/>
      <c r="BC59" s="125"/>
      <c r="BD59" s="125"/>
      <c r="BE59" s="125"/>
      <c r="BF59" s="125"/>
      <c r="BG59" s="125"/>
      <c r="BH59" s="125"/>
      <c r="BI59" s="125"/>
      <c r="BJ59" s="125"/>
      <c r="BK59" s="125"/>
      <c r="BL59" s="125"/>
      <c r="BM59" s="125"/>
      <c r="BN59" s="125"/>
      <c r="BO59" s="125"/>
      <c r="BP59" s="125"/>
      <c r="BQ59" s="125"/>
      <c r="BR59" s="125"/>
      <c r="BS59" s="125"/>
      <c r="BT59" s="125"/>
      <c r="BU59" s="125"/>
      <c r="BV59" s="125"/>
      <c r="BW59" s="125"/>
      <c r="BX59" s="125"/>
      <c r="BY59" s="125"/>
      <c r="BZ59" s="125"/>
      <c r="CA59" s="125"/>
      <c r="CB59" s="125"/>
      <c r="CC59" s="125"/>
      <c r="CD59" s="125"/>
      <c r="CE59" s="125"/>
      <c r="CF59" s="125"/>
      <c r="CG59" s="125"/>
      <c r="CH59" s="125"/>
      <c r="CI59" s="125"/>
      <c r="CJ59" s="125"/>
      <c r="CK59" s="125"/>
      <c r="CL59" s="125"/>
      <c r="CM59" s="125"/>
      <c r="CN59" s="125"/>
      <c r="CO59" s="125"/>
      <c r="CP59" s="125"/>
      <c r="CQ59" s="125"/>
      <c r="CR59" s="125"/>
      <c r="CS59" s="125"/>
      <c r="CT59" s="125"/>
      <c r="CU59" s="125"/>
      <c r="CV59" s="125"/>
      <c r="CW59" s="125"/>
      <c r="CX59" s="125"/>
      <c r="CY59" s="125"/>
      <c r="CZ59" s="125"/>
      <c r="DA59" s="125"/>
      <c r="DB59" s="125"/>
      <c r="DC59" s="125"/>
      <c r="DD59" s="125"/>
      <c r="DE59" s="125"/>
      <c r="DF59" s="125"/>
      <c r="DG59" s="125"/>
      <c r="DH59" s="125"/>
      <c r="DI59" s="125"/>
      <c r="DJ59" s="125"/>
      <c r="DK59" s="125"/>
      <c r="DL59" s="125"/>
      <c r="DM59" s="125"/>
      <c r="DN59" s="125"/>
      <c r="DO59" s="125"/>
      <c r="DP59" s="125"/>
      <c r="DQ59" s="125"/>
      <c r="DR59" s="125"/>
      <c r="DS59" s="125"/>
      <c r="DT59" s="125"/>
      <c r="DU59" s="125"/>
      <c r="DV59" s="125"/>
      <c r="DW59" s="125"/>
      <c r="DX59" s="125"/>
      <c r="DY59" s="125"/>
      <c r="DZ59" s="125"/>
      <c r="EA59" s="125"/>
      <c r="EB59" s="125"/>
      <c r="EC59" s="125"/>
      <c r="ED59" s="125"/>
      <c r="EE59" s="125"/>
      <c r="EF59" s="125"/>
      <c r="EG59" s="125"/>
      <c r="EH59" s="125"/>
      <c r="EI59" s="125"/>
      <c r="EJ59" s="125"/>
      <c r="EK59" s="125"/>
      <c r="EL59" s="125"/>
      <c r="EM59" s="125"/>
      <c r="EN59" s="125"/>
      <c r="EO59" s="125"/>
      <c r="EP59" s="125"/>
      <c r="EQ59" s="125"/>
      <c r="ER59" s="125"/>
      <c r="ES59" s="125"/>
      <c r="ET59" s="125"/>
      <c r="EU59" s="125"/>
      <c r="EV59" s="125"/>
      <c r="EW59" s="125"/>
      <c r="EX59" s="125"/>
      <c r="EY59" s="125"/>
      <c r="EZ59" s="125"/>
      <c r="FA59" s="125"/>
      <c r="FB59" s="125"/>
      <c r="FC59" s="125"/>
      <c r="FD59" s="125"/>
      <c r="FE59" s="125"/>
      <c r="FF59" s="125"/>
      <c r="FG59" s="125"/>
      <c r="FH59" s="125"/>
      <c r="FI59" s="125"/>
      <c r="FJ59" s="125"/>
      <c r="FK59" s="125"/>
      <c r="FL59" s="125"/>
      <c r="FM59" s="125"/>
      <c r="FN59" s="125"/>
      <c r="FO59" s="125"/>
      <c r="FP59" s="125"/>
      <c r="FQ59" s="125"/>
      <c r="FR59" s="125"/>
      <c r="FS59" s="125"/>
      <c r="FT59" s="125"/>
      <c r="FU59" s="125"/>
      <c r="FV59" s="125"/>
      <c r="FW59" s="125"/>
      <c r="FX59" s="125"/>
      <c r="FY59" s="125"/>
      <c r="FZ59" s="125"/>
      <c r="GA59" s="125"/>
      <c r="GB59" s="125"/>
      <c r="GC59" s="125"/>
      <c r="GD59" s="125"/>
      <c r="GE59" s="125"/>
      <c r="GF59" s="125"/>
      <c r="GG59" s="125"/>
      <c r="GH59" s="125"/>
      <c r="GI59" s="125"/>
      <c r="GJ59" s="125"/>
      <c r="GK59" s="125"/>
      <c r="GL59" s="125"/>
      <c r="GM59" s="125"/>
      <c r="GN59" s="125"/>
      <c r="GO59" s="125"/>
      <c r="GP59" s="125"/>
      <c r="GQ59" s="125"/>
      <c r="GR59" s="125"/>
      <c r="GS59" s="125"/>
      <c r="GT59" s="125"/>
      <c r="GU59" s="125"/>
      <c r="GV59" s="125"/>
      <c r="GW59" s="125"/>
      <c r="GX59" s="125"/>
      <c r="GY59" s="125"/>
      <c r="GZ59" s="125"/>
      <c r="HA59" s="125"/>
      <c r="HB59" s="125"/>
      <c r="HC59" s="125"/>
      <c r="HD59" s="125"/>
      <c r="HE59" s="125"/>
      <c r="HF59" s="125"/>
      <c r="HG59" s="125"/>
      <c r="HH59" s="125"/>
      <c r="HI59" s="125"/>
      <c r="HJ59" s="125"/>
      <c r="HK59" s="125"/>
      <c r="HL59" s="125"/>
      <c r="HM59" s="125"/>
      <c r="HN59" s="125"/>
      <c r="HO59" s="125"/>
      <c r="HP59" s="125"/>
      <c r="HQ59" s="125"/>
      <c r="HR59" s="125"/>
      <c r="HS59" s="125"/>
      <c r="HT59" s="125"/>
      <c r="HU59" s="125"/>
      <c r="HV59" s="125"/>
      <c r="HW59" s="125"/>
      <c r="HX59" s="125"/>
      <c r="HY59" s="125"/>
      <c r="HZ59" s="125"/>
      <c r="IA59" s="125"/>
      <c r="IB59" s="125"/>
      <c r="IC59" s="125"/>
      <c r="ID59" s="125"/>
      <c r="IE59" s="125"/>
      <c r="IF59" s="125"/>
      <c r="IG59" s="125"/>
      <c r="IH59" s="125"/>
      <c r="II59" s="125"/>
      <c r="IJ59" s="125"/>
      <c r="IK59" s="125"/>
      <c r="IL59" s="125"/>
      <c r="IM59" s="125"/>
      <c r="IN59" s="125"/>
      <c r="IO59" s="125"/>
      <c r="IP59" s="125"/>
      <c r="IQ59" s="125"/>
      <c r="IR59" s="125"/>
      <c r="IS59" s="125"/>
      <c r="IT59" s="125"/>
      <c r="IU59" s="125"/>
      <c r="IV59" s="125"/>
    </row>
    <row r="60" spans="1:256" ht="18" customHeight="1" x14ac:dyDescent="0.35">
      <c r="A60" s="1600">
        <v>54</v>
      </c>
      <c r="B60" s="125"/>
      <c r="D60" s="1985" t="s">
        <v>198</v>
      </c>
      <c r="E60" s="1780">
        <v>525</v>
      </c>
      <c r="F60" s="1620"/>
      <c r="G60" s="2066"/>
      <c r="I60" s="125"/>
      <c r="J60" s="1620"/>
      <c r="K60" s="125"/>
      <c r="L60" s="1616"/>
      <c r="M60" s="125"/>
      <c r="N60" s="125"/>
      <c r="O60" s="125"/>
      <c r="P60" s="125"/>
      <c r="Q60" s="125"/>
      <c r="R60" s="125"/>
      <c r="S60" s="125"/>
      <c r="T60" s="125"/>
      <c r="U60" s="125"/>
      <c r="V60" s="125"/>
      <c r="W60" s="125"/>
      <c r="X60" s="125"/>
      <c r="Y60" s="125"/>
      <c r="Z60" s="125"/>
      <c r="AA60" s="125"/>
      <c r="AB60" s="125"/>
      <c r="AC60" s="125"/>
      <c r="AD60" s="125"/>
      <c r="AE60" s="125"/>
      <c r="AF60" s="125"/>
      <c r="AG60" s="125"/>
      <c r="AH60" s="125"/>
      <c r="AI60" s="125"/>
      <c r="AJ60" s="125"/>
      <c r="AK60" s="125"/>
      <c r="AL60" s="125"/>
      <c r="AM60" s="125"/>
      <c r="AN60" s="125"/>
      <c r="AO60" s="125"/>
      <c r="AP60" s="125"/>
      <c r="AQ60" s="125"/>
      <c r="AR60" s="125"/>
      <c r="AS60" s="125"/>
      <c r="AT60" s="125"/>
      <c r="AU60" s="125"/>
      <c r="AV60" s="125"/>
      <c r="AW60" s="125"/>
      <c r="AX60" s="125"/>
      <c r="AY60" s="125"/>
      <c r="AZ60" s="125"/>
      <c r="BA60" s="125"/>
      <c r="BB60" s="125"/>
      <c r="BC60" s="125"/>
      <c r="BD60" s="125"/>
      <c r="BE60" s="125"/>
      <c r="BF60" s="125"/>
      <c r="BG60" s="125"/>
      <c r="BH60" s="125"/>
      <c r="BI60" s="125"/>
      <c r="BJ60" s="125"/>
      <c r="BK60" s="125"/>
      <c r="BL60" s="125"/>
      <c r="BM60" s="125"/>
      <c r="BN60" s="125"/>
      <c r="BO60" s="125"/>
      <c r="BP60" s="125"/>
      <c r="BQ60" s="125"/>
      <c r="BR60" s="125"/>
      <c r="BS60" s="125"/>
      <c r="BT60" s="125"/>
      <c r="BU60" s="125"/>
      <c r="BV60" s="125"/>
      <c r="BW60" s="125"/>
      <c r="BX60" s="125"/>
      <c r="BY60" s="125"/>
      <c r="BZ60" s="125"/>
      <c r="CA60" s="125"/>
      <c r="CB60" s="125"/>
      <c r="CC60" s="125"/>
      <c r="CD60" s="125"/>
      <c r="CE60" s="125"/>
      <c r="CF60" s="125"/>
      <c r="CG60" s="125"/>
      <c r="CH60" s="125"/>
      <c r="CI60" s="125"/>
      <c r="CJ60" s="125"/>
      <c r="CK60" s="125"/>
      <c r="CL60" s="125"/>
      <c r="CM60" s="125"/>
      <c r="CN60" s="125"/>
      <c r="CO60" s="125"/>
      <c r="CP60" s="125"/>
      <c r="CQ60" s="125"/>
      <c r="CR60" s="125"/>
      <c r="CS60" s="125"/>
      <c r="CT60" s="125"/>
      <c r="CU60" s="125"/>
      <c r="CV60" s="125"/>
      <c r="CW60" s="125"/>
      <c r="CX60" s="125"/>
      <c r="CY60" s="125"/>
      <c r="CZ60" s="125"/>
      <c r="DA60" s="125"/>
      <c r="DB60" s="125"/>
      <c r="DC60" s="125"/>
      <c r="DD60" s="125"/>
      <c r="DE60" s="125"/>
      <c r="DF60" s="125"/>
      <c r="DG60" s="125"/>
      <c r="DH60" s="125"/>
      <c r="DI60" s="125"/>
      <c r="DJ60" s="125"/>
      <c r="DK60" s="125"/>
      <c r="DL60" s="125"/>
      <c r="DM60" s="125"/>
      <c r="DN60" s="125"/>
      <c r="DO60" s="125"/>
      <c r="DP60" s="125"/>
      <c r="DQ60" s="125"/>
      <c r="DR60" s="125"/>
      <c r="DS60" s="125"/>
      <c r="DT60" s="125"/>
      <c r="DU60" s="125"/>
      <c r="DV60" s="125"/>
      <c r="DW60" s="125"/>
      <c r="DX60" s="125"/>
      <c r="DY60" s="125"/>
      <c r="DZ60" s="125"/>
      <c r="EA60" s="125"/>
      <c r="EB60" s="125"/>
      <c r="EC60" s="125"/>
      <c r="ED60" s="125"/>
      <c r="EE60" s="125"/>
      <c r="EF60" s="125"/>
      <c r="EG60" s="125"/>
      <c r="EH60" s="125"/>
      <c r="EI60" s="125"/>
      <c r="EJ60" s="125"/>
      <c r="EK60" s="125"/>
      <c r="EL60" s="125"/>
      <c r="EM60" s="125"/>
      <c r="EN60" s="125"/>
      <c r="EO60" s="125"/>
      <c r="EP60" s="125"/>
      <c r="EQ60" s="125"/>
      <c r="ER60" s="125"/>
      <c r="ES60" s="125"/>
      <c r="ET60" s="125"/>
      <c r="EU60" s="125"/>
      <c r="EV60" s="125"/>
      <c r="EW60" s="125"/>
      <c r="EX60" s="125"/>
      <c r="EY60" s="125"/>
      <c r="EZ60" s="125"/>
      <c r="FA60" s="125"/>
      <c r="FB60" s="125"/>
      <c r="FC60" s="125"/>
      <c r="FD60" s="125"/>
      <c r="FE60" s="125"/>
      <c r="FF60" s="125"/>
      <c r="FG60" s="125"/>
      <c r="FH60" s="125"/>
      <c r="FI60" s="125"/>
      <c r="FJ60" s="125"/>
      <c r="FK60" s="125"/>
      <c r="FL60" s="125"/>
      <c r="FM60" s="125"/>
      <c r="FN60" s="125"/>
      <c r="FO60" s="125"/>
      <c r="FP60" s="125"/>
      <c r="FQ60" s="125"/>
      <c r="FR60" s="125"/>
      <c r="FS60" s="125"/>
      <c r="FT60" s="125"/>
      <c r="FU60" s="125"/>
      <c r="FV60" s="125"/>
      <c r="FW60" s="125"/>
      <c r="FX60" s="125"/>
      <c r="FY60" s="125"/>
      <c r="FZ60" s="125"/>
      <c r="GA60" s="125"/>
      <c r="GB60" s="125"/>
      <c r="GC60" s="125"/>
      <c r="GD60" s="125"/>
      <c r="GE60" s="125"/>
      <c r="GF60" s="125"/>
      <c r="GG60" s="125"/>
      <c r="GH60" s="125"/>
      <c r="GI60" s="125"/>
      <c r="GJ60" s="125"/>
      <c r="GK60" s="125"/>
      <c r="GL60" s="125"/>
      <c r="GM60" s="125"/>
      <c r="GN60" s="125"/>
      <c r="GO60" s="125"/>
      <c r="GP60" s="125"/>
      <c r="GQ60" s="125"/>
      <c r="GR60" s="125"/>
      <c r="GS60" s="125"/>
      <c r="GT60" s="125"/>
      <c r="GU60" s="125"/>
      <c r="GV60" s="125"/>
      <c r="GW60" s="125"/>
      <c r="GX60" s="125"/>
      <c r="GY60" s="125"/>
      <c r="GZ60" s="125"/>
      <c r="HA60" s="125"/>
      <c r="HB60" s="125"/>
      <c r="HC60" s="125"/>
      <c r="HD60" s="125"/>
      <c r="HE60" s="125"/>
      <c r="HF60" s="125"/>
      <c r="HG60" s="125"/>
      <c r="HH60" s="125"/>
      <c r="HI60" s="125"/>
      <c r="HJ60" s="125"/>
      <c r="HK60" s="125"/>
      <c r="HL60" s="125"/>
      <c r="HM60" s="125"/>
      <c r="HN60" s="125"/>
      <c r="HO60" s="125"/>
      <c r="HP60" s="125"/>
      <c r="HQ60" s="125"/>
      <c r="HR60" s="125"/>
      <c r="HS60" s="125"/>
      <c r="HT60" s="125"/>
      <c r="HU60" s="125"/>
      <c r="HV60" s="125"/>
      <c r="HW60" s="125"/>
      <c r="HX60" s="125"/>
      <c r="HY60" s="125"/>
      <c r="HZ60" s="125"/>
      <c r="IA60" s="125"/>
      <c r="IB60" s="125"/>
      <c r="IC60" s="125"/>
      <c r="ID60" s="125"/>
      <c r="IE60" s="125"/>
      <c r="IF60" s="125"/>
      <c r="IG60" s="125"/>
      <c r="IH60" s="125"/>
      <c r="II60" s="125"/>
      <c r="IJ60" s="125"/>
      <c r="IK60" s="125"/>
      <c r="IL60" s="125"/>
      <c r="IM60" s="125"/>
      <c r="IN60" s="125"/>
      <c r="IO60" s="125"/>
      <c r="IP60" s="125"/>
      <c r="IQ60" s="125"/>
      <c r="IR60" s="125"/>
      <c r="IS60" s="125"/>
      <c r="IT60" s="125"/>
      <c r="IU60" s="125"/>
      <c r="IV60" s="125"/>
    </row>
    <row r="61" spans="1:256" ht="18" customHeight="1" x14ac:dyDescent="0.35">
      <c r="A61" s="1600">
        <v>55</v>
      </c>
      <c r="B61" s="125"/>
      <c r="D61" s="1985" t="s">
        <v>199</v>
      </c>
      <c r="E61" s="1780">
        <v>61</v>
      </c>
      <c r="F61" s="1620"/>
      <c r="G61" s="2066"/>
      <c r="I61" s="125"/>
      <c r="J61" s="1620"/>
      <c r="K61" s="125"/>
      <c r="L61" s="1616"/>
      <c r="M61" s="125"/>
      <c r="N61" s="125"/>
      <c r="O61" s="125"/>
      <c r="P61" s="125"/>
      <c r="Q61" s="125"/>
      <c r="R61" s="125"/>
      <c r="S61" s="125"/>
      <c r="T61" s="125"/>
      <c r="U61" s="125"/>
      <c r="V61" s="125"/>
      <c r="W61" s="125"/>
      <c r="X61" s="125"/>
      <c r="Y61" s="125"/>
      <c r="Z61" s="125"/>
      <c r="AA61" s="125"/>
      <c r="AB61" s="125"/>
      <c r="AC61" s="125"/>
      <c r="AD61" s="125"/>
      <c r="AE61" s="125"/>
      <c r="AF61" s="125"/>
      <c r="AG61" s="125"/>
      <c r="AH61" s="125"/>
      <c r="AI61" s="125"/>
      <c r="AJ61" s="125"/>
      <c r="AK61" s="125"/>
      <c r="AL61" s="125"/>
      <c r="AM61" s="125"/>
      <c r="AN61" s="125"/>
      <c r="AO61" s="125"/>
      <c r="AP61" s="125"/>
      <c r="AQ61" s="125"/>
      <c r="AR61" s="125"/>
      <c r="AS61" s="125"/>
      <c r="AT61" s="125"/>
      <c r="AU61" s="125"/>
      <c r="AV61" s="125"/>
      <c r="AW61" s="125"/>
      <c r="AX61" s="125"/>
      <c r="AY61" s="125"/>
      <c r="AZ61" s="125"/>
      <c r="BA61" s="125"/>
      <c r="BB61" s="125"/>
      <c r="BC61" s="125"/>
      <c r="BD61" s="125"/>
      <c r="BE61" s="125"/>
      <c r="BF61" s="125"/>
      <c r="BG61" s="125"/>
      <c r="BH61" s="125"/>
      <c r="BI61" s="125"/>
      <c r="BJ61" s="125"/>
      <c r="BK61" s="125"/>
      <c r="BL61" s="125"/>
      <c r="BM61" s="125"/>
      <c r="BN61" s="125"/>
      <c r="BO61" s="125"/>
      <c r="BP61" s="125"/>
      <c r="BQ61" s="125"/>
      <c r="BR61" s="125"/>
      <c r="BS61" s="125"/>
      <c r="BT61" s="125"/>
      <c r="BU61" s="125"/>
      <c r="BV61" s="125"/>
      <c r="BW61" s="125"/>
      <c r="BX61" s="125"/>
      <c r="BY61" s="125"/>
      <c r="BZ61" s="125"/>
      <c r="CA61" s="125"/>
      <c r="CB61" s="125"/>
      <c r="CC61" s="125"/>
      <c r="CD61" s="125"/>
      <c r="CE61" s="125"/>
      <c r="CF61" s="125"/>
      <c r="CG61" s="125"/>
      <c r="CH61" s="125"/>
      <c r="CI61" s="125"/>
      <c r="CJ61" s="125"/>
      <c r="CK61" s="125"/>
      <c r="CL61" s="125"/>
      <c r="CM61" s="125"/>
      <c r="CN61" s="125"/>
      <c r="CO61" s="125"/>
      <c r="CP61" s="125"/>
      <c r="CQ61" s="125"/>
      <c r="CR61" s="125"/>
      <c r="CS61" s="125"/>
      <c r="CT61" s="125"/>
      <c r="CU61" s="125"/>
      <c r="CV61" s="125"/>
      <c r="CW61" s="125"/>
      <c r="CX61" s="125"/>
      <c r="CY61" s="125"/>
      <c r="CZ61" s="125"/>
      <c r="DA61" s="125"/>
      <c r="DB61" s="125"/>
      <c r="DC61" s="125"/>
      <c r="DD61" s="125"/>
      <c r="DE61" s="125"/>
      <c r="DF61" s="125"/>
      <c r="DG61" s="125"/>
      <c r="DH61" s="125"/>
      <c r="DI61" s="125"/>
      <c r="DJ61" s="125"/>
      <c r="DK61" s="125"/>
      <c r="DL61" s="125"/>
      <c r="DM61" s="125"/>
      <c r="DN61" s="125"/>
      <c r="DO61" s="125"/>
      <c r="DP61" s="125"/>
      <c r="DQ61" s="125"/>
      <c r="DR61" s="125"/>
      <c r="DS61" s="125"/>
      <c r="DT61" s="125"/>
      <c r="DU61" s="125"/>
      <c r="DV61" s="125"/>
      <c r="DW61" s="125"/>
      <c r="DX61" s="125"/>
      <c r="DY61" s="125"/>
      <c r="DZ61" s="125"/>
      <c r="EA61" s="125"/>
      <c r="EB61" s="125"/>
      <c r="EC61" s="125"/>
      <c r="ED61" s="125"/>
      <c r="EE61" s="125"/>
      <c r="EF61" s="125"/>
      <c r="EG61" s="125"/>
      <c r="EH61" s="125"/>
      <c r="EI61" s="125"/>
      <c r="EJ61" s="125"/>
      <c r="EK61" s="125"/>
      <c r="EL61" s="125"/>
      <c r="EM61" s="125"/>
      <c r="EN61" s="125"/>
      <c r="EO61" s="125"/>
      <c r="EP61" s="125"/>
      <c r="EQ61" s="125"/>
      <c r="ER61" s="125"/>
      <c r="ES61" s="125"/>
      <c r="ET61" s="125"/>
      <c r="EU61" s="125"/>
      <c r="EV61" s="125"/>
      <c r="EW61" s="125"/>
      <c r="EX61" s="125"/>
      <c r="EY61" s="125"/>
      <c r="EZ61" s="125"/>
      <c r="FA61" s="125"/>
      <c r="FB61" s="125"/>
      <c r="FC61" s="125"/>
      <c r="FD61" s="125"/>
      <c r="FE61" s="125"/>
      <c r="FF61" s="125"/>
      <c r="FG61" s="125"/>
      <c r="FH61" s="125"/>
      <c r="FI61" s="125"/>
      <c r="FJ61" s="125"/>
      <c r="FK61" s="125"/>
      <c r="FL61" s="125"/>
      <c r="FM61" s="125"/>
      <c r="FN61" s="125"/>
      <c r="FO61" s="125"/>
      <c r="FP61" s="125"/>
      <c r="FQ61" s="125"/>
      <c r="FR61" s="125"/>
      <c r="FS61" s="125"/>
      <c r="FT61" s="125"/>
      <c r="FU61" s="125"/>
      <c r="FV61" s="125"/>
      <c r="FW61" s="125"/>
      <c r="FX61" s="125"/>
      <c r="FY61" s="125"/>
      <c r="FZ61" s="125"/>
      <c r="GA61" s="125"/>
      <c r="GB61" s="125"/>
      <c r="GC61" s="125"/>
      <c r="GD61" s="125"/>
      <c r="GE61" s="125"/>
      <c r="GF61" s="125"/>
      <c r="GG61" s="125"/>
      <c r="GH61" s="125"/>
      <c r="GI61" s="125"/>
      <c r="GJ61" s="125"/>
      <c r="GK61" s="125"/>
      <c r="GL61" s="125"/>
      <c r="GM61" s="125"/>
      <c r="GN61" s="125"/>
      <c r="GO61" s="125"/>
      <c r="GP61" s="125"/>
      <c r="GQ61" s="125"/>
      <c r="GR61" s="125"/>
      <c r="GS61" s="125"/>
      <c r="GT61" s="125"/>
      <c r="GU61" s="125"/>
      <c r="GV61" s="125"/>
      <c r="GW61" s="125"/>
      <c r="GX61" s="125"/>
      <c r="GY61" s="125"/>
      <c r="GZ61" s="125"/>
      <c r="HA61" s="125"/>
      <c r="HB61" s="125"/>
      <c r="HC61" s="125"/>
      <c r="HD61" s="125"/>
      <c r="HE61" s="125"/>
      <c r="HF61" s="125"/>
      <c r="HG61" s="125"/>
      <c r="HH61" s="125"/>
      <c r="HI61" s="125"/>
      <c r="HJ61" s="125"/>
      <c r="HK61" s="125"/>
      <c r="HL61" s="125"/>
      <c r="HM61" s="125"/>
      <c r="HN61" s="125"/>
      <c r="HO61" s="125"/>
      <c r="HP61" s="125"/>
      <c r="HQ61" s="125"/>
      <c r="HR61" s="125"/>
      <c r="HS61" s="125"/>
      <c r="HT61" s="125"/>
      <c r="HU61" s="125"/>
      <c r="HV61" s="125"/>
      <c r="HW61" s="125"/>
      <c r="HX61" s="125"/>
      <c r="HY61" s="125"/>
      <c r="HZ61" s="125"/>
      <c r="IA61" s="125"/>
      <c r="IB61" s="125"/>
      <c r="IC61" s="125"/>
      <c r="ID61" s="125"/>
      <c r="IE61" s="125"/>
      <c r="IF61" s="125"/>
      <c r="IG61" s="125"/>
      <c r="IH61" s="125"/>
      <c r="II61" s="125"/>
      <c r="IJ61" s="125"/>
      <c r="IK61" s="125"/>
      <c r="IL61" s="125"/>
      <c r="IM61" s="125"/>
      <c r="IN61" s="125"/>
      <c r="IO61" s="125"/>
      <c r="IP61" s="125"/>
      <c r="IQ61" s="125"/>
      <c r="IR61" s="125"/>
      <c r="IS61" s="125"/>
      <c r="IT61" s="125"/>
      <c r="IU61" s="125"/>
      <c r="IV61" s="125"/>
    </row>
    <row r="62" spans="1:256" ht="18" customHeight="1" x14ac:dyDescent="0.35">
      <c r="A62" s="1600">
        <v>56</v>
      </c>
      <c r="B62" s="125"/>
      <c r="D62" s="1985" t="s">
        <v>127</v>
      </c>
      <c r="E62" s="2109">
        <v>-222307</v>
      </c>
      <c r="F62" s="1620"/>
      <c r="G62" s="2066"/>
      <c r="H62" s="1622"/>
      <c r="I62" s="125"/>
      <c r="J62" s="1616"/>
      <c r="K62" s="125"/>
      <c r="L62" s="1616"/>
      <c r="M62" s="125"/>
      <c r="N62" s="125"/>
      <c r="O62" s="125"/>
      <c r="P62" s="125"/>
      <c r="Q62" s="125"/>
      <c r="R62" s="125"/>
      <c r="S62" s="125"/>
      <c r="T62" s="125"/>
      <c r="U62" s="125"/>
      <c r="V62" s="125"/>
      <c r="W62" s="125"/>
      <c r="X62" s="125"/>
      <c r="Y62" s="125"/>
      <c r="Z62" s="125"/>
      <c r="AA62" s="125"/>
      <c r="AB62" s="125"/>
      <c r="AC62" s="125"/>
      <c r="AD62" s="125"/>
      <c r="AE62" s="125"/>
      <c r="AF62" s="125"/>
      <c r="AG62" s="125"/>
      <c r="AH62" s="125"/>
      <c r="AI62" s="125"/>
      <c r="AJ62" s="125"/>
      <c r="AK62" s="125"/>
      <c r="AL62" s="125"/>
      <c r="AM62" s="125"/>
      <c r="AN62" s="125"/>
      <c r="AO62" s="125"/>
      <c r="AP62" s="125"/>
      <c r="AQ62" s="125"/>
      <c r="AR62" s="125"/>
      <c r="AS62" s="125"/>
      <c r="AT62" s="125"/>
      <c r="AU62" s="125"/>
      <c r="AV62" s="125"/>
      <c r="AW62" s="125"/>
      <c r="AX62" s="125"/>
      <c r="AY62" s="125"/>
      <c r="AZ62" s="125"/>
      <c r="BA62" s="125"/>
      <c r="BB62" s="125"/>
      <c r="BC62" s="125"/>
      <c r="BD62" s="125"/>
      <c r="BE62" s="125"/>
      <c r="BF62" s="125"/>
      <c r="BG62" s="125"/>
      <c r="BH62" s="125"/>
      <c r="BI62" s="125"/>
      <c r="BJ62" s="125"/>
      <c r="BK62" s="125"/>
      <c r="BL62" s="125"/>
      <c r="BM62" s="125"/>
      <c r="BN62" s="125"/>
      <c r="BO62" s="125"/>
      <c r="BP62" s="125"/>
      <c r="BQ62" s="125"/>
      <c r="BR62" s="125"/>
      <c r="BS62" s="125"/>
      <c r="BT62" s="125"/>
      <c r="BU62" s="125"/>
      <c r="BV62" s="125"/>
      <c r="BW62" s="125"/>
      <c r="BX62" s="125"/>
      <c r="BY62" s="125"/>
      <c r="BZ62" s="125"/>
      <c r="CA62" s="125"/>
      <c r="CB62" s="125"/>
      <c r="CC62" s="125"/>
      <c r="CD62" s="125"/>
      <c r="CE62" s="125"/>
      <c r="CF62" s="125"/>
      <c r="CG62" s="125"/>
      <c r="CH62" s="125"/>
      <c r="CI62" s="125"/>
      <c r="CJ62" s="125"/>
      <c r="CK62" s="125"/>
      <c r="CL62" s="125"/>
      <c r="CM62" s="125"/>
      <c r="CN62" s="125"/>
      <c r="CO62" s="125"/>
      <c r="CP62" s="125"/>
      <c r="CQ62" s="125"/>
      <c r="CR62" s="125"/>
      <c r="CS62" s="125"/>
      <c r="CT62" s="125"/>
      <c r="CU62" s="125"/>
      <c r="CV62" s="125"/>
      <c r="CW62" s="125"/>
      <c r="CX62" s="125"/>
      <c r="CY62" s="125"/>
      <c r="CZ62" s="125"/>
      <c r="DA62" s="125"/>
      <c r="DB62" s="125"/>
      <c r="DC62" s="125"/>
      <c r="DD62" s="125"/>
      <c r="DE62" s="125"/>
      <c r="DF62" s="125"/>
      <c r="DG62" s="125"/>
      <c r="DH62" s="125"/>
      <c r="DI62" s="125"/>
      <c r="DJ62" s="125"/>
      <c r="DK62" s="125"/>
      <c r="DL62" s="125"/>
      <c r="DM62" s="125"/>
      <c r="DN62" s="125"/>
      <c r="DO62" s="125"/>
      <c r="DP62" s="125"/>
      <c r="DQ62" s="125"/>
      <c r="DR62" s="125"/>
      <c r="DS62" s="125"/>
      <c r="DT62" s="125"/>
      <c r="DU62" s="125"/>
      <c r="DV62" s="125"/>
      <c r="DW62" s="125"/>
      <c r="DX62" s="125"/>
      <c r="DY62" s="125"/>
      <c r="DZ62" s="125"/>
      <c r="EA62" s="125"/>
      <c r="EB62" s="125"/>
      <c r="EC62" s="125"/>
      <c r="ED62" s="125"/>
      <c r="EE62" s="125"/>
      <c r="EF62" s="125"/>
      <c r="EG62" s="125"/>
      <c r="EH62" s="125"/>
      <c r="EI62" s="125"/>
      <c r="EJ62" s="125"/>
      <c r="EK62" s="125"/>
      <c r="EL62" s="125"/>
      <c r="EM62" s="125"/>
      <c r="EN62" s="125"/>
      <c r="EO62" s="125"/>
      <c r="EP62" s="125"/>
      <c r="EQ62" s="125"/>
      <c r="ER62" s="125"/>
      <c r="ES62" s="125"/>
      <c r="ET62" s="125"/>
      <c r="EU62" s="125"/>
      <c r="EV62" s="125"/>
      <c r="EW62" s="125"/>
      <c r="EX62" s="125"/>
      <c r="EY62" s="125"/>
      <c r="EZ62" s="125"/>
      <c r="FA62" s="125"/>
      <c r="FB62" s="125"/>
      <c r="FC62" s="125"/>
      <c r="FD62" s="125"/>
      <c r="FE62" s="125"/>
      <c r="FF62" s="125"/>
      <c r="FG62" s="125"/>
      <c r="FH62" s="125"/>
      <c r="FI62" s="125"/>
      <c r="FJ62" s="125"/>
      <c r="FK62" s="125"/>
      <c r="FL62" s="125"/>
      <c r="FM62" s="125"/>
      <c r="FN62" s="125"/>
      <c r="FO62" s="125"/>
      <c r="FP62" s="125"/>
      <c r="FQ62" s="125"/>
      <c r="FR62" s="125"/>
      <c r="FS62" s="125"/>
      <c r="FT62" s="125"/>
      <c r="FU62" s="125"/>
      <c r="FV62" s="125"/>
      <c r="FW62" s="125"/>
      <c r="FX62" s="125"/>
      <c r="FY62" s="125"/>
      <c r="FZ62" s="125"/>
      <c r="GA62" s="125"/>
      <c r="GB62" s="125"/>
      <c r="GC62" s="125"/>
      <c r="GD62" s="125"/>
      <c r="GE62" s="125"/>
      <c r="GF62" s="125"/>
      <c r="GG62" s="125"/>
      <c r="GH62" s="125"/>
      <c r="GI62" s="125"/>
      <c r="GJ62" s="125"/>
      <c r="GK62" s="125"/>
      <c r="GL62" s="125"/>
      <c r="GM62" s="125"/>
      <c r="GN62" s="125"/>
      <c r="GO62" s="125"/>
      <c r="GP62" s="125"/>
      <c r="GQ62" s="125"/>
      <c r="GR62" s="125"/>
      <c r="GS62" s="125"/>
      <c r="GT62" s="125"/>
      <c r="GU62" s="125"/>
      <c r="GV62" s="125"/>
      <c r="GW62" s="125"/>
      <c r="GX62" s="125"/>
      <c r="GY62" s="125"/>
      <c r="GZ62" s="125"/>
      <c r="HA62" s="125"/>
      <c r="HB62" s="125"/>
      <c r="HC62" s="125"/>
      <c r="HD62" s="125"/>
      <c r="HE62" s="125"/>
      <c r="HF62" s="125"/>
      <c r="HG62" s="125"/>
      <c r="HH62" s="125"/>
      <c r="HI62" s="125"/>
      <c r="HJ62" s="125"/>
      <c r="HK62" s="125"/>
      <c r="HL62" s="125"/>
      <c r="HM62" s="125"/>
      <c r="HN62" s="125"/>
      <c r="HO62" s="125"/>
      <c r="HP62" s="125"/>
      <c r="HQ62" s="125"/>
      <c r="HR62" s="125"/>
      <c r="HS62" s="125"/>
      <c r="HT62" s="125"/>
      <c r="HU62" s="125"/>
      <c r="HV62" s="125"/>
      <c r="HW62" s="125"/>
      <c r="HX62" s="125"/>
      <c r="HY62" s="125"/>
      <c r="HZ62" s="125"/>
      <c r="IA62" s="125"/>
      <c r="IB62" s="125"/>
      <c r="IC62" s="125"/>
      <c r="ID62" s="125"/>
      <c r="IE62" s="125"/>
      <c r="IF62" s="125"/>
      <c r="IG62" s="125"/>
      <c r="IH62" s="125"/>
      <c r="II62" s="125"/>
      <c r="IJ62" s="125"/>
      <c r="IK62" s="125"/>
      <c r="IL62" s="125"/>
      <c r="IM62" s="125"/>
      <c r="IN62" s="125"/>
      <c r="IO62" s="125"/>
      <c r="IP62" s="125"/>
      <c r="IQ62" s="125"/>
      <c r="IR62" s="125"/>
      <c r="IS62" s="125"/>
      <c r="IT62" s="125"/>
      <c r="IU62" s="125"/>
      <c r="IV62" s="125"/>
    </row>
    <row r="63" spans="1:256" ht="18" customHeight="1" thickBot="1" x14ac:dyDescent="0.4">
      <c r="A63" s="1600">
        <v>57</v>
      </c>
      <c r="B63" s="125"/>
      <c r="D63" s="1623" t="s">
        <v>129</v>
      </c>
      <c r="E63" s="1780">
        <f>SUM(E58:E62)</f>
        <v>106642</v>
      </c>
      <c r="F63" s="1620"/>
      <c r="G63" s="2066"/>
      <c r="H63" s="1622"/>
      <c r="I63" s="125"/>
      <c r="J63" s="1616"/>
      <c r="K63" s="125"/>
      <c r="L63" s="1616"/>
      <c r="M63" s="125"/>
      <c r="N63" s="125"/>
      <c r="O63" s="125"/>
      <c r="P63" s="125"/>
      <c r="Q63" s="125"/>
      <c r="R63" s="125"/>
      <c r="S63" s="125"/>
      <c r="T63" s="125"/>
      <c r="U63" s="125"/>
      <c r="V63" s="125"/>
      <c r="W63" s="125"/>
      <c r="X63" s="125"/>
      <c r="Y63" s="125"/>
      <c r="Z63" s="125"/>
      <c r="AA63" s="125"/>
      <c r="AB63" s="125"/>
      <c r="AC63" s="125"/>
      <c r="AD63" s="125"/>
      <c r="AE63" s="125"/>
      <c r="AF63" s="125"/>
      <c r="AG63" s="125"/>
      <c r="AH63" s="125"/>
      <c r="AI63" s="125"/>
      <c r="AJ63" s="125"/>
      <c r="AK63" s="125"/>
      <c r="AL63" s="125"/>
      <c r="AM63" s="125"/>
      <c r="AN63" s="125"/>
      <c r="AO63" s="125"/>
      <c r="AP63" s="125"/>
      <c r="AQ63" s="125"/>
      <c r="AR63" s="125"/>
      <c r="AS63" s="125"/>
      <c r="AT63" s="125"/>
      <c r="AU63" s="125"/>
      <c r="AV63" s="125"/>
      <c r="AW63" s="125"/>
      <c r="AX63" s="125"/>
      <c r="AY63" s="125"/>
      <c r="AZ63" s="125"/>
      <c r="BA63" s="125"/>
      <c r="BB63" s="125"/>
      <c r="BC63" s="125"/>
      <c r="BD63" s="125"/>
      <c r="BE63" s="125"/>
      <c r="BF63" s="125"/>
      <c r="BG63" s="125"/>
      <c r="BH63" s="125"/>
      <c r="BI63" s="125"/>
      <c r="BJ63" s="125"/>
      <c r="BK63" s="125"/>
      <c r="BL63" s="125"/>
      <c r="BM63" s="125"/>
      <c r="BN63" s="125"/>
      <c r="BO63" s="125"/>
      <c r="BP63" s="125"/>
      <c r="BQ63" s="125"/>
      <c r="BR63" s="125"/>
      <c r="BS63" s="125"/>
      <c r="BT63" s="125"/>
      <c r="BU63" s="125"/>
      <c r="BV63" s="125"/>
      <c r="BW63" s="125"/>
      <c r="BX63" s="125"/>
      <c r="BY63" s="125"/>
      <c r="BZ63" s="125"/>
      <c r="CA63" s="125"/>
      <c r="CB63" s="125"/>
      <c r="CC63" s="125"/>
      <c r="CD63" s="125"/>
      <c r="CE63" s="125"/>
      <c r="CF63" s="125"/>
      <c r="CG63" s="125"/>
      <c r="CH63" s="125"/>
      <c r="CI63" s="125"/>
      <c r="CJ63" s="125"/>
      <c r="CK63" s="125"/>
      <c r="CL63" s="125"/>
      <c r="CM63" s="125"/>
      <c r="CN63" s="125"/>
      <c r="CO63" s="125"/>
      <c r="CP63" s="125"/>
      <c r="CQ63" s="125"/>
      <c r="CR63" s="125"/>
      <c r="CS63" s="125"/>
      <c r="CT63" s="125"/>
      <c r="CU63" s="125"/>
      <c r="CV63" s="125"/>
      <c r="CW63" s="125"/>
      <c r="CX63" s="125"/>
      <c r="CY63" s="125"/>
      <c r="CZ63" s="125"/>
      <c r="DA63" s="125"/>
      <c r="DB63" s="125"/>
      <c r="DC63" s="125"/>
      <c r="DD63" s="125"/>
      <c r="DE63" s="125"/>
      <c r="DF63" s="125"/>
      <c r="DG63" s="125"/>
      <c r="DH63" s="125"/>
      <c r="DI63" s="125"/>
      <c r="DJ63" s="125"/>
      <c r="DK63" s="125"/>
      <c r="DL63" s="125"/>
      <c r="DM63" s="125"/>
      <c r="DN63" s="125"/>
      <c r="DO63" s="125"/>
      <c r="DP63" s="125"/>
      <c r="DQ63" s="125"/>
      <c r="DR63" s="125"/>
      <c r="DS63" s="125"/>
      <c r="DT63" s="125"/>
      <c r="DU63" s="125"/>
      <c r="DV63" s="125"/>
      <c r="DW63" s="125"/>
      <c r="DX63" s="125"/>
      <c r="DY63" s="125"/>
      <c r="DZ63" s="125"/>
      <c r="EA63" s="125"/>
      <c r="EB63" s="125"/>
      <c r="EC63" s="125"/>
      <c r="ED63" s="125"/>
      <c r="EE63" s="125"/>
      <c r="EF63" s="125"/>
      <c r="EG63" s="125"/>
      <c r="EH63" s="125"/>
      <c r="EI63" s="125"/>
      <c r="EJ63" s="125"/>
      <c r="EK63" s="125"/>
      <c r="EL63" s="125"/>
      <c r="EM63" s="125"/>
      <c r="EN63" s="125"/>
      <c r="EO63" s="125"/>
      <c r="EP63" s="125"/>
      <c r="EQ63" s="125"/>
      <c r="ER63" s="125"/>
      <c r="ES63" s="125"/>
      <c r="ET63" s="125"/>
      <c r="EU63" s="125"/>
      <c r="EV63" s="125"/>
      <c r="EW63" s="125"/>
      <c r="EX63" s="125"/>
      <c r="EY63" s="125"/>
      <c r="EZ63" s="125"/>
      <c r="FA63" s="125"/>
      <c r="FB63" s="125"/>
      <c r="FC63" s="125"/>
      <c r="FD63" s="125"/>
      <c r="FE63" s="125"/>
      <c r="FF63" s="125"/>
      <c r="FG63" s="125"/>
      <c r="FH63" s="125"/>
      <c r="FI63" s="125"/>
      <c r="FJ63" s="125"/>
      <c r="FK63" s="125"/>
      <c r="FL63" s="125"/>
      <c r="FM63" s="125"/>
      <c r="FN63" s="125"/>
      <c r="FO63" s="125"/>
      <c r="FP63" s="125"/>
      <c r="FQ63" s="125"/>
      <c r="FR63" s="125"/>
      <c r="FS63" s="125"/>
      <c r="FT63" s="125"/>
      <c r="FU63" s="125"/>
      <c r="FV63" s="125"/>
      <c r="FW63" s="125"/>
      <c r="FX63" s="125"/>
      <c r="FY63" s="125"/>
      <c r="FZ63" s="125"/>
      <c r="GA63" s="125"/>
      <c r="GB63" s="125"/>
      <c r="GC63" s="125"/>
      <c r="GD63" s="125"/>
      <c r="GE63" s="125"/>
      <c r="GF63" s="125"/>
      <c r="GG63" s="125"/>
      <c r="GH63" s="125"/>
      <c r="GI63" s="125"/>
      <c r="GJ63" s="125"/>
      <c r="GK63" s="125"/>
      <c r="GL63" s="125"/>
      <c r="GM63" s="125"/>
      <c r="GN63" s="125"/>
      <c r="GO63" s="125"/>
      <c r="GP63" s="125"/>
      <c r="GQ63" s="125"/>
      <c r="GR63" s="125"/>
      <c r="GS63" s="125"/>
      <c r="GT63" s="125"/>
      <c r="GU63" s="125"/>
      <c r="GV63" s="125"/>
      <c r="GW63" s="125"/>
      <c r="GX63" s="125"/>
      <c r="GY63" s="125"/>
      <c r="GZ63" s="125"/>
      <c r="HA63" s="125"/>
      <c r="HB63" s="125"/>
      <c r="HC63" s="125"/>
      <c r="HD63" s="125"/>
      <c r="HE63" s="125"/>
      <c r="HF63" s="125"/>
      <c r="HG63" s="125"/>
      <c r="HH63" s="125"/>
      <c r="HI63" s="125"/>
      <c r="HJ63" s="125"/>
      <c r="HK63" s="125"/>
      <c r="HL63" s="125"/>
      <c r="HM63" s="125"/>
      <c r="HN63" s="125"/>
      <c r="HO63" s="125"/>
      <c r="HP63" s="125"/>
      <c r="HQ63" s="125"/>
      <c r="HR63" s="125"/>
      <c r="HS63" s="125"/>
      <c r="HT63" s="125"/>
      <c r="HU63" s="125"/>
      <c r="HV63" s="125"/>
      <c r="HW63" s="125"/>
      <c r="HX63" s="125"/>
      <c r="HY63" s="125"/>
      <c r="HZ63" s="125"/>
      <c r="IA63" s="125"/>
      <c r="IB63" s="125"/>
      <c r="IC63" s="125"/>
      <c r="ID63" s="125"/>
      <c r="IE63" s="125"/>
      <c r="IF63" s="125"/>
      <c r="IG63" s="125"/>
      <c r="IH63" s="125"/>
      <c r="II63" s="125"/>
      <c r="IJ63" s="125"/>
      <c r="IK63" s="125"/>
      <c r="IL63" s="125"/>
      <c r="IM63" s="125"/>
      <c r="IN63" s="125"/>
      <c r="IO63" s="125"/>
      <c r="IP63" s="125"/>
      <c r="IQ63" s="125"/>
      <c r="IR63" s="125"/>
      <c r="IS63" s="125"/>
      <c r="IT63" s="125"/>
      <c r="IU63" s="125"/>
      <c r="IV63" s="125"/>
    </row>
    <row r="64" spans="1:256" ht="23.1" customHeight="1" thickBot="1" x14ac:dyDescent="0.35">
      <c r="A64" s="1600">
        <v>58</v>
      </c>
      <c r="B64" s="1602" t="s">
        <v>254</v>
      </c>
      <c r="C64" s="1625"/>
      <c r="D64" s="1626" t="s">
        <v>957</v>
      </c>
      <c r="E64" s="1627">
        <f>E26+E20+E14+E45+E49+E53+E38+E63+E28+E36+E55</f>
        <v>6174872</v>
      </c>
      <c r="F64" s="23"/>
      <c r="G64" s="2066"/>
      <c r="H64" s="23"/>
      <c r="I64" s="23"/>
      <c r="J64" s="704"/>
      <c r="K64" s="23"/>
      <c r="L64" s="704"/>
      <c r="M64" s="23"/>
      <c r="N64" s="23"/>
      <c r="O64" s="23"/>
      <c r="P64" s="23"/>
      <c r="Q64" s="23"/>
      <c r="R64" s="23"/>
      <c r="S64" s="23"/>
      <c r="T64" s="23"/>
      <c r="U64" s="23"/>
      <c r="V64" s="23"/>
      <c r="W64" s="23"/>
      <c r="X64" s="23"/>
      <c r="Y64" s="23"/>
      <c r="Z64" s="23"/>
      <c r="AA64" s="23"/>
      <c r="AB64" s="23"/>
      <c r="AC64" s="23"/>
      <c r="AD64" s="23"/>
      <c r="AE64" s="23"/>
      <c r="AF64" s="23"/>
      <c r="AG64" s="23"/>
      <c r="AH64" s="23"/>
      <c r="AI64" s="23"/>
      <c r="AJ64" s="23"/>
      <c r="AK64" s="23"/>
      <c r="AL64" s="23"/>
      <c r="AM64" s="23"/>
      <c r="AN64" s="23"/>
      <c r="AO64" s="23"/>
      <c r="AP64" s="23"/>
      <c r="AQ64" s="23"/>
      <c r="AR64" s="23"/>
      <c r="AS64" s="23"/>
      <c r="AT64" s="23"/>
      <c r="AU64" s="23"/>
      <c r="AV64" s="23"/>
      <c r="AW64" s="23"/>
      <c r="AX64" s="23"/>
      <c r="AY64" s="23"/>
      <c r="AZ64" s="23"/>
      <c r="BA64" s="23"/>
      <c r="BB64" s="23"/>
      <c r="BC64" s="23"/>
      <c r="BD64" s="23"/>
      <c r="BE64" s="23"/>
      <c r="BF64" s="23"/>
      <c r="BG64" s="23"/>
      <c r="BH64" s="23"/>
      <c r="BI64" s="23"/>
      <c r="BJ64" s="23"/>
      <c r="BK64" s="23"/>
      <c r="BL64" s="23"/>
      <c r="BM64" s="23"/>
      <c r="BN64" s="23"/>
      <c r="BO64" s="23"/>
      <c r="BP64" s="23"/>
      <c r="BQ64" s="23"/>
      <c r="BR64" s="23"/>
      <c r="BS64" s="23"/>
      <c r="BT64" s="23"/>
      <c r="BU64" s="23"/>
      <c r="BV64" s="23"/>
      <c r="BW64" s="23"/>
      <c r="BX64" s="23"/>
      <c r="BY64" s="23"/>
      <c r="BZ64" s="23"/>
      <c r="CA64" s="23"/>
      <c r="CB64" s="23"/>
      <c r="CC64" s="23"/>
      <c r="CD64" s="23"/>
      <c r="CE64" s="23"/>
      <c r="CF64" s="23"/>
      <c r="CG64" s="23"/>
      <c r="CH64" s="23"/>
      <c r="CI64" s="23"/>
      <c r="CJ64" s="23"/>
      <c r="CK64" s="23"/>
      <c r="CL64" s="23"/>
      <c r="CM64" s="23"/>
      <c r="CN64" s="23"/>
      <c r="CO64" s="23"/>
      <c r="CP64" s="23"/>
      <c r="CQ64" s="23"/>
      <c r="CR64" s="23"/>
      <c r="CS64" s="23"/>
      <c r="CT64" s="23"/>
      <c r="CU64" s="23"/>
      <c r="CV64" s="23"/>
      <c r="CW64" s="23"/>
      <c r="CX64" s="23"/>
      <c r="CY64" s="23"/>
      <c r="CZ64" s="23"/>
      <c r="DA64" s="23"/>
      <c r="DB64" s="23"/>
      <c r="DC64" s="23"/>
      <c r="DD64" s="23"/>
      <c r="DE64" s="23"/>
      <c r="DF64" s="23"/>
      <c r="DG64" s="23"/>
      <c r="DH64" s="23"/>
      <c r="DI64" s="23"/>
      <c r="DJ64" s="23"/>
      <c r="DK64" s="23"/>
      <c r="DL64" s="23"/>
      <c r="DM64" s="23"/>
      <c r="DN64" s="23"/>
      <c r="DO64" s="23"/>
      <c r="DP64" s="23"/>
      <c r="DQ64" s="23"/>
      <c r="DR64" s="23"/>
      <c r="DS64" s="23"/>
      <c r="DT64" s="23"/>
      <c r="DU64" s="23"/>
      <c r="DV64" s="23"/>
      <c r="DW64" s="23"/>
      <c r="DX64" s="23"/>
      <c r="DY64" s="23"/>
      <c r="DZ64" s="23"/>
      <c r="EA64" s="23"/>
      <c r="EB64" s="23"/>
      <c r="EC64" s="23"/>
      <c r="ED64" s="23"/>
      <c r="EE64" s="23"/>
      <c r="EF64" s="23"/>
      <c r="EG64" s="23"/>
      <c r="EH64" s="23"/>
      <c r="EI64" s="23"/>
      <c r="EJ64" s="23"/>
      <c r="EK64" s="23"/>
      <c r="EL64" s="23"/>
      <c r="EM64" s="23"/>
      <c r="EN64" s="23"/>
      <c r="EO64" s="23"/>
      <c r="EP64" s="23"/>
      <c r="EQ64" s="23"/>
      <c r="ER64" s="23"/>
      <c r="ES64" s="23"/>
      <c r="ET64" s="23"/>
      <c r="EU64" s="23"/>
      <c r="EV64" s="23"/>
      <c r="EW64" s="23"/>
      <c r="EX64" s="23"/>
      <c r="EY64" s="23"/>
      <c r="EZ64" s="23"/>
      <c r="FA64" s="23"/>
      <c r="FB64" s="23"/>
      <c r="FC64" s="23"/>
      <c r="FD64" s="23"/>
      <c r="FE64" s="23"/>
      <c r="FF64" s="23"/>
      <c r="FG64" s="23"/>
      <c r="FH64" s="23"/>
      <c r="FI64" s="23"/>
      <c r="FJ64" s="23"/>
      <c r="FK64" s="23"/>
      <c r="FL64" s="23"/>
      <c r="FM64" s="23"/>
      <c r="FN64" s="23"/>
      <c r="FO64" s="23"/>
      <c r="FP64" s="23"/>
      <c r="FQ64" s="23"/>
      <c r="FR64" s="23"/>
      <c r="FS64" s="23"/>
      <c r="FT64" s="23"/>
      <c r="FU64" s="23"/>
      <c r="FV64" s="23"/>
      <c r="FW64" s="23"/>
      <c r="FX64" s="23"/>
      <c r="FY64" s="23"/>
      <c r="FZ64" s="23"/>
      <c r="GA64" s="23"/>
      <c r="GB64" s="23"/>
      <c r="GC64" s="23"/>
      <c r="GD64" s="23"/>
      <c r="GE64" s="23"/>
      <c r="GF64" s="23"/>
      <c r="GG64" s="23"/>
      <c r="GH64" s="23"/>
      <c r="GI64" s="23"/>
      <c r="GJ64" s="23"/>
      <c r="GK64" s="23"/>
      <c r="GL64" s="23"/>
      <c r="GM64" s="23"/>
      <c r="GN64" s="23"/>
      <c r="GO64" s="23"/>
      <c r="GP64" s="23"/>
      <c r="GQ64" s="23"/>
      <c r="GR64" s="23"/>
      <c r="GS64" s="23"/>
      <c r="GT64" s="23"/>
      <c r="GU64" s="23"/>
      <c r="GV64" s="23"/>
      <c r="GW64" s="23"/>
      <c r="GX64" s="23"/>
      <c r="GY64" s="23"/>
      <c r="GZ64" s="23"/>
      <c r="HA64" s="23"/>
      <c r="HB64" s="23"/>
      <c r="HC64" s="23"/>
      <c r="HD64" s="23"/>
      <c r="HE64" s="23"/>
      <c r="HF64" s="23"/>
      <c r="HG64" s="23"/>
      <c r="HH64" s="23"/>
      <c r="HI64" s="23"/>
      <c r="HJ64" s="23"/>
      <c r="HK64" s="23"/>
      <c r="HL64" s="23"/>
      <c r="HM64" s="23"/>
      <c r="HN64" s="23"/>
      <c r="HO64" s="23"/>
      <c r="HP64" s="23"/>
      <c r="HQ64" s="23"/>
      <c r="HR64" s="23"/>
      <c r="HS64" s="23"/>
      <c r="HT64" s="23"/>
      <c r="HU64" s="23"/>
      <c r="HV64" s="23"/>
      <c r="HW64" s="23"/>
      <c r="HX64" s="23"/>
      <c r="HY64" s="23"/>
      <c r="HZ64" s="23"/>
      <c r="IA64" s="23"/>
      <c r="IB64" s="23"/>
      <c r="IC64" s="23"/>
      <c r="ID64" s="23"/>
      <c r="IE64" s="23"/>
      <c r="IF64" s="23"/>
      <c r="IG64" s="23"/>
      <c r="IH64" s="23"/>
      <c r="II64" s="23"/>
      <c r="IJ64" s="23"/>
      <c r="IK64" s="23"/>
      <c r="IL64" s="23"/>
      <c r="IM64" s="23"/>
      <c r="IN64" s="23"/>
      <c r="IO64" s="23"/>
      <c r="IP64" s="23"/>
      <c r="IQ64" s="23"/>
      <c r="IR64" s="23"/>
      <c r="IS64" s="23"/>
      <c r="IT64" s="23"/>
      <c r="IU64" s="23"/>
      <c r="IV64" s="23"/>
    </row>
    <row r="65" spans="1:10" ht="24.95" customHeight="1" x14ac:dyDescent="0.35">
      <c r="A65" s="1600">
        <v>59</v>
      </c>
      <c r="B65" s="257" t="s">
        <v>958</v>
      </c>
      <c r="C65" s="1605"/>
      <c r="D65" s="1606" t="s">
        <v>959</v>
      </c>
      <c r="G65" s="2066"/>
    </row>
    <row r="66" spans="1:10" ht="23.1" customHeight="1" x14ac:dyDescent="0.35">
      <c r="A66" s="1600">
        <v>60</v>
      </c>
      <c r="B66" s="257"/>
      <c r="C66" s="1607" t="s">
        <v>130</v>
      </c>
      <c r="D66" s="1628" t="s">
        <v>994</v>
      </c>
      <c r="G66" s="2066"/>
    </row>
    <row r="67" spans="1:10" ht="20.100000000000001" customHeight="1" x14ac:dyDescent="0.35">
      <c r="A67" s="1600">
        <v>61</v>
      </c>
      <c r="C67" s="1624"/>
      <c r="D67" s="1742" t="s">
        <v>997</v>
      </c>
      <c r="E67" s="2"/>
      <c r="G67" s="2066"/>
    </row>
    <row r="68" spans="1:10" ht="20.100000000000001" customHeight="1" x14ac:dyDescent="0.35">
      <c r="A68" s="1600">
        <v>62</v>
      </c>
      <c r="C68" s="1624"/>
      <c r="D68" s="1606" t="s">
        <v>967</v>
      </c>
      <c r="E68" s="1662">
        <f>-2869-1+59254-52951</f>
        <v>3433</v>
      </c>
      <c r="F68" s="125"/>
      <c r="G68" s="1922"/>
      <c r="H68" s="125"/>
      <c r="I68" s="125"/>
      <c r="J68" s="1616"/>
    </row>
    <row r="69" spans="1:10" ht="18" customHeight="1" x14ac:dyDescent="0.35">
      <c r="A69" s="1600">
        <v>63</v>
      </c>
      <c r="C69" s="1624"/>
      <c r="D69" s="1606" t="s">
        <v>107</v>
      </c>
      <c r="E69" s="1611">
        <v>665</v>
      </c>
      <c r="G69" s="2066"/>
    </row>
    <row r="70" spans="1:10" ht="18" customHeight="1" x14ac:dyDescent="0.35">
      <c r="A70" s="1600">
        <v>64</v>
      </c>
      <c r="C70" s="1624"/>
      <c r="D70" s="1606" t="s">
        <v>1292</v>
      </c>
      <c r="E70" s="2">
        <v>-665</v>
      </c>
      <c r="G70" s="1921"/>
    </row>
    <row r="71" spans="1:10" ht="18" customHeight="1" x14ac:dyDescent="0.35">
      <c r="A71" s="1600">
        <v>65</v>
      </c>
      <c r="C71" s="1624"/>
      <c r="D71" s="1606" t="s">
        <v>84</v>
      </c>
      <c r="E71" s="2">
        <v>2500</v>
      </c>
      <c r="G71" s="1921"/>
    </row>
    <row r="72" spans="1:10" ht="18" customHeight="1" x14ac:dyDescent="0.35">
      <c r="A72" s="1600">
        <v>66</v>
      </c>
      <c r="C72" s="1624"/>
      <c r="D72" s="1606" t="s">
        <v>85</v>
      </c>
      <c r="E72" s="2">
        <v>-2500</v>
      </c>
      <c r="G72" s="1921"/>
    </row>
    <row r="73" spans="1:10" ht="18" customHeight="1" x14ac:dyDescent="0.35">
      <c r="A73" s="1600">
        <v>67</v>
      </c>
      <c r="C73" s="1624"/>
      <c r="D73" s="1606" t="s">
        <v>53</v>
      </c>
      <c r="E73" s="2"/>
      <c r="G73" s="1921"/>
    </row>
    <row r="74" spans="1:10" ht="18" customHeight="1" x14ac:dyDescent="0.3">
      <c r="A74" s="1600">
        <v>68</v>
      </c>
      <c r="C74" s="1624"/>
      <c r="D74" s="1610" t="s">
        <v>1301</v>
      </c>
      <c r="E74" s="2">
        <v>181</v>
      </c>
      <c r="G74" s="1921"/>
    </row>
    <row r="75" spans="1:10" ht="18" customHeight="1" x14ac:dyDescent="0.3">
      <c r="A75" s="1600">
        <v>69</v>
      </c>
      <c r="C75" s="1624"/>
      <c r="D75" s="1610" t="s">
        <v>1269</v>
      </c>
      <c r="E75" s="2">
        <v>-40</v>
      </c>
      <c r="G75" s="1921"/>
    </row>
    <row r="76" spans="1:10" ht="18" customHeight="1" x14ac:dyDescent="0.3">
      <c r="A76" s="1600">
        <v>70</v>
      </c>
      <c r="C76" s="1624"/>
      <c r="D76" s="1610" t="s">
        <v>1359</v>
      </c>
      <c r="E76" s="2">
        <v>40</v>
      </c>
      <c r="G76" s="1921"/>
    </row>
    <row r="77" spans="1:10" ht="18" customHeight="1" x14ac:dyDescent="0.35">
      <c r="A77" s="1600">
        <v>71</v>
      </c>
      <c r="C77" s="1624"/>
      <c r="D77" s="1606" t="s">
        <v>54</v>
      </c>
      <c r="E77" s="2">
        <v>185</v>
      </c>
      <c r="G77" s="1921"/>
    </row>
    <row r="78" spans="1:10" ht="18" customHeight="1" x14ac:dyDescent="0.35">
      <c r="A78" s="1600">
        <v>72</v>
      </c>
      <c r="C78" s="1624"/>
      <c r="D78" s="1606" t="s">
        <v>1300</v>
      </c>
      <c r="E78" s="2">
        <v>2503</v>
      </c>
      <c r="G78" s="1921"/>
    </row>
    <row r="79" spans="1:10" ht="18" customHeight="1" x14ac:dyDescent="0.35">
      <c r="A79" s="1600">
        <v>73</v>
      </c>
      <c r="C79" s="1624"/>
      <c r="D79" s="1606" t="s">
        <v>111</v>
      </c>
      <c r="E79" s="70">
        <v>1396</v>
      </c>
      <c r="G79" s="1921"/>
    </row>
    <row r="80" spans="1:10" ht="18" customHeight="1" x14ac:dyDescent="0.3">
      <c r="A80" s="1600">
        <v>74</v>
      </c>
      <c r="C80" s="1624"/>
      <c r="D80" s="1736" t="s">
        <v>129</v>
      </c>
      <c r="E80" s="1613">
        <f>SUM(E68:E79)</f>
        <v>7698</v>
      </c>
      <c r="G80" s="1921"/>
    </row>
    <row r="81" spans="1:256" ht="18" customHeight="1" x14ac:dyDescent="0.3">
      <c r="A81" s="1600">
        <v>75</v>
      </c>
      <c r="C81" s="1624"/>
      <c r="D81" s="1736"/>
      <c r="E81" s="1613"/>
      <c r="G81" s="1921"/>
    </row>
    <row r="82" spans="1:256" ht="18" customHeight="1" x14ac:dyDescent="0.3">
      <c r="A82" s="1600">
        <v>76</v>
      </c>
      <c r="C82" s="1624"/>
      <c r="D82" s="1673" t="s">
        <v>991</v>
      </c>
      <c r="E82" s="1613"/>
      <c r="G82" s="1921"/>
    </row>
    <row r="83" spans="1:256" ht="18" customHeight="1" x14ac:dyDescent="0.3">
      <c r="A83" s="1600">
        <v>77</v>
      </c>
      <c r="C83" s="1624"/>
      <c r="D83" s="1667" t="s">
        <v>1035</v>
      </c>
      <c r="E83" s="2">
        <v>1525</v>
      </c>
      <c r="G83" s="1921"/>
    </row>
    <row r="84" spans="1:256" ht="18" customHeight="1" x14ac:dyDescent="0.3">
      <c r="A84" s="1600">
        <v>78</v>
      </c>
      <c r="C84" s="1624"/>
      <c r="D84" s="1736"/>
      <c r="E84" s="1613"/>
      <c r="G84" s="1921"/>
    </row>
    <row r="85" spans="1:256" ht="24.95" customHeight="1" x14ac:dyDescent="0.3">
      <c r="A85" s="1600">
        <v>79</v>
      </c>
      <c r="B85" s="1"/>
      <c r="C85" s="1646"/>
      <c r="D85" s="1663" t="s">
        <v>992</v>
      </c>
      <c r="E85" s="2"/>
      <c r="F85" s="23"/>
      <c r="G85" s="1923"/>
      <c r="H85" s="23"/>
      <c r="I85" s="23"/>
      <c r="J85" s="704"/>
      <c r="K85" s="23"/>
      <c r="L85" s="704"/>
      <c r="M85" s="23"/>
      <c r="N85" s="23"/>
      <c r="O85" s="23"/>
      <c r="P85" s="23"/>
      <c r="Q85" s="23"/>
      <c r="R85" s="23"/>
      <c r="S85" s="23"/>
      <c r="T85" s="23"/>
      <c r="U85" s="23"/>
      <c r="V85" s="23"/>
      <c r="W85" s="23"/>
      <c r="X85" s="23"/>
      <c r="Y85" s="23"/>
      <c r="Z85" s="23"/>
      <c r="AA85" s="23"/>
      <c r="AB85" s="23"/>
      <c r="AC85" s="23"/>
      <c r="AD85" s="23"/>
      <c r="AE85" s="23"/>
      <c r="AF85" s="23"/>
      <c r="AG85" s="23"/>
      <c r="AH85" s="23"/>
      <c r="AI85" s="23"/>
      <c r="AJ85" s="23"/>
      <c r="AK85" s="23"/>
      <c r="AL85" s="23"/>
      <c r="AM85" s="23"/>
      <c r="AN85" s="23"/>
      <c r="AO85" s="23"/>
      <c r="AP85" s="23"/>
      <c r="AQ85" s="23"/>
      <c r="AR85" s="23"/>
      <c r="AS85" s="23"/>
      <c r="AT85" s="23"/>
      <c r="AU85" s="23"/>
      <c r="AV85" s="23"/>
      <c r="AW85" s="23"/>
      <c r="AX85" s="23"/>
      <c r="AY85" s="23"/>
      <c r="AZ85" s="23"/>
      <c r="BA85" s="23"/>
      <c r="BB85" s="23"/>
      <c r="BC85" s="23"/>
      <c r="BD85" s="23"/>
      <c r="BE85" s="23"/>
      <c r="BF85" s="23"/>
      <c r="BG85" s="23"/>
      <c r="BH85" s="23"/>
      <c r="BI85" s="23"/>
      <c r="BJ85" s="23"/>
      <c r="BK85" s="23"/>
      <c r="BL85" s="23"/>
      <c r="BM85" s="23"/>
      <c r="BN85" s="23"/>
      <c r="BO85" s="23"/>
      <c r="BP85" s="23"/>
      <c r="BQ85" s="23"/>
      <c r="BR85" s="23"/>
      <c r="BS85" s="23"/>
      <c r="BT85" s="23"/>
      <c r="BU85" s="23"/>
      <c r="BV85" s="23"/>
      <c r="BW85" s="23"/>
      <c r="BX85" s="23"/>
      <c r="BY85" s="23"/>
      <c r="BZ85" s="23"/>
      <c r="CA85" s="23"/>
      <c r="CB85" s="23"/>
      <c r="CC85" s="23"/>
      <c r="CD85" s="23"/>
      <c r="CE85" s="23"/>
      <c r="CF85" s="23"/>
      <c r="CG85" s="23"/>
      <c r="CH85" s="23"/>
      <c r="CI85" s="23"/>
      <c r="CJ85" s="23"/>
      <c r="CK85" s="23"/>
      <c r="CL85" s="23"/>
      <c r="CM85" s="23"/>
      <c r="CN85" s="23"/>
      <c r="CO85" s="23"/>
      <c r="CP85" s="23"/>
      <c r="CQ85" s="23"/>
      <c r="CR85" s="23"/>
      <c r="CS85" s="23"/>
      <c r="CT85" s="23"/>
      <c r="CU85" s="23"/>
      <c r="CV85" s="23"/>
      <c r="CW85" s="23"/>
      <c r="CX85" s="23"/>
      <c r="CY85" s="23"/>
      <c r="CZ85" s="23"/>
      <c r="DA85" s="23"/>
      <c r="DB85" s="23"/>
      <c r="DC85" s="23"/>
      <c r="DD85" s="23"/>
      <c r="DE85" s="23"/>
      <c r="DF85" s="23"/>
      <c r="DG85" s="23"/>
      <c r="DH85" s="23"/>
      <c r="DI85" s="23"/>
      <c r="DJ85" s="23"/>
      <c r="DK85" s="23"/>
      <c r="DL85" s="23"/>
      <c r="DM85" s="23"/>
      <c r="DN85" s="23"/>
      <c r="DO85" s="23"/>
      <c r="DP85" s="23"/>
      <c r="DQ85" s="23"/>
      <c r="DR85" s="23"/>
      <c r="DS85" s="23"/>
      <c r="DT85" s="23"/>
      <c r="DU85" s="23"/>
      <c r="DV85" s="23"/>
      <c r="DW85" s="23"/>
      <c r="DX85" s="23"/>
      <c r="DY85" s="23"/>
      <c r="DZ85" s="23"/>
      <c r="EA85" s="23"/>
      <c r="EB85" s="23"/>
      <c r="EC85" s="23"/>
      <c r="ED85" s="23"/>
      <c r="EE85" s="23"/>
      <c r="EF85" s="23"/>
      <c r="EG85" s="23"/>
      <c r="EH85" s="23"/>
      <c r="EI85" s="23"/>
      <c r="EJ85" s="23"/>
      <c r="EK85" s="23"/>
      <c r="EL85" s="23"/>
      <c r="EM85" s="23"/>
      <c r="EN85" s="23"/>
      <c r="EO85" s="23"/>
      <c r="EP85" s="23"/>
      <c r="EQ85" s="23"/>
      <c r="ER85" s="23"/>
      <c r="ES85" s="23"/>
      <c r="ET85" s="23"/>
      <c r="EU85" s="23"/>
      <c r="EV85" s="23"/>
      <c r="EW85" s="23"/>
      <c r="EX85" s="23"/>
      <c r="EY85" s="23"/>
      <c r="EZ85" s="23"/>
      <c r="FA85" s="23"/>
      <c r="FB85" s="23"/>
      <c r="FC85" s="23"/>
      <c r="FD85" s="23"/>
      <c r="FE85" s="23"/>
      <c r="FF85" s="23"/>
      <c r="FG85" s="23"/>
      <c r="FH85" s="23"/>
      <c r="FI85" s="23"/>
      <c r="FJ85" s="23"/>
      <c r="FK85" s="23"/>
      <c r="FL85" s="23"/>
      <c r="FM85" s="23"/>
      <c r="FN85" s="23"/>
      <c r="FO85" s="23"/>
      <c r="FP85" s="23"/>
      <c r="FQ85" s="23"/>
      <c r="FR85" s="23"/>
      <c r="FS85" s="23"/>
      <c r="FT85" s="23"/>
      <c r="FU85" s="23"/>
      <c r="FV85" s="23"/>
      <c r="FW85" s="23"/>
      <c r="FX85" s="23"/>
      <c r="FY85" s="23"/>
      <c r="FZ85" s="23"/>
      <c r="GA85" s="23"/>
      <c r="GB85" s="23"/>
      <c r="GC85" s="23"/>
      <c r="GD85" s="23"/>
      <c r="GE85" s="23"/>
      <c r="GF85" s="23"/>
      <c r="GG85" s="23"/>
      <c r="GH85" s="23"/>
      <c r="GI85" s="23"/>
      <c r="GJ85" s="23"/>
      <c r="GK85" s="23"/>
      <c r="GL85" s="23"/>
      <c r="GM85" s="23"/>
      <c r="GN85" s="23"/>
      <c r="GO85" s="23"/>
      <c r="GP85" s="23"/>
      <c r="GQ85" s="23"/>
      <c r="GR85" s="23"/>
      <c r="GS85" s="23"/>
      <c r="GT85" s="23"/>
      <c r="GU85" s="23"/>
      <c r="GV85" s="23"/>
      <c r="GW85" s="23"/>
      <c r="GX85" s="23"/>
      <c r="GY85" s="23"/>
      <c r="GZ85" s="23"/>
      <c r="HA85" s="23"/>
      <c r="HB85" s="23"/>
      <c r="HC85" s="23"/>
      <c r="HD85" s="23"/>
      <c r="HE85" s="23"/>
      <c r="HF85" s="23"/>
      <c r="HG85" s="23"/>
      <c r="HH85" s="23"/>
      <c r="HI85" s="23"/>
      <c r="HJ85" s="23"/>
      <c r="HK85" s="23"/>
      <c r="HL85" s="23"/>
      <c r="HM85" s="23"/>
      <c r="HN85" s="23"/>
      <c r="HO85" s="23"/>
      <c r="HP85" s="23"/>
      <c r="HQ85" s="23"/>
      <c r="HR85" s="23"/>
      <c r="HS85" s="23"/>
      <c r="HT85" s="23"/>
      <c r="HU85" s="23"/>
      <c r="HV85" s="23"/>
      <c r="HW85" s="23"/>
      <c r="HX85" s="23"/>
      <c r="HY85" s="23"/>
      <c r="HZ85" s="23"/>
      <c r="IA85" s="23"/>
      <c r="IB85" s="23"/>
      <c r="IC85" s="23"/>
      <c r="ID85" s="23"/>
      <c r="IE85" s="23"/>
      <c r="IF85" s="23"/>
      <c r="IG85" s="23"/>
      <c r="IH85" s="23"/>
      <c r="II85" s="23"/>
      <c r="IJ85" s="23"/>
      <c r="IK85" s="23"/>
      <c r="IL85" s="23"/>
      <c r="IM85" s="23"/>
      <c r="IN85" s="23"/>
      <c r="IO85" s="23"/>
      <c r="IP85" s="23"/>
      <c r="IQ85" s="23"/>
      <c r="IR85" s="23"/>
      <c r="IS85" s="23"/>
      <c r="IT85" s="23"/>
      <c r="IU85" s="23"/>
      <c r="IV85" s="23"/>
    </row>
    <row r="86" spans="1:256" ht="18" customHeight="1" x14ac:dyDescent="0.35">
      <c r="A86" s="1600">
        <v>80</v>
      </c>
      <c r="B86" s="1"/>
      <c r="C86" s="1646"/>
      <c r="D86" s="1742" t="s">
        <v>997</v>
      </c>
      <c r="E86" s="2"/>
      <c r="F86" s="23"/>
      <c r="G86" s="1923"/>
      <c r="H86" s="23"/>
      <c r="I86" s="23"/>
      <c r="J86" s="704"/>
      <c r="K86" s="23"/>
      <c r="L86" s="704"/>
      <c r="M86" s="23"/>
      <c r="N86" s="23"/>
      <c r="O86" s="23"/>
      <c r="P86" s="23"/>
      <c r="Q86" s="23"/>
      <c r="R86" s="23"/>
      <c r="S86" s="23"/>
      <c r="T86" s="23"/>
      <c r="U86" s="23"/>
      <c r="V86" s="23"/>
      <c r="W86" s="23"/>
      <c r="X86" s="23"/>
      <c r="Y86" s="23"/>
      <c r="Z86" s="23"/>
      <c r="AA86" s="23"/>
      <c r="AB86" s="23"/>
      <c r="AC86" s="23"/>
      <c r="AD86" s="23"/>
      <c r="AE86" s="23"/>
      <c r="AF86" s="23"/>
      <c r="AG86" s="23"/>
      <c r="AH86" s="23"/>
      <c r="AI86" s="23"/>
      <c r="AJ86" s="23"/>
      <c r="AK86" s="23"/>
      <c r="AL86" s="23"/>
      <c r="AM86" s="23"/>
      <c r="AN86" s="23"/>
      <c r="AO86" s="23"/>
      <c r="AP86" s="23"/>
      <c r="AQ86" s="23"/>
      <c r="AR86" s="23"/>
      <c r="AS86" s="23"/>
      <c r="AT86" s="23"/>
      <c r="AU86" s="23"/>
      <c r="AV86" s="23"/>
      <c r="AW86" s="23"/>
      <c r="AX86" s="23"/>
      <c r="AY86" s="23"/>
      <c r="AZ86" s="23"/>
      <c r="BA86" s="23"/>
      <c r="BB86" s="23"/>
      <c r="BC86" s="23"/>
      <c r="BD86" s="23"/>
      <c r="BE86" s="23"/>
      <c r="BF86" s="23"/>
      <c r="BG86" s="23"/>
      <c r="BH86" s="23"/>
      <c r="BI86" s="23"/>
      <c r="BJ86" s="23"/>
      <c r="BK86" s="23"/>
      <c r="BL86" s="23"/>
      <c r="BM86" s="23"/>
      <c r="BN86" s="23"/>
      <c r="BO86" s="23"/>
      <c r="BP86" s="23"/>
      <c r="BQ86" s="23"/>
      <c r="BR86" s="23"/>
      <c r="BS86" s="23"/>
      <c r="BT86" s="23"/>
      <c r="BU86" s="23"/>
      <c r="BV86" s="23"/>
      <c r="BW86" s="23"/>
      <c r="BX86" s="23"/>
      <c r="BY86" s="23"/>
      <c r="BZ86" s="23"/>
      <c r="CA86" s="23"/>
      <c r="CB86" s="23"/>
      <c r="CC86" s="23"/>
      <c r="CD86" s="23"/>
      <c r="CE86" s="23"/>
      <c r="CF86" s="23"/>
      <c r="CG86" s="23"/>
      <c r="CH86" s="23"/>
      <c r="CI86" s="23"/>
      <c r="CJ86" s="23"/>
      <c r="CK86" s="23"/>
      <c r="CL86" s="23"/>
      <c r="CM86" s="23"/>
      <c r="CN86" s="23"/>
      <c r="CO86" s="23"/>
      <c r="CP86" s="23"/>
      <c r="CQ86" s="23"/>
      <c r="CR86" s="23"/>
      <c r="CS86" s="23"/>
      <c r="CT86" s="23"/>
      <c r="CU86" s="23"/>
      <c r="CV86" s="23"/>
      <c r="CW86" s="23"/>
      <c r="CX86" s="23"/>
      <c r="CY86" s="23"/>
      <c r="CZ86" s="23"/>
      <c r="DA86" s="23"/>
      <c r="DB86" s="23"/>
      <c r="DC86" s="23"/>
      <c r="DD86" s="23"/>
      <c r="DE86" s="23"/>
      <c r="DF86" s="23"/>
      <c r="DG86" s="23"/>
      <c r="DH86" s="23"/>
      <c r="DI86" s="23"/>
      <c r="DJ86" s="23"/>
      <c r="DK86" s="23"/>
      <c r="DL86" s="23"/>
      <c r="DM86" s="23"/>
      <c r="DN86" s="23"/>
      <c r="DO86" s="23"/>
      <c r="DP86" s="23"/>
      <c r="DQ86" s="23"/>
      <c r="DR86" s="23"/>
      <c r="DS86" s="23"/>
      <c r="DT86" s="23"/>
      <c r="DU86" s="23"/>
      <c r="DV86" s="23"/>
      <c r="DW86" s="23"/>
      <c r="DX86" s="23"/>
      <c r="DY86" s="23"/>
      <c r="DZ86" s="23"/>
      <c r="EA86" s="23"/>
      <c r="EB86" s="23"/>
      <c r="EC86" s="23"/>
      <c r="ED86" s="23"/>
      <c r="EE86" s="23"/>
      <c r="EF86" s="23"/>
      <c r="EG86" s="23"/>
      <c r="EH86" s="23"/>
      <c r="EI86" s="23"/>
      <c r="EJ86" s="23"/>
      <c r="EK86" s="23"/>
      <c r="EL86" s="23"/>
      <c r="EM86" s="23"/>
      <c r="EN86" s="23"/>
      <c r="EO86" s="23"/>
      <c r="EP86" s="23"/>
      <c r="EQ86" s="23"/>
      <c r="ER86" s="23"/>
      <c r="ES86" s="23"/>
      <c r="ET86" s="23"/>
      <c r="EU86" s="23"/>
      <c r="EV86" s="23"/>
      <c r="EW86" s="23"/>
      <c r="EX86" s="23"/>
      <c r="EY86" s="23"/>
      <c r="EZ86" s="23"/>
      <c r="FA86" s="23"/>
      <c r="FB86" s="23"/>
      <c r="FC86" s="23"/>
      <c r="FD86" s="23"/>
      <c r="FE86" s="23"/>
      <c r="FF86" s="23"/>
      <c r="FG86" s="23"/>
      <c r="FH86" s="23"/>
      <c r="FI86" s="23"/>
      <c r="FJ86" s="23"/>
      <c r="FK86" s="23"/>
      <c r="FL86" s="23"/>
      <c r="FM86" s="23"/>
      <c r="FN86" s="23"/>
      <c r="FO86" s="23"/>
      <c r="FP86" s="23"/>
      <c r="FQ86" s="23"/>
      <c r="FR86" s="23"/>
      <c r="FS86" s="23"/>
      <c r="FT86" s="23"/>
      <c r="FU86" s="23"/>
      <c r="FV86" s="23"/>
      <c r="FW86" s="23"/>
      <c r="FX86" s="23"/>
      <c r="FY86" s="23"/>
      <c r="FZ86" s="23"/>
      <c r="GA86" s="23"/>
      <c r="GB86" s="23"/>
      <c r="GC86" s="23"/>
      <c r="GD86" s="23"/>
      <c r="GE86" s="23"/>
      <c r="GF86" s="23"/>
      <c r="GG86" s="23"/>
      <c r="GH86" s="23"/>
      <c r="GI86" s="23"/>
      <c r="GJ86" s="23"/>
      <c r="GK86" s="23"/>
      <c r="GL86" s="23"/>
      <c r="GM86" s="23"/>
      <c r="GN86" s="23"/>
      <c r="GO86" s="23"/>
      <c r="GP86" s="23"/>
      <c r="GQ86" s="23"/>
      <c r="GR86" s="23"/>
      <c r="GS86" s="23"/>
      <c r="GT86" s="23"/>
      <c r="GU86" s="23"/>
      <c r="GV86" s="23"/>
      <c r="GW86" s="23"/>
      <c r="GX86" s="23"/>
      <c r="GY86" s="23"/>
      <c r="GZ86" s="23"/>
      <c r="HA86" s="23"/>
      <c r="HB86" s="23"/>
      <c r="HC86" s="23"/>
      <c r="HD86" s="23"/>
      <c r="HE86" s="23"/>
      <c r="HF86" s="23"/>
      <c r="HG86" s="23"/>
      <c r="HH86" s="23"/>
      <c r="HI86" s="23"/>
      <c r="HJ86" s="23"/>
      <c r="HK86" s="23"/>
      <c r="HL86" s="23"/>
      <c r="HM86" s="23"/>
      <c r="HN86" s="23"/>
      <c r="HO86" s="23"/>
      <c r="HP86" s="23"/>
      <c r="HQ86" s="23"/>
      <c r="HR86" s="23"/>
      <c r="HS86" s="23"/>
      <c r="HT86" s="23"/>
      <c r="HU86" s="23"/>
      <c r="HV86" s="23"/>
      <c r="HW86" s="23"/>
      <c r="HX86" s="23"/>
      <c r="HY86" s="23"/>
      <c r="HZ86" s="23"/>
      <c r="IA86" s="23"/>
      <c r="IB86" s="23"/>
      <c r="IC86" s="23"/>
      <c r="ID86" s="23"/>
      <c r="IE86" s="23"/>
      <c r="IF86" s="23"/>
      <c r="IG86" s="23"/>
      <c r="IH86" s="23"/>
      <c r="II86" s="23"/>
      <c r="IJ86" s="23"/>
      <c r="IK86" s="23"/>
      <c r="IL86" s="23"/>
      <c r="IM86" s="23"/>
      <c r="IN86" s="23"/>
      <c r="IO86" s="23"/>
      <c r="IP86" s="23"/>
      <c r="IQ86" s="23"/>
      <c r="IR86" s="23"/>
      <c r="IS86" s="23"/>
      <c r="IT86" s="23"/>
      <c r="IU86" s="23"/>
      <c r="IV86" s="23"/>
    </row>
    <row r="87" spans="1:256" ht="33" customHeight="1" x14ac:dyDescent="0.3">
      <c r="A87" s="1600">
        <v>81</v>
      </c>
      <c r="B87" s="1"/>
      <c r="C87" s="1646"/>
      <c r="D87" s="1667" t="s">
        <v>537</v>
      </c>
      <c r="E87" s="1611">
        <v>2010</v>
      </c>
      <c r="F87" s="23"/>
      <c r="G87" s="1923"/>
      <c r="H87" s="2105"/>
      <c r="I87" s="23"/>
      <c r="J87" s="704"/>
      <c r="K87" s="23"/>
      <c r="L87" s="704"/>
      <c r="M87" s="23"/>
      <c r="N87" s="23"/>
      <c r="O87" s="23"/>
      <c r="P87" s="23"/>
      <c r="Q87" s="23"/>
      <c r="R87" s="23"/>
      <c r="S87" s="23"/>
      <c r="T87" s="23"/>
      <c r="U87" s="23"/>
      <c r="V87" s="23"/>
      <c r="W87" s="23"/>
      <c r="X87" s="23"/>
      <c r="Y87" s="23"/>
      <c r="Z87" s="23"/>
      <c r="AA87" s="23"/>
      <c r="AB87" s="23"/>
      <c r="AC87" s="23"/>
      <c r="AD87" s="23"/>
      <c r="AE87" s="23"/>
      <c r="AF87" s="23"/>
      <c r="AG87" s="23"/>
      <c r="AH87" s="23"/>
      <c r="AI87" s="23"/>
      <c r="AJ87" s="23"/>
      <c r="AK87" s="23"/>
      <c r="AL87" s="23"/>
      <c r="AM87" s="23"/>
      <c r="AN87" s="23"/>
      <c r="AO87" s="23"/>
      <c r="AP87" s="23"/>
      <c r="AQ87" s="23"/>
      <c r="AR87" s="23"/>
      <c r="AS87" s="23"/>
      <c r="AT87" s="23"/>
      <c r="AU87" s="23"/>
      <c r="AV87" s="23"/>
      <c r="AW87" s="23"/>
      <c r="AX87" s="23"/>
      <c r="AY87" s="23"/>
      <c r="AZ87" s="23"/>
      <c r="BA87" s="23"/>
      <c r="BB87" s="23"/>
      <c r="BC87" s="23"/>
      <c r="BD87" s="23"/>
      <c r="BE87" s="23"/>
      <c r="BF87" s="23"/>
      <c r="BG87" s="23"/>
      <c r="BH87" s="23"/>
      <c r="BI87" s="23"/>
      <c r="BJ87" s="23"/>
      <c r="BK87" s="23"/>
      <c r="BL87" s="23"/>
      <c r="BM87" s="23"/>
      <c r="BN87" s="23"/>
      <c r="BO87" s="23"/>
      <c r="BP87" s="23"/>
      <c r="BQ87" s="23"/>
      <c r="BR87" s="23"/>
      <c r="BS87" s="23"/>
      <c r="BT87" s="23"/>
      <c r="BU87" s="23"/>
      <c r="BV87" s="23"/>
      <c r="BW87" s="23"/>
      <c r="BX87" s="23"/>
      <c r="BY87" s="23"/>
      <c r="BZ87" s="23"/>
      <c r="CA87" s="23"/>
      <c r="CB87" s="23"/>
      <c r="CC87" s="23"/>
      <c r="CD87" s="23"/>
      <c r="CE87" s="23"/>
      <c r="CF87" s="23"/>
      <c r="CG87" s="23"/>
      <c r="CH87" s="23"/>
      <c r="CI87" s="23"/>
      <c r="CJ87" s="23"/>
      <c r="CK87" s="23"/>
      <c r="CL87" s="23"/>
      <c r="CM87" s="23"/>
      <c r="CN87" s="23"/>
      <c r="CO87" s="23"/>
      <c r="CP87" s="23"/>
      <c r="CQ87" s="23"/>
      <c r="CR87" s="23"/>
      <c r="CS87" s="23"/>
      <c r="CT87" s="23"/>
      <c r="CU87" s="23"/>
      <c r="CV87" s="23"/>
      <c r="CW87" s="23"/>
      <c r="CX87" s="23"/>
      <c r="CY87" s="23"/>
      <c r="CZ87" s="23"/>
      <c r="DA87" s="23"/>
      <c r="DB87" s="23"/>
      <c r="DC87" s="23"/>
      <c r="DD87" s="23"/>
      <c r="DE87" s="23"/>
      <c r="DF87" s="23"/>
      <c r="DG87" s="23"/>
      <c r="DH87" s="23"/>
      <c r="DI87" s="23"/>
      <c r="DJ87" s="23"/>
      <c r="DK87" s="23"/>
      <c r="DL87" s="23"/>
      <c r="DM87" s="23"/>
      <c r="DN87" s="23"/>
      <c r="DO87" s="23"/>
      <c r="DP87" s="23"/>
      <c r="DQ87" s="23"/>
      <c r="DR87" s="23"/>
      <c r="DS87" s="23"/>
      <c r="DT87" s="23"/>
      <c r="DU87" s="23"/>
      <c r="DV87" s="23"/>
      <c r="DW87" s="23"/>
      <c r="DX87" s="23"/>
      <c r="DY87" s="23"/>
      <c r="DZ87" s="23"/>
      <c r="EA87" s="23"/>
      <c r="EB87" s="23"/>
      <c r="EC87" s="23"/>
      <c r="ED87" s="23"/>
      <c r="EE87" s="23"/>
      <c r="EF87" s="23"/>
      <c r="EG87" s="23"/>
      <c r="EH87" s="23"/>
      <c r="EI87" s="23"/>
      <c r="EJ87" s="23"/>
      <c r="EK87" s="23"/>
      <c r="EL87" s="23"/>
      <c r="EM87" s="23"/>
      <c r="EN87" s="23"/>
      <c r="EO87" s="23"/>
      <c r="EP87" s="23"/>
      <c r="EQ87" s="23"/>
      <c r="ER87" s="23"/>
      <c r="ES87" s="23"/>
      <c r="ET87" s="23"/>
      <c r="EU87" s="23"/>
      <c r="EV87" s="23"/>
      <c r="EW87" s="23"/>
      <c r="EX87" s="23"/>
      <c r="EY87" s="23"/>
      <c r="EZ87" s="23"/>
      <c r="FA87" s="23"/>
      <c r="FB87" s="23"/>
      <c r="FC87" s="23"/>
      <c r="FD87" s="23"/>
      <c r="FE87" s="23"/>
      <c r="FF87" s="23"/>
      <c r="FG87" s="23"/>
      <c r="FH87" s="23"/>
      <c r="FI87" s="23"/>
      <c r="FJ87" s="23"/>
      <c r="FK87" s="23"/>
      <c r="FL87" s="23"/>
      <c r="FM87" s="23"/>
      <c r="FN87" s="23"/>
      <c r="FO87" s="23"/>
      <c r="FP87" s="23"/>
      <c r="FQ87" s="23"/>
      <c r="FR87" s="23"/>
      <c r="FS87" s="23"/>
      <c r="FT87" s="23"/>
      <c r="FU87" s="23"/>
      <c r="FV87" s="23"/>
      <c r="FW87" s="23"/>
      <c r="FX87" s="23"/>
      <c r="FY87" s="23"/>
      <c r="FZ87" s="23"/>
      <c r="GA87" s="23"/>
      <c r="GB87" s="23"/>
      <c r="GC87" s="23"/>
      <c r="GD87" s="23"/>
      <c r="GE87" s="23"/>
      <c r="GF87" s="23"/>
      <c r="GG87" s="23"/>
      <c r="GH87" s="23"/>
      <c r="GI87" s="23"/>
      <c r="GJ87" s="23"/>
      <c r="GK87" s="23"/>
      <c r="GL87" s="23"/>
      <c r="GM87" s="23"/>
      <c r="GN87" s="23"/>
      <c r="GO87" s="23"/>
      <c r="GP87" s="23"/>
      <c r="GQ87" s="23"/>
      <c r="GR87" s="23"/>
      <c r="GS87" s="23"/>
      <c r="GT87" s="23"/>
      <c r="GU87" s="23"/>
      <c r="GV87" s="23"/>
      <c r="GW87" s="23"/>
      <c r="GX87" s="23"/>
      <c r="GY87" s="23"/>
      <c r="GZ87" s="23"/>
      <c r="HA87" s="23"/>
      <c r="HB87" s="23"/>
      <c r="HC87" s="23"/>
      <c r="HD87" s="23"/>
      <c r="HE87" s="23"/>
      <c r="HF87" s="23"/>
      <c r="HG87" s="23"/>
      <c r="HH87" s="23"/>
      <c r="HI87" s="23"/>
      <c r="HJ87" s="23"/>
      <c r="HK87" s="23"/>
      <c r="HL87" s="23"/>
      <c r="HM87" s="23"/>
      <c r="HN87" s="23"/>
      <c r="HO87" s="23"/>
      <c r="HP87" s="23"/>
      <c r="HQ87" s="23"/>
      <c r="HR87" s="23"/>
      <c r="HS87" s="23"/>
      <c r="HT87" s="23"/>
      <c r="HU87" s="23"/>
      <c r="HV87" s="23"/>
      <c r="HW87" s="23"/>
      <c r="HX87" s="23"/>
      <c r="HY87" s="23"/>
      <c r="HZ87" s="23"/>
      <c r="IA87" s="23"/>
      <c r="IB87" s="23"/>
      <c r="IC87" s="23"/>
      <c r="ID87" s="23"/>
      <c r="IE87" s="23"/>
      <c r="IF87" s="23"/>
      <c r="IG87" s="23"/>
      <c r="IH87" s="23"/>
      <c r="II87" s="23"/>
      <c r="IJ87" s="23"/>
      <c r="IK87" s="23"/>
      <c r="IL87" s="23"/>
      <c r="IM87" s="23"/>
      <c r="IN87" s="23"/>
      <c r="IO87" s="23"/>
      <c r="IP87" s="23"/>
      <c r="IQ87" s="23"/>
      <c r="IR87" s="23"/>
      <c r="IS87" s="23"/>
      <c r="IT87" s="23"/>
      <c r="IU87" s="23"/>
      <c r="IV87" s="23"/>
    </row>
    <row r="88" spans="1:256" ht="20.100000000000001" customHeight="1" x14ac:dyDescent="0.3">
      <c r="A88" s="1600">
        <v>82</v>
      </c>
      <c r="B88" s="1"/>
      <c r="C88" s="1646"/>
      <c r="D88" s="1667" t="s">
        <v>1299</v>
      </c>
      <c r="E88" s="1611">
        <v>-127</v>
      </c>
      <c r="F88" s="23"/>
      <c r="G88" s="1923"/>
      <c r="H88" s="2105"/>
      <c r="I88" s="23"/>
      <c r="J88" s="704"/>
      <c r="K88" s="23"/>
      <c r="L88" s="704"/>
      <c r="M88" s="23"/>
      <c r="N88" s="23"/>
      <c r="O88" s="23"/>
      <c r="P88" s="23"/>
      <c r="Q88" s="23"/>
      <c r="R88" s="23"/>
      <c r="S88" s="23"/>
      <c r="T88" s="23"/>
      <c r="U88" s="23"/>
      <c r="V88" s="23"/>
      <c r="W88" s="23"/>
      <c r="X88" s="23"/>
      <c r="Y88" s="23"/>
      <c r="Z88" s="23"/>
      <c r="AA88" s="23"/>
      <c r="AB88" s="23"/>
      <c r="AC88" s="23"/>
      <c r="AD88" s="23"/>
      <c r="AE88" s="23"/>
      <c r="AF88" s="23"/>
      <c r="AG88" s="23"/>
      <c r="AH88" s="23"/>
      <c r="AI88" s="23"/>
      <c r="AJ88" s="23"/>
      <c r="AK88" s="23"/>
      <c r="AL88" s="23"/>
      <c r="AM88" s="23"/>
      <c r="AN88" s="23"/>
      <c r="AO88" s="23"/>
      <c r="AP88" s="23"/>
      <c r="AQ88" s="23"/>
      <c r="AR88" s="23"/>
      <c r="AS88" s="23"/>
      <c r="AT88" s="23"/>
      <c r="AU88" s="23"/>
      <c r="AV88" s="23"/>
      <c r="AW88" s="23"/>
      <c r="AX88" s="23"/>
      <c r="AY88" s="23"/>
      <c r="AZ88" s="23"/>
      <c r="BA88" s="23"/>
      <c r="BB88" s="23"/>
      <c r="BC88" s="23"/>
      <c r="BD88" s="23"/>
      <c r="BE88" s="23"/>
      <c r="BF88" s="23"/>
      <c r="BG88" s="23"/>
      <c r="BH88" s="23"/>
      <c r="BI88" s="23"/>
      <c r="BJ88" s="23"/>
      <c r="BK88" s="23"/>
      <c r="BL88" s="23"/>
      <c r="BM88" s="23"/>
      <c r="BN88" s="23"/>
      <c r="BO88" s="23"/>
      <c r="BP88" s="23"/>
      <c r="BQ88" s="23"/>
      <c r="BR88" s="23"/>
      <c r="BS88" s="23"/>
      <c r="BT88" s="23"/>
      <c r="BU88" s="23"/>
      <c r="BV88" s="23"/>
      <c r="BW88" s="23"/>
      <c r="BX88" s="23"/>
      <c r="BY88" s="23"/>
      <c r="BZ88" s="23"/>
      <c r="CA88" s="23"/>
      <c r="CB88" s="23"/>
      <c r="CC88" s="23"/>
      <c r="CD88" s="23"/>
      <c r="CE88" s="23"/>
      <c r="CF88" s="23"/>
      <c r="CG88" s="23"/>
      <c r="CH88" s="23"/>
      <c r="CI88" s="23"/>
      <c r="CJ88" s="23"/>
      <c r="CK88" s="23"/>
      <c r="CL88" s="23"/>
      <c r="CM88" s="23"/>
      <c r="CN88" s="23"/>
      <c r="CO88" s="23"/>
      <c r="CP88" s="23"/>
      <c r="CQ88" s="23"/>
      <c r="CR88" s="23"/>
      <c r="CS88" s="23"/>
      <c r="CT88" s="23"/>
      <c r="CU88" s="23"/>
      <c r="CV88" s="23"/>
      <c r="CW88" s="23"/>
      <c r="CX88" s="23"/>
      <c r="CY88" s="23"/>
      <c r="CZ88" s="23"/>
      <c r="DA88" s="23"/>
      <c r="DB88" s="23"/>
      <c r="DC88" s="23"/>
      <c r="DD88" s="23"/>
      <c r="DE88" s="23"/>
      <c r="DF88" s="23"/>
      <c r="DG88" s="23"/>
      <c r="DH88" s="23"/>
      <c r="DI88" s="23"/>
      <c r="DJ88" s="23"/>
      <c r="DK88" s="23"/>
      <c r="DL88" s="23"/>
      <c r="DM88" s="23"/>
      <c r="DN88" s="23"/>
      <c r="DO88" s="23"/>
      <c r="DP88" s="23"/>
      <c r="DQ88" s="23"/>
      <c r="DR88" s="23"/>
      <c r="DS88" s="23"/>
      <c r="DT88" s="23"/>
      <c r="DU88" s="23"/>
      <c r="DV88" s="23"/>
      <c r="DW88" s="23"/>
      <c r="DX88" s="23"/>
      <c r="DY88" s="23"/>
      <c r="DZ88" s="23"/>
      <c r="EA88" s="23"/>
      <c r="EB88" s="23"/>
      <c r="EC88" s="23"/>
      <c r="ED88" s="23"/>
      <c r="EE88" s="23"/>
      <c r="EF88" s="23"/>
      <c r="EG88" s="23"/>
      <c r="EH88" s="23"/>
      <c r="EI88" s="23"/>
      <c r="EJ88" s="23"/>
      <c r="EK88" s="23"/>
      <c r="EL88" s="23"/>
      <c r="EM88" s="23"/>
      <c r="EN88" s="23"/>
      <c r="EO88" s="23"/>
      <c r="EP88" s="23"/>
      <c r="EQ88" s="23"/>
      <c r="ER88" s="23"/>
      <c r="ES88" s="23"/>
      <c r="ET88" s="23"/>
      <c r="EU88" s="23"/>
      <c r="EV88" s="23"/>
      <c r="EW88" s="23"/>
      <c r="EX88" s="23"/>
      <c r="EY88" s="23"/>
      <c r="EZ88" s="23"/>
      <c r="FA88" s="23"/>
      <c r="FB88" s="23"/>
      <c r="FC88" s="23"/>
      <c r="FD88" s="23"/>
      <c r="FE88" s="23"/>
      <c r="FF88" s="23"/>
      <c r="FG88" s="23"/>
      <c r="FH88" s="23"/>
      <c r="FI88" s="23"/>
      <c r="FJ88" s="23"/>
      <c r="FK88" s="23"/>
      <c r="FL88" s="23"/>
      <c r="FM88" s="23"/>
      <c r="FN88" s="23"/>
      <c r="FO88" s="23"/>
      <c r="FP88" s="23"/>
      <c r="FQ88" s="23"/>
      <c r="FR88" s="23"/>
      <c r="FS88" s="23"/>
      <c r="FT88" s="23"/>
      <c r="FU88" s="23"/>
      <c r="FV88" s="23"/>
      <c r="FW88" s="23"/>
      <c r="FX88" s="23"/>
      <c r="FY88" s="23"/>
      <c r="FZ88" s="23"/>
      <c r="GA88" s="23"/>
      <c r="GB88" s="23"/>
      <c r="GC88" s="23"/>
      <c r="GD88" s="23"/>
      <c r="GE88" s="23"/>
      <c r="GF88" s="23"/>
      <c r="GG88" s="23"/>
      <c r="GH88" s="23"/>
      <c r="GI88" s="23"/>
      <c r="GJ88" s="23"/>
      <c r="GK88" s="23"/>
      <c r="GL88" s="23"/>
      <c r="GM88" s="23"/>
      <c r="GN88" s="23"/>
      <c r="GO88" s="23"/>
      <c r="GP88" s="23"/>
      <c r="GQ88" s="23"/>
      <c r="GR88" s="23"/>
      <c r="GS88" s="23"/>
      <c r="GT88" s="23"/>
      <c r="GU88" s="23"/>
      <c r="GV88" s="23"/>
      <c r="GW88" s="23"/>
      <c r="GX88" s="23"/>
      <c r="GY88" s="23"/>
      <c r="GZ88" s="23"/>
      <c r="HA88" s="23"/>
      <c r="HB88" s="23"/>
      <c r="HC88" s="23"/>
      <c r="HD88" s="23"/>
      <c r="HE88" s="23"/>
      <c r="HF88" s="23"/>
      <c r="HG88" s="23"/>
      <c r="HH88" s="23"/>
      <c r="HI88" s="23"/>
      <c r="HJ88" s="23"/>
      <c r="HK88" s="23"/>
      <c r="HL88" s="23"/>
      <c r="HM88" s="23"/>
      <c r="HN88" s="23"/>
      <c r="HO88" s="23"/>
      <c r="HP88" s="23"/>
      <c r="HQ88" s="23"/>
      <c r="HR88" s="23"/>
      <c r="HS88" s="23"/>
      <c r="HT88" s="23"/>
      <c r="HU88" s="23"/>
      <c r="HV88" s="23"/>
      <c r="HW88" s="23"/>
      <c r="HX88" s="23"/>
      <c r="HY88" s="23"/>
      <c r="HZ88" s="23"/>
      <c r="IA88" s="23"/>
      <c r="IB88" s="23"/>
      <c r="IC88" s="23"/>
      <c r="ID88" s="23"/>
      <c r="IE88" s="23"/>
      <c r="IF88" s="23"/>
      <c r="IG88" s="23"/>
      <c r="IH88" s="23"/>
      <c r="II88" s="23"/>
      <c r="IJ88" s="23"/>
      <c r="IK88" s="23"/>
      <c r="IL88" s="23"/>
      <c r="IM88" s="23"/>
      <c r="IN88" s="23"/>
      <c r="IO88" s="23"/>
      <c r="IP88" s="23"/>
      <c r="IQ88" s="23"/>
      <c r="IR88" s="23"/>
      <c r="IS88" s="23"/>
      <c r="IT88" s="23"/>
      <c r="IU88" s="23"/>
      <c r="IV88" s="23"/>
    </row>
    <row r="89" spans="1:256" ht="20.100000000000001" customHeight="1" x14ac:dyDescent="0.3">
      <c r="A89" s="1600">
        <v>83</v>
      </c>
      <c r="B89" s="1"/>
      <c r="C89" s="1646"/>
      <c r="D89" s="1667" t="s">
        <v>1298</v>
      </c>
      <c r="E89" s="1612">
        <v>127</v>
      </c>
      <c r="F89" s="23"/>
      <c r="G89" s="1923"/>
      <c r="H89" s="2105"/>
      <c r="I89" s="23"/>
      <c r="J89" s="704"/>
      <c r="K89" s="23"/>
      <c r="L89" s="704"/>
      <c r="M89" s="23"/>
      <c r="N89" s="23"/>
      <c r="O89" s="23"/>
      <c r="P89" s="23"/>
      <c r="Q89" s="23"/>
      <c r="R89" s="23"/>
      <c r="S89" s="23"/>
      <c r="T89" s="23"/>
      <c r="U89" s="23"/>
      <c r="V89" s="23"/>
      <c r="W89" s="23"/>
      <c r="X89" s="23"/>
      <c r="Y89" s="23"/>
      <c r="Z89" s="23"/>
      <c r="AA89" s="23"/>
      <c r="AB89" s="23"/>
      <c r="AC89" s="23"/>
      <c r="AD89" s="23"/>
      <c r="AE89" s="23"/>
      <c r="AF89" s="23"/>
      <c r="AG89" s="23"/>
      <c r="AH89" s="23"/>
      <c r="AI89" s="23"/>
      <c r="AJ89" s="23"/>
      <c r="AK89" s="23"/>
      <c r="AL89" s="23"/>
      <c r="AM89" s="23"/>
      <c r="AN89" s="23"/>
      <c r="AO89" s="23"/>
      <c r="AP89" s="23"/>
      <c r="AQ89" s="23"/>
      <c r="AR89" s="23"/>
      <c r="AS89" s="23"/>
      <c r="AT89" s="23"/>
      <c r="AU89" s="23"/>
      <c r="AV89" s="23"/>
      <c r="AW89" s="23"/>
      <c r="AX89" s="23"/>
      <c r="AY89" s="23"/>
      <c r="AZ89" s="23"/>
      <c r="BA89" s="23"/>
      <c r="BB89" s="23"/>
      <c r="BC89" s="23"/>
      <c r="BD89" s="23"/>
      <c r="BE89" s="23"/>
      <c r="BF89" s="23"/>
      <c r="BG89" s="23"/>
      <c r="BH89" s="23"/>
      <c r="BI89" s="23"/>
      <c r="BJ89" s="23"/>
      <c r="BK89" s="23"/>
      <c r="BL89" s="23"/>
      <c r="BM89" s="23"/>
      <c r="BN89" s="23"/>
      <c r="BO89" s="23"/>
      <c r="BP89" s="23"/>
      <c r="BQ89" s="23"/>
      <c r="BR89" s="23"/>
      <c r="BS89" s="23"/>
      <c r="BT89" s="23"/>
      <c r="BU89" s="23"/>
      <c r="BV89" s="23"/>
      <c r="BW89" s="23"/>
      <c r="BX89" s="23"/>
      <c r="BY89" s="23"/>
      <c r="BZ89" s="23"/>
      <c r="CA89" s="23"/>
      <c r="CB89" s="23"/>
      <c r="CC89" s="23"/>
      <c r="CD89" s="23"/>
      <c r="CE89" s="23"/>
      <c r="CF89" s="23"/>
      <c r="CG89" s="23"/>
      <c r="CH89" s="23"/>
      <c r="CI89" s="23"/>
      <c r="CJ89" s="23"/>
      <c r="CK89" s="23"/>
      <c r="CL89" s="23"/>
      <c r="CM89" s="23"/>
      <c r="CN89" s="23"/>
      <c r="CO89" s="23"/>
      <c r="CP89" s="23"/>
      <c r="CQ89" s="23"/>
      <c r="CR89" s="23"/>
      <c r="CS89" s="23"/>
      <c r="CT89" s="23"/>
      <c r="CU89" s="23"/>
      <c r="CV89" s="23"/>
      <c r="CW89" s="23"/>
      <c r="CX89" s="23"/>
      <c r="CY89" s="23"/>
      <c r="CZ89" s="23"/>
      <c r="DA89" s="23"/>
      <c r="DB89" s="23"/>
      <c r="DC89" s="23"/>
      <c r="DD89" s="23"/>
      <c r="DE89" s="23"/>
      <c r="DF89" s="23"/>
      <c r="DG89" s="23"/>
      <c r="DH89" s="23"/>
      <c r="DI89" s="23"/>
      <c r="DJ89" s="23"/>
      <c r="DK89" s="23"/>
      <c r="DL89" s="23"/>
      <c r="DM89" s="23"/>
      <c r="DN89" s="23"/>
      <c r="DO89" s="23"/>
      <c r="DP89" s="23"/>
      <c r="DQ89" s="23"/>
      <c r="DR89" s="23"/>
      <c r="DS89" s="23"/>
      <c r="DT89" s="23"/>
      <c r="DU89" s="23"/>
      <c r="DV89" s="23"/>
      <c r="DW89" s="23"/>
      <c r="DX89" s="23"/>
      <c r="DY89" s="23"/>
      <c r="DZ89" s="23"/>
      <c r="EA89" s="23"/>
      <c r="EB89" s="23"/>
      <c r="EC89" s="23"/>
      <c r="ED89" s="23"/>
      <c r="EE89" s="23"/>
      <c r="EF89" s="23"/>
      <c r="EG89" s="23"/>
      <c r="EH89" s="23"/>
      <c r="EI89" s="23"/>
      <c r="EJ89" s="23"/>
      <c r="EK89" s="23"/>
      <c r="EL89" s="23"/>
      <c r="EM89" s="23"/>
      <c r="EN89" s="23"/>
      <c r="EO89" s="23"/>
      <c r="EP89" s="23"/>
      <c r="EQ89" s="23"/>
      <c r="ER89" s="23"/>
      <c r="ES89" s="23"/>
      <c r="ET89" s="23"/>
      <c r="EU89" s="23"/>
      <c r="EV89" s="23"/>
      <c r="EW89" s="23"/>
      <c r="EX89" s="23"/>
      <c r="EY89" s="23"/>
      <c r="EZ89" s="23"/>
      <c r="FA89" s="23"/>
      <c r="FB89" s="23"/>
      <c r="FC89" s="23"/>
      <c r="FD89" s="23"/>
      <c r="FE89" s="23"/>
      <c r="FF89" s="23"/>
      <c r="FG89" s="23"/>
      <c r="FH89" s="23"/>
      <c r="FI89" s="23"/>
      <c r="FJ89" s="23"/>
      <c r="FK89" s="23"/>
      <c r="FL89" s="23"/>
      <c r="FM89" s="23"/>
      <c r="FN89" s="23"/>
      <c r="FO89" s="23"/>
      <c r="FP89" s="23"/>
      <c r="FQ89" s="23"/>
      <c r="FR89" s="23"/>
      <c r="FS89" s="23"/>
      <c r="FT89" s="23"/>
      <c r="FU89" s="23"/>
      <c r="FV89" s="23"/>
      <c r="FW89" s="23"/>
      <c r="FX89" s="23"/>
      <c r="FY89" s="23"/>
      <c r="FZ89" s="23"/>
      <c r="GA89" s="23"/>
      <c r="GB89" s="23"/>
      <c r="GC89" s="23"/>
      <c r="GD89" s="23"/>
      <c r="GE89" s="23"/>
      <c r="GF89" s="23"/>
      <c r="GG89" s="23"/>
      <c r="GH89" s="23"/>
      <c r="GI89" s="23"/>
      <c r="GJ89" s="23"/>
      <c r="GK89" s="23"/>
      <c r="GL89" s="23"/>
      <c r="GM89" s="23"/>
      <c r="GN89" s="23"/>
      <c r="GO89" s="23"/>
      <c r="GP89" s="23"/>
      <c r="GQ89" s="23"/>
      <c r="GR89" s="23"/>
      <c r="GS89" s="23"/>
      <c r="GT89" s="23"/>
      <c r="GU89" s="23"/>
      <c r="GV89" s="23"/>
      <c r="GW89" s="23"/>
      <c r="GX89" s="23"/>
      <c r="GY89" s="23"/>
      <c r="GZ89" s="23"/>
      <c r="HA89" s="23"/>
      <c r="HB89" s="23"/>
      <c r="HC89" s="23"/>
      <c r="HD89" s="23"/>
      <c r="HE89" s="23"/>
      <c r="HF89" s="23"/>
      <c r="HG89" s="23"/>
      <c r="HH89" s="23"/>
      <c r="HI89" s="23"/>
      <c r="HJ89" s="23"/>
      <c r="HK89" s="23"/>
      <c r="HL89" s="23"/>
      <c r="HM89" s="23"/>
      <c r="HN89" s="23"/>
      <c r="HO89" s="23"/>
      <c r="HP89" s="23"/>
      <c r="HQ89" s="23"/>
      <c r="HR89" s="23"/>
      <c r="HS89" s="23"/>
      <c r="HT89" s="23"/>
      <c r="HU89" s="23"/>
      <c r="HV89" s="23"/>
      <c r="HW89" s="23"/>
      <c r="HX89" s="23"/>
      <c r="HY89" s="23"/>
      <c r="HZ89" s="23"/>
      <c r="IA89" s="23"/>
      <c r="IB89" s="23"/>
      <c r="IC89" s="23"/>
      <c r="ID89" s="23"/>
      <c r="IE89" s="23"/>
      <c r="IF89" s="23"/>
      <c r="IG89" s="23"/>
      <c r="IH89" s="23"/>
      <c r="II89" s="23"/>
      <c r="IJ89" s="23"/>
      <c r="IK89" s="23"/>
      <c r="IL89" s="23"/>
      <c r="IM89" s="23"/>
      <c r="IN89" s="23"/>
      <c r="IO89" s="23"/>
      <c r="IP89" s="23"/>
      <c r="IQ89" s="23"/>
      <c r="IR89" s="23"/>
      <c r="IS89" s="23"/>
      <c r="IT89" s="23"/>
      <c r="IU89" s="23"/>
      <c r="IV89" s="23"/>
    </row>
    <row r="90" spans="1:256" ht="20.100000000000001" customHeight="1" x14ac:dyDescent="0.3">
      <c r="A90" s="1600">
        <v>84</v>
      </c>
      <c r="B90" s="1"/>
      <c r="C90" s="1646"/>
      <c r="D90" s="2106" t="s">
        <v>129</v>
      </c>
      <c r="E90" s="1611">
        <f>SUM(E87:E89)</f>
        <v>2010</v>
      </c>
      <c r="F90" s="23"/>
      <c r="G90" s="1923"/>
      <c r="H90" s="2105"/>
      <c r="I90" s="23"/>
      <c r="J90" s="704"/>
      <c r="K90" s="23"/>
      <c r="L90" s="704"/>
      <c r="M90" s="23"/>
      <c r="N90" s="23"/>
      <c r="O90" s="23"/>
      <c r="P90" s="23"/>
      <c r="Q90" s="23"/>
      <c r="R90" s="23"/>
      <c r="S90" s="23"/>
      <c r="T90" s="23"/>
      <c r="U90" s="23"/>
      <c r="V90" s="23"/>
      <c r="W90" s="23"/>
      <c r="X90" s="23"/>
      <c r="Y90" s="23"/>
      <c r="Z90" s="23"/>
      <c r="AA90" s="23"/>
      <c r="AB90" s="23"/>
      <c r="AC90" s="23"/>
      <c r="AD90" s="23"/>
      <c r="AE90" s="23"/>
      <c r="AF90" s="23"/>
      <c r="AG90" s="23"/>
      <c r="AH90" s="23"/>
      <c r="AI90" s="23"/>
      <c r="AJ90" s="23"/>
      <c r="AK90" s="23"/>
      <c r="AL90" s="23"/>
      <c r="AM90" s="23"/>
      <c r="AN90" s="23"/>
      <c r="AO90" s="23"/>
      <c r="AP90" s="23"/>
      <c r="AQ90" s="23"/>
      <c r="AR90" s="23"/>
      <c r="AS90" s="23"/>
      <c r="AT90" s="23"/>
      <c r="AU90" s="23"/>
      <c r="AV90" s="23"/>
      <c r="AW90" s="23"/>
      <c r="AX90" s="23"/>
      <c r="AY90" s="23"/>
      <c r="AZ90" s="23"/>
      <c r="BA90" s="23"/>
      <c r="BB90" s="23"/>
      <c r="BC90" s="23"/>
      <c r="BD90" s="23"/>
      <c r="BE90" s="23"/>
      <c r="BF90" s="23"/>
      <c r="BG90" s="23"/>
      <c r="BH90" s="23"/>
      <c r="BI90" s="23"/>
      <c r="BJ90" s="23"/>
      <c r="BK90" s="23"/>
      <c r="BL90" s="23"/>
      <c r="BM90" s="23"/>
      <c r="BN90" s="23"/>
      <c r="BO90" s="23"/>
      <c r="BP90" s="23"/>
      <c r="BQ90" s="23"/>
      <c r="BR90" s="23"/>
      <c r="BS90" s="23"/>
      <c r="BT90" s="23"/>
      <c r="BU90" s="23"/>
      <c r="BV90" s="23"/>
      <c r="BW90" s="23"/>
      <c r="BX90" s="23"/>
      <c r="BY90" s="23"/>
      <c r="BZ90" s="23"/>
      <c r="CA90" s="23"/>
      <c r="CB90" s="23"/>
      <c r="CC90" s="23"/>
      <c r="CD90" s="23"/>
      <c r="CE90" s="23"/>
      <c r="CF90" s="23"/>
      <c r="CG90" s="23"/>
      <c r="CH90" s="23"/>
      <c r="CI90" s="23"/>
      <c r="CJ90" s="23"/>
      <c r="CK90" s="23"/>
      <c r="CL90" s="23"/>
      <c r="CM90" s="23"/>
      <c r="CN90" s="23"/>
      <c r="CO90" s="23"/>
      <c r="CP90" s="23"/>
      <c r="CQ90" s="23"/>
      <c r="CR90" s="23"/>
      <c r="CS90" s="23"/>
      <c r="CT90" s="23"/>
      <c r="CU90" s="23"/>
      <c r="CV90" s="23"/>
      <c r="CW90" s="23"/>
      <c r="CX90" s="23"/>
      <c r="CY90" s="23"/>
      <c r="CZ90" s="23"/>
      <c r="DA90" s="23"/>
      <c r="DB90" s="23"/>
      <c r="DC90" s="23"/>
      <c r="DD90" s="23"/>
      <c r="DE90" s="23"/>
      <c r="DF90" s="23"/>
      <c r="DG90" s="23"/>
      <c r="DH90" s="23"/>
      <c r="DI90" s="23"/>
      <c r="DJ90" s="23"/>
      <c r="DK90" s="23"/>
      <c r="DL90" s="23"/>
      <c r="DM90" s="23"/>
      <c r="DN90" s="23"/>
      <c r="DO90" s="23"/>
      <c r="DP90" s="23"/>
      <c r="DQ90" s="23"/>
      <c r="DR90" s="23"/>
      <c r="DS90" s="23"/>
      <c r="DT90" s="23"/>
      <c r="DU90" s="23"/>
      <c r="DV90" s="23"/>
      <c r="DW90" s="23"/>
      <c r="DX90" s="23"/>
      <c r="DY90" s="23"/>
      <c r="DZ90" s="23"/>
      <c r="EA90" s="23"/>
      <c r="EB90" s="23"/>
      <c r="EC90" s="23"/>
      <c r="ED90" s="23"/>
      <c r="EE90" s="23"/>
      <c r="EF90" s="23"/>
      <c r="EG90" s="23"/>
      <c r="EH90" s="23"/>
      <c r="EI90" s="23"/>
      <c r="EJ90" s="23"/>
      <c r="EK90" s="23"/>
      <c r="EL90" s="23"/>
      <c r="EM90" s="23"/>
      <c r="EN90" s="23"/>
      <c r="EO90" s="23"/>
      <c r="EP90" s="23"/>
      <c r="EQ90" s="23"/>
      <c r="ER90" s="23"/>
      <c r="ES90" s="23"/>
      <c r="ET90" s="23"/>
      <c r="EU90" s="23"/>
      <c r="EV90" s="23"/>
      <c r="EW90" s="23"/>
      <c r="EX90" s="23"/>
      <c r="EY90" s="23"/>
      <c r="EZ90" s="23"/>
      <c r="FA90" s="23"/>
      <c r="FB90" s="23"/>
      <c r="FC90" s="23"/>
      <c r="FD90" s="23"/>
      <c r="FE90" s="23"/>
      <c r="FF90" s="23"/>
      <c r="FG90" s="23"/>
      <c r="FH90" s="23"/>
      <c r="FI90" s="23"/>
      <c r="FJ90" s="23"/>
      <c r="FK90" s="23"/>
      <c r="FL90" s="23"/>
      <c r="FM90" s="23"/>
      <c r="FN90" s="23"/>
      <c r="FO90" s="23"/>
      <c r="FP90" s="23"/>
      <c r="FQ90" s="23"/>
      <c r="FR90" s="23"/>
      <c r="FS90" s="23"/>
      <c r="FT90" s="23"/>
      <c r="FU90" s="23"/>
      <c r="FV90" s="23"/>
      <c r="FW90" s="23"/>
      <c r="FX90" s="23"/>
      <c r="FY90" s="23"/>
      <c r="FZ90" s="23"/>
      <c r="GA90" s="23"/>
      <c r="GB90" s="23"/>
      <c r="GC90" s="23"/>
      <c r="GD90" s="23"/>
      <c r="GE90" s="23"/>
      <c r="GF90" s="23"/>
      <c r="GG90" s="23"/>
      <c r="GH90" s="23"/>
      <c r="GI90" s="23"/>
      <c r="GJ90" s="23"/>
      <c r="GK90" s="23"/>
      <c r="GL90" s="23"/>
      <c r="GM90" s="23"/>
      <c r="GN90" s="23"/>
      <c r="GO90" s="23"/>
      <c r="GP90" s="23"/>
      <c r="GQ90" s="23"/>
      <c r="GR90" s="23"/>
      <c r="GS90" s="23"/>
      <c r="GT90" s="23"/>
      <c r="GU90" s="23"/>
      <c r="GV90" s="23"/>
      <c r="GW90" s="23"/>
      <c r="GX90" s="23"/>
      <c r="GY90" s="23"/>
      <c r="GZ90" s="23"/>
      <c r="HA90" s="23"/>
      <c r="HB90" s="23"/>
      <c r="HC90" s="23"/>
      <c r="HD90" s="23"/>
      <c r="HE90" s="23"/>
      <c r="HF90" s="23"/>
      <c r="HG90" s="23"/>
      <c r="HH90" s="23"/>
      <c r="HI90" s="23"/>
      <c r="HJ90" s="23"/>
      <c r="HK90" s="23"/>
      <c r="HL90" s="23"/>
      <c r="HM90" s="23"/>
      <c r="HN90" s="23"/>
      <c r="HO90" s="23"/>
      <c r="HP90" s="23"/>
      <c r="HQ90" s="23"/>
      <c r="HR90" s="23"/>
      <c r="HS90" s="23"/>
      <c r="HT90" s="23"/>
      <c r="HU90" s="23"/>
      <c r="HV90" s="23"/>
      <c r="HW90" s="23"/>
      <c r="HX90" s="23"/>
      <c r="HY90" s="23"/>
      <c r="HZ90" s="23"/>
      <c r="IA90" s="23"/>
      <c r="IB90" s="23"/>
      <c r="IC90" s="23"/>
      <c r="ID90" s="23"/>
      <c r="IE90" s="23"/>
      <c r="IF90" s="23"/>
      <c r="IG90" s="23"/>
      <c r="IH90" s="23"/>
      <c r="II90" s="23"/>
      <c r="IJ90" s="23"/>
      <c r="IK90" s="23"/>
      <c r="IL90" s="23"/>
      <c r="IM90" s="23"/>
      <c r="IN90" s="23"/>
      <c r="IO90" s="23"/>
      <c r="IP90" s="23"/>
      <c r="IQ90" s="23"/>
      <c r="IR90" s="23"/>
      <c r="IS90" s="23"/>
      <c r="IT90" s="23"/>
      <c r="IU90" s="23"/>
      <c r="IV90" s="23"/>
    </row>
    <row r="91" spans="1:256" ht="24.95" customHeight="1" x14ac:dyDescent="0.3">
      <c r="A91" s="1600">
        <v>85</v>
      </c>
      <c r="B91" s="1"/>
      <c r="C91" s="1646"/>
      <c r="D91" s="1663" t="s">
        <v>1201</v>
      </c>
      <c r="E91" s="1939"/>
      <c r="F91" s="23"/>
      <c r="G91" s="1923"/>
      <c r="H91" s="23"/>
      <c r="I91" s="23"/>
      <c r="J91" s="704"/>
      <c r="K91" s="23"/>
      <c r="L91" s="704"/>
      <c r="M91" s="23"/>
      <c r="N91" s="23"/>
      <c r="O91" s="23"/>
      <c r="P91" s="23"/>
      <c r="Q91" s="23"/>
      <c r="R91" s="23"/>
      <c r="S91" s="23"/>
      <c r="T91" s="23"/>
      <c r="U91" s="23"/>
      <c r="V91" s="23"/>
      <c r="W91" s="23"/>
      <c r="X91" s="23"/>
      <c r="Y91" s="23"/>
      <c r="Z91" s="23"/>
      <c r="AA91" s="23"/>
      <c r="AB91" s="23"/>
      <c r="AC91" s="23"/>
      <c r="AD91" s="23"/>
      <c r="AE91" s="23"/>
      <c r="AF91" s="23"/>
      <c r="AG91" s="23"/>
      <c r="AH91" s="23"/>
      <c r="AI91" s="23"/>
      <c r="AJ91" s="23"/>
      <c r="AK91" s="23"/>
      <c r="AL91" s="23"/>
      <c r="AM91" s="23"/>
      <c r="AN91" s="23"/>
      <c r="AO91" s="23"/>
      <c r="AP91" s="23"/>
      <c r="AQ91" s="23"/>
      <c r="AR91" s="23"/>
      <c r="AS91" s="23"/>
      <c r="AT91" s="23"/>
      <c r="AU91" s="23"/>
      <c r="AV91" s="23"/>
      <c r="AW91" s="23"/>
      <c r="AX91" s="23"/>
      <c r="AY91" s="23"/>
      <c r="AZ91" s="23"/>
      <c r="BA91" s="23"/>
      <c r="BB91" s="23"/>
      <c r="BC91" s="23"/>
      <c r="BD91" s="23"/>
      <c r="BE91" s="23"/>
      <c r="BF91" s="23"/>
      <c r="BG91" s="23"/>
      <c r="BH91" s="23"/>
      <c r="BI91" s="23"/>
      <c r="BJ91" s="23"/>
      <c r="BK91" s="23"/>
      <c r="BL91" s="23"/>
      <c r="BM91" s="23"/>
      <c r="BN91" s="23"/>
      <c r="BO91" s="23"/>
      <c r="BP91" s="23"/>
      <c r="BQ91" s="23"/>
      <c r="BR91" s="23"/>
      <c r="BS91" s="23"/>
      <c r="BT91" s="23"/>
      <c r="BU91" s="23"/>
      <c r="BV91" s="23"/>
      <c r="BW91" s="23"/>
      <c r="BX91" s="23"/>
      <c r="BY91" s="23"/>
      <c r="BZ91" s="23"/>
      <c r="CA91" s="23"/>
      <c r="CB91" s="23"/>
      <c r="CC91" s="23"/>
      <c r="CD91" s="23"/>
      <c r="CE91" s="23"/>
      <c r="CF91" s="23"/>
      <c r="CG91" s="23"/>
      <c r="CH91" s="23"/>
      <c r="CI91" s="23"/>
      <c r="CJ91" s="23"/>
      <c r="CK91" s="23"/>
      <c r="CL91" s="23"/>
      <c r="CM91" s="23"/>
      <c r="CN91" s="23"/>
      <c r="CO91" s="23"/>
      <c r="CP91" s="23"/>
      <c r="CQ91" s="23"/>
      <c r="CR91" s="23"/>
      <c r="CS91" s="23"/>
      <c r="CT91" s="23"/>
      <c r="CU91" s="23"/>
      <c r="CV91" s="23"/>
      <c r="CW91" s="23"/>
      <c r="CX91" s="23"/>
      <c r="CY91" s="23"/>
      <c r="CZ91" s="23"/>
      <c r="DA91" s="23"/>
      <c r="DB91" s="23"/>
      <c r="DC91" s="23"/>
      <c r="DD91" s="23"/>
      <c r="DE91" s="23"/>
      <c r="DF91" s="23"/>
      <c r="DG91" s="23"/>
      <c r="DH91" s="23"/>
      <c r="DI91" s="23"/>
      <c r="DJ91" s="23"/>
      <c r="DK91" s="23"/>
      <c r="DL91" s="23"/>
      <c r="DM91" s="23"/>
      <c r="DN91" s="23"/>
      <c r="DO91" s="23"/>
      <c r="DP91" s="23"/>
      <c r="DQ91" s="23"/>
      <c r="DR91" s="23"/>
      <c r="DS91" s="23"/>
      <c r="DT91" s="23"/>
      <c r="DU91" s="23"/>
      <c r="DV91" s="23"/>
      <c r="DW91" s="23"/>
      <c r="DX91" s="23"/>
      <c r="DY91" s="23"/>
      <c r="DZ91" s="23"/>
      <c r="EA91" s="23"/>
      <c r="EB91" s="23"/>
      <c r="EC91" s="23"/>
      <c r="ED91" s="23"/>
      <c r="EE91" s="23"/>
      <c r="EF91" s="23"/>
      <c r="EG91" s="23"/>
      <c r="EH91" s="23"/>
      <c r="EI91" s="23"/>
      <c r="EJ91" s="23"/>
      <c r="EK91" s="23"/>
      <c r="EL91" s="23"/>
      <c r="EM91" s="23"/>
      <c r="EN91" s="23"/>
      <c r="EO91" s="23"/>
      <c r="EP91" s="23"/>
      <c r="EQ91" s="23"/>
      <c r="ER91" s="23"/>
      <c r="ES91" s="23"/>
      <c r="ET91" s="23"/>
      <c r="EU91" s="23"/>
      <c r="EV91" s="23"/>
      <c r="EW91" s="23"/>
      <c r="EX91" s="23"/>
      <c r="EY91" s="23"/>
      <c r="EZ91" s="23"/>
      <c r="FA91" s="23"/>
      <c r="FB91" s="23"/>
      <c r="FC91" s="23"/>
      <c r="FD91" s="23"/>
      <c r="FE91" s="23"/>
      <c r="FF91" s="23"/>
      <c r="FG91" s="23"/>
      <c r="FH91" s="23"/>
      <c r="FI91" s="23"/>
      <c r="FJ91" s="23"/>
      <c r="FK91" s="23"/>
      <c r="FL91" s="23"/>
      <c r="FM91" s="23"/>
      <c r="FN91" s="23"/>
      <c r="FO91" s="23"/>
      <c r="FP91" s="23"/>
      <c r="FQ91" s="23"/>
      <c r="FR91" s="23"/>
      <c r="FS91" s="23"/>
      <c r="FT91" s="23"/>
      <c r="FU91" s="23"/>
      <c r="FV91" s="23"/>
      <c r="FW91" s="23"/>
      <c r="FX91" s="23"/>
      <c r="FY91" s="23"/>
      <c r="FZ91" s="23"/>
      <c r="GA91" s="23"/>
      <c r="GB91" s="23"/>
      <c r="GC91" s="23"/>
      <c r="GD91" s="23"/>
      <c r="GE91" s="23"/>
      <c r="GF91" s="23"/>
      <c r="GG91" s="23"/>
      <c r="GH91" s="23"/>
      <c r="GI91" s="23"/>
      <c r="GJ91" s="23"/>
      <c r="GK91" s="23"/>
      <c r="GL91" s="23"/>
      <c r="GM91" s="23"/>
      <c r="GN91" s="23"/>
      <c r="GO91" s="23"/>
      <c r="GP91" s="23"/>
      <c r="GQ91" s="23"/>
      <c r="GR91" s="23"/>
      <c r="GS91" s="23"/>
      <c r="GT91" s="23"/>
      <c r="GU91" s="23"/>
      <c r="GV91" s="23"/>
      <c r="GW91" s="23"/>
      <c r="GX91" s="23"/>
      <c r="GY91" s="23"/>
      <c r="GZ91" s="23"/>
      <c r="HA91" s="23"/>
      <c r="HB91" s="23"/>
      <c r="HC91" s="23"/>
      <c r="HD91" s="23"/>
      <c r="HE91" s="23"/>
      <c r="HF91" s="23"/>
      <c r="HG91" s="23"/>
      <c r="HH91" s="23"/>
      <c r="HI91" s="23"/>
      <c r="HJ91" s="23"/>
      <c r="HK91" s="23"/>
      <c r="HL91" s="23"/>
      <c r="HM91" s="23"/>
      <c r="HN91" s="23"/>
      <c r="HO91" s="23"/>
      <c r="HP91" s="23"/>
      <c r="HQ91" s="23"/>
      <c r="HR91" s="23"/>
      <c r="HS91" s="23"/>
      <c r="HT91" s="23"/>
      <c r="HU91" s="23"/>
      <c r="HV91" s="23"/>
      <c r="HW91" s="23"/>
      <c r="HX91" s="23"/>
      <c r="HY91" s="23"/>
      <c r="HZ91" s="23"/>
      <c r="IA91" s="23"/>
      <c r="IB91" s="23"/>
      <c r="IC91" s="23"/>
      <c r="ID91" s="23"/>
      <c r="IE91" s="23"/>
      <c r="IF91" s="23"/>
      <c r="IG91" s="23"/>
      <c r="IH91" s="23"/>
      <c r="II91" s="23"/>
      <c r="IJ91" s="23"/>
      <c r="IK91" s="23"/>
      <c r="IL91" s="23"/>
      <c r="IM91" s="23"/>
      <c r="IN91" s="23"/>
      <c r="IO91" s="23"/>
      <c r="IP91" s="23"/>
      <c r="IQ91" s="23"/>
      <c r="IR91" s="23"/>
      <c r="IS91" s="23"/>
      <c r="IT91" s="23"/>
      <c r="IU91" s="23"/>
      <c r="IV91" s="23"/>
    </row>
    <row r="92" spans="1:256" ht="20.100000000000001" customHeight="1" x14ac:dyDescent="0.3">
      <c r="A92" s="1600">
        <v>86</v>
      </c>
      <c r="B92" s="1"/>
      <c r="C92" s="1646"/>
      <c r="D92" s="1667" t="s">
        <v>693</v>
      </c>
      <c r="E92" s="1611">
        <v>311</v>
      </c>
      <c r="F92" s="23"/>
      <c r="G92" s="1923"/>
      <c r="H92" s="23"/>
      <c r="I92" s="23"/>
      <c r="J92" s="704"/>
      <c r="K92" s="23"/>
      <c r="L92" s="704"/>
      <c r="M92" s="23"/>
      <c r="N92" s="23"/>
      <c r="O92" s="23"/>
      <c r="P92" s="23"/>
      <c r="Q92" s="23"/>
      <c r="R92" s="23"/>
      <c r="S92" s="23"/>
      <c r="T92" s="23"/>
      <c r="U92" s="23"/>
      <c r="V92" s="23"/>
      <c r="W92" s="23"/>
      <c r="X92" s="23"/>
      <c r="Y92" s="23"/>
      <c r="Z92" s="23"/>
      <c r="AA92" s="23"/>
      <c r="AB92" s="23"/>
      <c r="AC92" s="23"/>
      <c r="AD92" s="23"/>
      <c r="AE92" s="23"/>
      <c r="AF92" s="23"/>
      <c r="AG92" s="23"/>
      <c r="AH92" s="23"/>
      <c r="AI92" s="23"/>
      <c r="AJ92" s="23"/>
      <c r="AK92" s="23"/>
      <c r="AL92" s="23"/>
      <c r="AM92" s="23"/>
      <c r="AN92" s="23"/>
      <c r="AO92" s="23"/>
      <c r="AP92" s="23"/>
      <c r="AQ92" s="23"/>
      <c r="AR92" s="23"/>
      <c r="AS92" s="23"/>
      <c r="AT92" s="23"/>
      <c r="AU92" s="23"/>
      <c r="AV92" s="23"/>
      <c r="AW92" s="23"/>
      <c r="AX92" s="23"/>
      <c r="AY92" s="23"/>
      <c r="AZ92" s="23"/>
      <c r="BA92" s="23"/>
      <c r="BB92" s="23"/>
      <c r="BC92" s="23"/>
      <c r="BD92" s="23"/>
      <c r="BE92" s="23"/>
      <c r="BF92" s="23"/>
      <c r="BG92" s="23"/>
      <c r="BH92" s="23"/>
      <c r="BI92" s="23"/>
      <c r="BJ92" s="23"/>
      <c r="BK92" s="23"/>
      <c r="BL92" s="23"/>
      <c r="BM92" s="23"/>
      <c r="BN92" s="23"/>
      <c r="BO92" s="23"/>
      <c r="BP92" s="23"/>
      <c r="BQ92" s="23"/>
      <c r="BR92" s="23"/>
      <c r="BS92" s="23"/>
      <c r="BT92" s="23"/>
      <c r="BU92" s="23"/>
      <c r="BV92" s="23"/>
      <c r="BW92" s="23"/>
      <c r="BX92" s="23"/>
      <c r="BY92" s="23"/>
      <c r="BZ92" s="23"/>
      <c r="CA92" s="23"/>
      <c r="CB92" s="23"/>
      <c r="CC92" s="23"/>
      <c r="CD92" s="23"/>
      <c r="CE92" s="23"/>
      <c r="CF92" s="23"/>
      <c r="CG92" s="23"/>
      <c r="CH92" s="23"/>
      <c r="CI92" s="23"/>
      <c r="CJ92" s="23"/>
      <c r="CK92" s="23"/>
      <c r="CL92" s="23"/>
      <c r="CM92" s="23"/>
      <c r="CN92" s="23"/>
      <c r="CO92" s="23"/>
      <c r="CP92" s="23"/>
      <c r="CQ92" s="23"/>
      <c r="CR92" s="23"/>
      <c r="CS92" s="23"/>
      <c r="CT92" s="23"/>
      <c r="CU92" s="23"/>
      <c r="CV92" s="23"/>
      <c r="CW92" s="23"/>
      <c r="CX92" s="23"/>
      <c r="CY92" s="23"/>
      <c r="CZ92" s="23"/>
      <c r="DA92" s="23"/>
      <c r="DB92" s="23"/>
      <c r="DC92" s="23"/>
      <c r="DD92" s="23"/>
      <c r="DE92" s="23"/>
      <c r="DF92" s="23"/>
      <c r="DG92" s="23"/>
      <c r="DH92" s="23"/>
      <c r="DI92" s="23"/>
      <c r="DJ92" s="23"/>
      <c r="DK92" s="23"/>
      <c r="DL92" s="23"/>
      <c r="DM92" s="23"/>
      <c r="DN92" s="23"/>
      <c r="DO92" s="23"/>
      <c r="DP92" s="23"/>
      <c r="DQ92" s="23"/>
      <c r="DR92" s="23"/>
      <c r="DS92" s="23"/>
      <c r="DT92" s="23"/>
      <c r="DU92" s="23"/>
      <c r="DV92" s="23"/>
      <c r="DW92" s="23"/>
      <c r="DX92" s="23"/>
      <c r="DY92" s="23"/>
      <c r="DZ92" s="23"/>
      <c r="EA92" s="23"/>
      <c r="EB92" s="23"/>
      <c r="EC92" s="23"/>
      <c r="ED92" s="23"/>
      <c r="EE92" s="23"/>
      <c r="EF92" s="23"/>
      <c r="EG92" s="23"/>
      <c r="EH92" s="23"/>
      <c r="EI92" s="23"/>
      <c r="EJ92" s="23"/>
      <c r="EK92" s="23"/>
      <c r="EL92" s="23"/>
      <c r="EM92" s="23"/>
      <c r="EN92" s="23"/>
      <c r="EO92" s="23"/>
      <c r="EP92" s="23"/>
      <c r="EQ92" s="23"/>
      <c r="ER92" s="23"/>
      <c r="ES92" s="23"/>
      <c r="ET92" s="23"/>
      <c r="EU92" s="23"/>
      <c r="EV92" s="23"/>
      <c r="EW92" s="23"/>
      <c r="EX92" s="23"/>
      <c r="EY92" s="23"/>
      <c r="EZ92" s="23"/>
      <c r="FA92" s="23"/>
      <c r="FB92" s="23"/>
      <c r="FC92" s="23"/>
      <c r="FD92" s="23"/>
      <c r="FE92" s="23"/>
      <c r="FF92" s="23"/>
      <c r="FG92" s="23"/>
      <c r="FH92" s="23"/>
      <c r="FI92" s="23"/>
      <c r="FJ92" s="23"/>
      <c r="FK92" s="23"/>
      <c r="FL92" s="23"/>
      <c r="FM92" s="23"/>
      <c r="FN92" s="23"/>
      <c r="FO92" s="23"/>
      <c r="FP92" s="23"/>
      <c r="FQ92" s="23"/>
      <c r="FR92" s="23"/>
      <c r="FS92" s="23"/>
      <c r="FT92" s="23"/>
      <c r="FU92" s="23"/>
      <c r="FV92" s="23"/>
      <c r="FW92" s="23"/>
      <c r="FX92" s="23"/>
      <c r="FY92" s="23"/>
      <c r="FZ92" s="23"/>
      <c r="GA92" s="23"/>
      <c r="GB92" s="23"/>
      <c r="GC92" s="23"/>
      <c r="GD92" s="23"/>
      <c r="GE92" s="23"/>
      <c r="GF92" s="23"/>
      <c r="GG92" s="23"/>
      <c r="GH92" s="23"/>
      <c r="GI92" s="23"/>
      <c r="GJ92" s="23"/>
      <c r="GK92" s="23"/>
      <c r="GL92" s="23"/>
      <c r="GM92" s="23"/>
      <c r="GN92" s="23"/>
      <c r="GO92" s="23"/>
      <c r="GP92" s="23"/>
      <c r="GQ92" s="23"/>
      <c r="GR92" s="23"/>
      <c r="GS92" s="23"/>
      <c r="GT92" s="23"/>
      <c r="GU92" s="23"/>
      <c r="GV92" s="23"/>
      <c r="GW92" s="23"/>
      <c r="GX92" s="23"/>
      <c r="GY92" s="23"/>
      <c r="GZ92" s="23"/>
      <c r="HA92" s="23"/>
      <c r="HB92" s="23"/>
      <c r="HC92" s="23"/>
      <c r="HD92" s="23"/>
      <c r="HE92" s="23"/>
      <c r="HF92" s="23"/>
      <c r="HG92" s="23"/>
      <c r="HH92" s="23"/>
      <c r="HI92" s="23"/>
      <c r="HJ92" s="23"/>
      <c r="HK92" s="23"/>
      <c r="HL92" s="23"/>
      <c r="HM92" s="23"/>
      <c r="HN92" s="23"/>
      <c r="HO92" s="23"/>
      <c r="HP92" s="23"/>
      <c r="HQ92" s="23"/>
      <c r="HR92" s="23"/>
      <c r="HS92" s="23"/>
      <c r="HT92" s="23"/>
      <c r="HU92" s="23"/>
      <c r="HV92" s="23"/>
      <c r="HW92" s="23"/>
      <c r="HX92" s="23"/>
      <c r="HY92" s="23"/>
      <c r="HZ92" s="23"/>
      <c r="IA92" s="23"/>
      <c r="IB92" s="23"/>
      <c r="IC92" s="23"/>
      <c r="ID92" s="23"/>
      <c r="IE92" s="23"/>
      <c r="IF92" s="23"/>
      <c r="IG92" s="23"/>
      <c r="IH92" s="23"/>
      <c r="II92" s="23"/>
      <c r="IJ92" s="23"/>
      <c r="IK92" s="23"/>
      <c r="IL92" s="23"/>
      <c r="IM92" s="23"/>
      <c r="IN92" s="23"/>
      <c r="IO92" s="23"/>
      <c r="IP92" s="23"/>
      <c r="IQ92" s="23"/>
      <c r="IR92" s="23"/>
      <c r="IS92" s="23"/>
      <c r="IT92" s="23"/>
      <c r="IU92" s="23"/>
      <c r="IV92" s="23"/>
    </row>
    <row r="93" spans="1:256" ht="24.95" customHeight="1" x14ac:dyDescent="0.3">
      <c r="A93" s="1600">
        <v>87</v>
      </c>
      <c r="B93" s="1"/>
      <c r="C93" s="1646"/>
      <c r="D93" s="1663" t="s">
        <v>1187</v>
      </c>
      <c r="E93" s="1663"/>
      <c r="F93" s="1663"/>
      <c r="G93" s="2081"/>
      <c r="H93" s="1663"/>
      <c r="I93" s="1663"/>
      <c r="J93" s="1924"/>
      <c r="K93" s="1663"/>
      <c r="L93" s="1924"/>
      <c r="M93" s="1663"/>
      <c r="N93" s="1663"/>
      <c r="O93" s="1663"/>
      <c r="P93" s="1663"/>
      <c r="Q93" s="1663"/>
      <c r="R93" s="1663"/>
      <c r="S93" s="1663"/>
      <c r="T93" s="1663"/>
      <c r="U93" s="23"/>
      <c r="V93" s="23"/>
      <c r="W93" s="23"/>
      <c r="X93" s="23"/>
      <c r="Y93" s="23"/>
      <c r="Z93" s="23"/>
      <c r="AA93" s="23"/>
      <c r="AB93" s="23"/>
      <c r="AC93" s="23"/>
      <c r="AD93" s="23"/>
      <c r="AE93" s="23"/>
      <c r="AF93" s="23"/>
      <c r="AG93" s="23"/>
      <c r="AH93" s="23"/>
      <c r="AI93" s="23"/>
      <c r="AJ93" s="23"/>
      <c r="AK93" s="23"/>
      <c r="AL93" s="23"/>
      <c r="AM93" s="23"/>
      <c r="AN93" s="23"/>
      <c r="AO93" s="23"/>
      <c r="AP93" s="23"/>
      <c r="AQ93" s="23"/>
      <c r="AR93" s="23"/>
      <c r="AS93" s="23"/>
      <c r="AT93" s="23"/>
      <c r="AU93" s="23"/>
      <c r="AV93" s="23"/>
      <c r="AW93" s="23"/>
      <c r="AX93" s="23"/>
      <c r="AY93" s="23"/>
      <c r="AZ93" s="23"/>
      <c r="BA93" s="23"/>
      <c r="BB93" s="23"/>
      <c r="BC93" s="23"/>
      <c r="BD93" s="23"/>
      <c r="BE93" s="23"/>
      <c r="BF93" s="23"/>
      <c r="BG93" s="23"/>
      <c r="BH93" s="23"/>
      <c r="BI93" s="23"/>
      <c r="BJ93" s="23"/>
      <c r="BK93" s="23"/>
      <c r="BL93" s="23"/>
      <c r="BM93" s="23"/>
      <c r="BN93" s="23"/>
      <c r="BO93" s="23"/>
      <c r="BP93" s="23"/>
      <c r="BQ93" s="23"/>
      <c r="BR93" s="23"/>
      <c r="BS93" s="23"/>
      <c r="BT93" s="23"/>
      <c r="BU93" s="23"/>
      <c r="BV93" s="23"/>
      <c r="BW93" s="23"/>
      <c r="BX93" s="23"/>
      <c r="BY93" s="23"/>
      <c r="BZ93" s="23"/>
      <c r="CA93" s="23"/>
      <c r="CB93" s="23"/>
      <c r="CC93" s="23"/>
      <c r="CD93" s="23"/>
      <c r="CE93" s="23"/>
      <c r="CF93" s="23"/>
      <c r="CG93" s="23"/>
      <c r="CH93" s="23"/>
      <c r="CI93" s="23"/>
      <c r="CJ93" s="23"/>
      <c r="CK93" s="23"/>
      <c r="CL93" s="23"/>
      <c r="CM93" s="23"/>
      <c r="CN93" s="23"/>
      <c r="CO93" s="23"/>
      <c r="CP93" s="23"/>
      <c r="CQ93" s="23"/>
      <c r="CR93" s="23"/>
      <c r="CS93" s="23"/>
      <c r="CT93" s="23"/>
      <c r="CU93" s="23"/>
      <c r="CV93" s="23"/>
      <c r="CW93" s="23"/>
      <c r="CX93" s="23"/>
      <c r="CY93" s="23"/>
      <c r="CZ93" s="23"/>
      <c r="DA93" s="23"/>
      <c r="DB93" s="23"/>
      <c r="DC93" s="23"/>
      <c r="DD93" s="23"/>
      <c r="DE93" s="23"/>
      <c r="DF93" s="23"/>
      <c r="DG93" s="23"/>
      <c r="DH93" s="23"/>
      <c r="DI93" s="23"/>
      <c r="DJ93" s="23"/>
      <c r="DK93" s="23"/>
      <c r="DL93" s="23"/>
      <c r="DM93" s="23"/>
      <c r="DN93" s="23"/>
      <c r="DO93" s="23"/>
      <c r="DP93" s="23"/>
      <c r="DQ93" s="23"/>
      <c r="DR93" s="23"/>
      <c r="DS93" s="23"/>
      <c r="DT93" s="23"/>
      <c r="DU93" s="23"/>
      <c r="DV93" s="23"/>
      <c r="DW93" s="23"/>
      <c r="DX93" s="23"/>
      <c r="DY93" s="23"/>
      <c r="DZ93" s="23"/>
      <c r="EA93" s="23"/>
      <c r="EB93" s="23"/>
      <c r="EC93" s="23"/>
      <c r="ED93" s="23"/>
      <c r="EE93" s="23"/>
      <c r="EF93" s="23"/>
      <c r="EG93" s="23"/>
      <c r="EH93" s="23"/>
      <c r="EI93" s="23"/>
      <c r="EJ93" s="23"/>
      <c r="EK93" s="23"/>
      <c r="EL93" s="23"/>
      <c r="EM93" s="23"/>
      <c r="EN93" s="23"/>
      <c r="EO93" s="23"/>
      <c r="EP93" s="23"/>
      <c r="EQ93" s="23"/>
      <c r="ER93" s="23"/>
      <c r="ES93" s="23"/>
      <c r="ET93" s="23"/>
      <c r="EU93" s="23"/>
      <c r="EV93" s="23"/>
      <c r="EW93" s="23"/>
      <c r="EX93" s="23"/>
      <c r="EY93" s="23"/>
      <c r="EZ93" s="23"/>
      <c r="FA93" s="23"/>
      <c r="FB93" s="23"/>
      <c r="FC93" s="23"/>
      <c r="FD93" s="23"/>
      <c r="FE93" s="23"/>
      <c r="FF93" s="23"/>
      <c r="FG93" s="23"/>
      <c r="FH93" s="23"/>
      <c r="FI93" s="23"/>
      <c r="FJ93" s="23"/>
      <c r="FK93" s="23"/>
      <c r="FL93" s="23"/>
      <c r="FM93" s="23"/>
      <c r="FN93" s="23"/>
      <c r="FO93" s="23"/>
      <c r="FP93" s="23"/>
      <c r="FQ93" s="23"/>
      <c r="FR93" s="23"/>
      <c r="FS93" s="23"/>
      <c r="FT93" s="23"/>
      <c r="FU93" s="23"/>
      <c r="FV93" s="23"/>
      <c r="FW93" s="23"/>
      <c r="FX93" s="23"/>
      <c r="FY93" s="23"/>
      <c r="FZ93" s="23"/>
      <c r="GA93" s="23"/>
      <c r="GB93" s="23"/>
      <c r="GC93" s="23"/>
      <c r="GD93" s="23"/>
      <c r="GE93" s="23"/>
      <c r="GF93" s="23"/>
      <c r="GG93" s="23"/>
      <c r="GH93" s="23"/>
      <c r="GI93" s="23"/>
      <c r="GJ93" s="23"/>
      <c r="GK93" s="23"/>
      <c r="GL93" s="23"/>
      <c r="GM93" s="23"/>
      <c r="GN93" s="23"/>
      <c r="GO93" s="23"/>
      <c r="GP93" s="23"/>
      <c r="GQ93" s="23"/>
      <c r="GR93" s="23"/>
      <c r="GS93" s="23"/>
      <c r="GT93" s="23"/>
      <c r="GU93" s="23"/>
      <c r="GV93" s="23"/>
      <c r="GW93" s="23"/>
      <c r="GX93" s="23"/>
      <c r="GY93" s="23"/>
      <c r="GZ93" s="23"/>
      <c r="HA93" s="23"/>
      <c r="HB93" s="23"/>
      <c r="HC93" s="23"/>
      <c r="HD93" s="23"/>
      <c r="HE93" s="23"/>
      <c r="HF93" s="23"/>
      <c r="HG93" s="23"/>
      <c r="HH93" s="23"/>
      <c r="HI93" s="23"/>
      <c r="HJ93" s="23"/>
      <c r="HK93" s="23"/>
      <c r="HL93" s="23"/>
      <c r="HM93" s="23"/>
      <c r="HN93" s="23"/>
      <c r="HO93" s="23"/>
      <c r="HP93" s="23"/>
      <c r="HQ93" s="23"/>
      <c r="HR93" s="23"/>
      <c r="HS93" s="23"/>
      <c r="HT93" s="23"/>
      <c r="HU93" s="23"/>
      <c r="HV93" s="23"/>
      <c r="HW93" s="23"/>
      <c r="HX93" s="23"/>
      <c r="HY93" s="23"/>
      <c r="HZ93" s="23"/>
      <c r="IA93" s="23"/>
      <c r="IB93" s="23"/>
      <c r="IC93" s="23"/>
      <c r="ID93" s="23"/>
      <c r="IE93" s="23"/>
      <c r="IF93" s="23"/>
      <c r="IG93" s="23"/>
      <c r="IH93" s="23"/>
      <c r="II93" s="23"/>
      <c r="IJ93" s="23"/>
      <c r="IK93" s="23"/>
      <c r="IL93" s="23"/>
      <c r="IM93" s="23"/>
      <c r="IN93" s="23"/>
      <c r="IO93" s="23"/>
      <c r="IP93" s="23"/>
      <c r="IQ93" s="23"/>
      <c r="IR93" s="23"/>
      <c r="IS93" s="23"/>
      <c r="IT93" s="23"/>
      <c r="IU93" s="23"/>
      <c r="IV93" s="23"/>
    </row>
    <row r="94" spans="1:256" ht="24.95" customHeight="1" x14ac:dyDescent="0.3">
      <c r="A94" s="1600">
        <v>88</v>
      </c>
      <c r="B94" s="1"/>
      <c r="C94" s="1646"/>
      <c r="D94" s="1663" t="s">
        <v>1204</v>
      </c>
      <c r="E94" s="1663"/>
      <c r="F94" s="1663"/>
      <c r="G94" s="2081"/>
      <c r="H94" s="1663"/>
      <c r="I94" s="1663"/>
      <c r="J94" s="1924"/>
      <c r="K94" s="1663"/>
      <c r="L94" s="1924"/>
      <c r="M94" s="1663"/>
      <c r="N94" s="1663"/>
      <c r="O94" s="1663"/>
      <c r="P94" s="1663"/>
      <c r="Q94" s="1663"/>
      <c r="R94" s="1663"/>
      <c r="S94" s="1663"/>
      <c r="T94" s="1663"/>
      <c r="U94" s="23"/>
      <c r="V94" s="23"/>
      <c r="W94" s="23"/>
      <c r="X94" s="23"/>
      <c r="Y94" s="23"/>
      <c r="Z94" s="23"/>
      <c r="AA94" s="23"/>
      <c r="AB94" s="23"/>
      <c r="AC94" s="23"/>
      <c r="AD94" s="23"/>
      <c r="AE94" s="23"/>
      <c r="AF94" s="23"/>
      <c r="AG94" s="23"/>
      <c r="AH94" s="23"/>
      <c r="AI94" s="23"/>
      <c r="AJ94" s="23"/>
      <c r="AK94" s="23"/>
      <c r="AL94" s="23"/>
      <c r="AM94" s="23"/>
      <c r="AN94" s="23"/>
      <c r="AO94" s="23"/>
      <c r="AP94" s="23"/>
      <c r="AQ94" s="23"/>
      <c r="AR94" s="23"/>
      <c r="AS94" s="23"/>
      <c r="AT94" s="23"/>
      <c r="AU94" s="23"/>
      <c r="AV94" s="23"/>
      <c r="AW94" s="23"/>
      <c r="AX94" s="23"/>
      <c r="AY94" s="23"/>
      <c r="AZ94" s="23"/>
      <c r="BA94" s="23"/>
      <c r="BB94" s="23"/>
      <c r="BC94" s="23"/>
      <c r="BD94" s="23"/>
      <c r="BE94" s="23"/>
      <c r="BF94" s="23"/>
      <c r="BG94" s="23"/>
      <c r="BH94" s="23"/>
      <c r="BI94" s="23"/>
      <c r="BJ94" s="23"/>
      <c r="BK94" s="23"/>
      <c r="BL94" s="23"/>
      <c r="BM94" s="23"/>
      <c r="BN94" s="23"/>
      <c r="BO94" s="23"/>
      <c r="BP94" s="23"/>
      <c r="BQ94" s="23"/>
      <c r="BR94" s="23"/>
      <c r="BS94" s="23"/>
      <c r="BT94" s="23"/>
      <c r="BU94" s="23"/>
      <c r="BV94" s="23"/>
      <c r="BW94" s="23"/>
      <c r="BX94" s="23"/>
      <c r="BY94" s="23"/>
      <c r="BZ94" s="23"/>
      <c r="CA94" s="23"/>
      <c r="CB94" s="23"/>
      <c r="CC94" s="23"/>
      <c r="CD94" s="23"/>
      <c r="CE94" s="23"/>
      <c r="CF94" s="23"/>
      <c r="CG94" s="23"/>
      <c r="CH94" s="23"/>
      <c r="CI94" s="23"/>
      <c r="CJ94" s="23"/>
      <c r="CK94" s="23"/>
      <c r="CL94" s="23"/>
      <c r="CM94" s="23"/>
      <c r="CN94" s="23"/>
      <c r="CO94" s="23"/>
      <c r="CP94" s="23"/>
      <c r="CQ94" s="23"/>
      <c r="CR94" s="23"/>
      <c r="CS94" s="23"/>
      <c r="CT94" s="23"/>
      <c r="CU94" s="23"/>
      <c r="CV94" s="23"/>
      <c r="CW94" s="23"/>
      <c r="CX94" s="23"/>
      <c r="CY94" s="23"/>
      <c r="CZ94" s="23"/>
      <c r="DA94" s="23"/>
      <c r="DB94" s="23"/>
      <c r="DC94" s="23"/>
      <c r="DD94" s="23"/>
      <c r="DE94" s="23"/>
      <c r="DF94" s="23"/>
      <c r="DG94" s="23"/>
      <c r="DH94" s="23"/>
      <c r="DI94" s="23"/>
      <c r="DJ94" s="23"/>
      <c r="DK94" s="23"/>
      <c r="DL94" s="23"/>
      <c r="DM94" s="23"/>
      <c r="DN94" s="23"/>
      <c r="DO94" s="23"/>
      <c r="DP94" s="23"/>
      <c r="DQ94" s="23"/>
      <c r="DR94" s="23"/>
      <c r="DS94" s="23"/>
      <c r="DT94" s="23"/>
      <c r="DU94" s="23"/>
      <c r="DV94" s="23"/>
      <c r="DW94" s="23"/>
      <c r="DX94" s="23"/>
      <c r="DY94" s="23"/>
      <c r="DZ94" s="23"/>
      <c r="EA94" s="23"/>
      <c r="EB94" s="23"/>
      <c r="EC94" s="23"/>
      <c r="ED94" s="23"/>
      <c r="EE94" s="23"/>
      <c r="EF94" s="23"/>
      <c r="EG94" s="23"/>
      <c r="EH94" s="23"/>
      <c r="EI94" s="23"/>
      <c r="EJ94" s="23"/>
      <c r="EK94" s="23"/>
      <c r="EL94" s="23"/>
      <c r="EM94" s="23"/>
      <c r="EN94" s="23"/>
      <c r="EO94" s="23"/>
      <c r="EP94" s="23"/>
      <c r="EQ94" s="23"/>
      <c r="ER94" s="23"/>
      <c r="ES94" s="23"/>
      <c r="ET94" s="23"/>
      <c r="EU94" s="23"/>
      <c r="EV94" s="23"/>
      <c r="EW94" s="23"/>
      <c r="EX94" s="23"/>
      <c r="EY94" s="23"/>
      <c r="EZ94" s="23"/>
      <c r="FA94" s="23"/>
      <c r="FB94" s="23"/>
      <c r="FC94" s="23"/>
      <c r="FD94" s="23"/>
      <c r="FE94" s="23"/>
      <c r="FF94" s="23"/>
      <c r="FG94" s="23"/>
      <c r="FH94" s="23"/>
      <c r="FI94" s="23"/>
      <c r="FJ94" s="23"/>
      <c r="FK94" s="23"/>
      <c r="FL94" s="23"/>
      <c r="FM94" s="23"/>
      <c r="FN94" s="23"/>
      <c r="FO94" s="23"/>
      <c r="FP94" s="23"/>
      <c r="FQ94" s="23"/>
      <c r="FR94" s="23"/>
      <c r="FS94" s="23"/>
      <c r="FT94" s="23"/>
      <c r="FU94" s="23"/>
      <c r="FV94" s="23"/>
      <c r="FW94" s="23"/>
      <c r="FX94" s="23"/>
      <c r="FY94" s="23"/>
      <c r="FZ94" s="23"/>
      <c r="GA94" s="23"/>
      <c r="GB94" s="23"/>
      <c r="GC94" s="23"/>
      <c r="GD94" s="23"/>
      <c r="GE94" s="23"/>
      <c r="GF94" s="23"/>
      <c r="GG94" s="23"/>
      <c r="GH94" s="23"/>
      <c r="GI94" s="23"/>
      <c r="GJ94" s="23"/>
      <c r="GK94" s="23"/>
      <c r="GL94" s="23"/>
      <c r="GM94" s="23"/>
      <c r="GN94" s="23"/>
      <c r="GO94" s="23"/>
      <c r="GP94" s="23"/>
      <c r="GQ94" s="23"/>
      <c r="GR94" s="23"/>
      <c r="GS94" s="23"/>
      <c r="GT94" s="23"/>
      <c r="GU94" s="23"/>
      <c r="GV94" s="23"/>
      <c r="GW94" s="23"/>
      <c r="GX94" s="23"/>
      <c r="GY94" s="23"/>
      <c r="GZ94" s="23"/>
      <c r="HA94" s="23"/>
      <c r="HB94" s="23"/>
      <c r="HC94" s="23"/>
      <c r="HD94" s="23"/>
      <c r="HE94" s="23"/>
      <c r="HF94" s="23"/>
      <c r="HG94" s="23"/>
      <c r="HH94" s="23"/>
      <c r="HI94" s="23"/>
      <c r="HJ94" s="23"/>
      <c r="HK94" s="23"/>
      <c r="HL94" s="23"/>
      <c r="HM94" s="23"/>
      <c r="HN94" s="23"/>
      <c r="HO94" s="23"/>
      <c r="HP94" s="23"/>
      <c r="HQ94" s="23"/>
      <c r="HR94" s="23"/>
      <c r="HS94" s="23"/>
      <c r="HT94" s="23"/>
      <c r="HU94" s="23"/>
      <c r="HV94" s="23"/>
      <c r="HW94" s="23"/>
      <c r="HX94" s="23"/>
      <c r="HY94" s="23"/>
      <c r="HZ94" s="23"/>
      <c r="IA94" s="23"/>
      <c r="IB94" s="23"/>
      <c r="IC94" s="23"/>
      <c r="ID94" s="23"/>
      <c r="IE94" s="23"/>
      <c r="IF94" s="23"/>
      <c r="IG94" s="23"/>
      <c r="IH94" s="23"/>
      <c r="II94" s="23"/>
      <c r="IJ94" s="23"/>
      <c r="IK94" s="23"/>
      <c r="IL94" s="23"/>
      <c r="IM94" s="23"/>
      <c r="IN94" s="23"/>
      <c r="IO94" s="23"/>
      <c r="IP94" s="23"/>
      <c r="IQ94" s="23"/>
      <c r="IR94" s="23"/>
      <c r="IS94" s="23"/>
      <c r="IT94" s="23"/>
      <c r="IU94" s="23"/>
      <c r="IV94" s="23"/>
    </row>
    <row r="95" spans="1:256" ht="18" customHeight="1" x14ac:dyDescent="0.3">
      <c r="A95" s="1600">
        <v>89</v>
      </c>
      <c r="B95" s="1"/>
      <c r="C95" s="1646"/>
      <c r="D95" s="1667" t="s">
        <v>1294</v>
      </c>
      <c r="E95" s="1612">
        <v>-228</v>
      </c>
      <c r="F95" s="1663"/>
      <c r="G95" s="2081"/>
      <c r="H95" s="1663"/>
      <c r="I95" s="1663"/>
      <c r="J95" s="1924"/>
      <c r="K95" s="1663"/>
      <c r="L95" s="1924"/>
      <c r="M95" s="1663"/>
      <c r="N95" s="1663"/>
      <c r="O95" s="1663"/>
      <c r="P95" s="1663"/>
      <c r="Q95" s="1663"/>
      <c r="R95" s="1663"/>
      <c r="S95" s="1663"/>
      <c r="T95" s="1663"/>
      <c r="U95" s="23"/>
      <c r="V95" s="23"/>
      <c r="W95" s="23"/>
      <c r="X95" s="23"/>
      <c r="Y95" s="23"/>
      <c r="Z95" s="23"/>
      <c r="AA95" s="23"/>
      <c r="AB95" s="23"/>
      <c r="AC95" s="23"/>
      <c r="AD95" s="23"/>
      <c r="AE95" s="23"/>
      <c r="AF95" s="23"/>
      <c r="AG95" s="23"/>
      <c r="AH95" s="23"/>
      <c r="AI95" s="23"/>
      <c r="AJ95" s="23"/>
      <c r="AK95" s="23"/>
      <c r="AL95" s="23"/>
      <c r="AM95" s="23"/>
      <c r="AN95" s="23"/>
      <c r="AO95" s="23"/>
      <c r="AP95" s="23"/>
      <c r="AQ95" s="23"/>
      <c r="AR95" s="23"/>
      <c r="AS95" s="23"/>
      <c r="AT95" s="23"/>
      <c r="AU95" s="23"/>
      <c r="AV95" s="23"/>
      <c r="AW95" s="23"/>
      <c r="AX95" s="23"/>
      <c r="AY95" s="23"/>
      <c r="AZ95" s="23"/>
      <c r="BA95" s="23"/>
      <c r="BB95" s="23"/>
      <c r="BC95" s="23"/>
      <c r="BD95" s="23"/>
      <c r="BE95" s="23"/>
      <c r="BF95" s="23"/>
      <c r="BG95" s="23"/>
      <c r="BH95" s="23"/>
      <c r="BI95" s="23"/>
      <c r="BJ95" s="23"/>
      <c r="BK95" s="23"/>
      <c r="BL95" s="23"/>
      <c r="BM95" s="23"/>
      <c r="BN95" s="23"/>
      <c r="BO95" s="23"/>
      <c r="BP95" s="23"/>
      <c r="BQ95" s="23"/>
      <c r="BR95" s="23"/>
      <c r="BS95" s="23"/>
      <c r="BT95" s="23"/>
      <c r="BU95" s="23"/>
      <c r="BV95" s="23"/>
      <c r="BW95" s="23"/>
      <c r="BX95" s="23"/>
      <c r="BY95" s="23"/>
      <c r="BZ95" s="23"/>
      <c r="CA95" s="23"/>
      <c r="CB95" s="23"/>
      <c r="CC95" s="23"/>
      <c r="CD95" s="23"/>
      <c r="CE95" s="23"/>
      <c r="CF95" s="23"/>
      <c r="CG95" s="23"/>
      <c r="CH95" s="23"/>
      <c r="CI95" s="23"/>
      <c r="CJ95" s="23"/>
      <c r="CK95" s="23"/>
      <c r="CL95" s="23"/>
      <c r="CM95" s="23"/>
      <c r="CN95" s="23"/>
      <c r="CO95" s="23"/>
      <c r="CP95" s="23"/>
      <c r="CQ95" s="23"/>
      <c r="CR95" s="23"/>
      <c r="CS95" s="23"/>
      <c r="CT95" s="23"/>
      <c r="CU95" s="23"/>
      <c r="CV95" s="23"/>
      <c r="CW95" s="23"/>
      <c r="CX95" s="23"/>
      <c r="CY95" s="23"/>
      <c r="CZ95" s="23"/>
      <c r="DA95" s="23"/>
      <c r="DB95" s="23"/>
      <c r="DC95" s="23"/>
      <c r="DD95" s="23"/>
      <c r="DE95" s="23"/>
      <c r="DF95" s="23"/>
      <c r="DG95" s="23"/>
      <c r="DH95" s="23"/>
      <c r="DI95" s="23"/>
      <c r="DJ95" s="23"/>
      <c r="DK95" s="23"/>
      <c r="DL95" s="23"/>
      <c r="DM95" s="23"/>
      <c r="DN95" s="23"/>
      <c r="DO95" s="23"/>
      <c r="DP95" s="23"/>
      <c r="DQ95" s="23"/>
      <c r="DR95" s="23"/>
      <c r="DS95" s="23"/>
      <c r="DT95" s="23"/>
      <c r="DU95" s="23"/>
      <c r="DV95" s="23"/>
      <c r="DW95" s="23"/>
      <c r="DX95" s="23"/>
      <c r="DY95" s="23"/>
      <c r="DZ95" s="23"/>
      <c r="EA95" s="23"/>
      <c r="EB95" s="23"/>
      <c r="EC95" s="23"/>
      <c r="ED95" s="23"/>
      <c r="EE95" s="23"/>
      <c r="EF95" s="23"/>
      <c r="EG95" s="23"/>
      <c r="EH95" s="23"/>
      <c r="EI95" s="23"/>
      <c r="EJ95" s="23"/>
      <c r="EK95" s="23"/>
      <c r="EL95" s="23"/>
      <c r="EM95" s="23"/>
      <c r="EN95" s="23"/>
      <c r="EO95" s="23"/>
      <c r="EP95" s="23"/>
      <c r="EQ95" s="23"/>
      <c r="ER95" s="23"/>
      <c r="ES95" s="23"/>
      <c r="ET95" s="23"/>
      <c r="EU95" s="23"/>
      <c r="EV95" s="23"/>
      <c r="EW95" s="23"/>
      <c r="EX95" s="23"/>
      <c r="EY95" s="23"/>
      <c r="EZ95" s="23"/>
      <c r="FA95" s="23"/>
      <c r="FB95" s="23"/>
      <c r="FC95" s="23"/>
      <c r="FD95" s="23"/>
      <c r="FE95" s="23"/>
      <c r="FF95" s="23"/>
      <c r="FG95" s="23"/>
      <c r="FH95" s="23"/>
      <c r="FI95" s="23"/>
      <c r="FJ95" s="23"/>
      <c r="FK95" s="23"/>
      <c r="FL95" s="23"/>
      <c r="FM95" s="23"/>
      <c r="FN95" s="23"/>
      <c r="FO95" s="23"/>
      <c r="FP95" s="23"/>
      <c r="FQ95" s="23"/>
      <c r="FR95" s="23"/>
      <c r="FS95" s="23"/>
      <c r="FT95" s="23"/>
      <c r="FU95" s="23"/>
      <c r="FV95" s="23"/>
      <c r="FW95" s="23"/>
      <c r="FX95" s="23"/>
      <c r="FY95" s="23"/>
      <c r="FZ95" s="23"/>
      <c r="GA95" s="23"/>
      <c r="GB95" s="23"/>
      <c r="GC95" s="23"/>
      <c r="GD95" s="23"/>
      <c r="GE95" s="23"/>
      <c r="GF95" s="23"/>
      <c r="GG95" s="23"/>
      <c r="GH95" s="23"/>
      <c r="GI95" s="23"/>
      <c r="GJ95" s="23"/>
      <c r="GK95" s="23"/>
      <c r="GL95" s="23"/>
      <c r="GM95" s="23"/>
      <c r="GN95" s="23"/>
      <c r="GO95" s="23"/>
      <c r="GP95" s="23"/>
      <c r="GQ95" s="23"/>
      <c r="GR95" s="23"/>
      <c r="GS95" s="23"/>
      <c r="GT95" s="23"/>
      <c r="GU95" s="23"/>
      <c r="GV95" s="23"/>
      <c r="GW95" s="23"/>
      <c r="GX95" s="23"/>
      <c r="GY95" s="23"/>
      <c r="GZ95" s="23"/>
      <c r="HA95" s="23"/>
      <c r="HB95" s="23"/>
      <c r="HC95" s="23"/>
      <c r="HD95" s="23"/>
      <c r="HE95" s="23"/>
      <c r="HF95" s="23"/>
      <c r="HG95" s="23"/>
      <c r="HH95" s="23"/>
      <c r="HI95" s="23"/>
      <c r="HJ95" s="23"/>
      <c r="HK95" s="23"/>
      <c r="HL95" s="23"/>
      <c r="HM95" s="23"/>
      <c r="HN95" s="23"/>
      <c r="HO95" s="23"/>
      <c r="HP95" s="23"/>
      <c r="HQ95" s="23"/>
      <c r="HR95" s="23"/>
      <c r="HS95" s="23"/>
      <c r="HT95" s="23"/>
      <c r="HU95" s="23"/>
      <c r="HV95" s="23"/>
      <c r="HW95" s="23"/>
      <c r="HX95" s="23"/>
      <c r="HY95" s="23"/>
      <c r="HZ95" s="23"/>
      <c r="IA95" s="23"/>
      <c r="IB95" s="23"/>
      <c r="IC95" s="23"/>
      <c r="ID95" s="23"/>
      <c r="IE95" s="23"/>
      <c r="IF95" s="23"/>
      <c r="IG95" s="23"/>
      <c r="IH95" s="23"/>
      <c r="II95" s="23"/>
      <c r="IJ95" s="23"/>
      <c r="IK95" s="23"/>
      <c r="IL95" s="23"/>
      <c r="IM95" s="23"/>
      <c r="IN95" s="23"/>
      <c r="IO95" s="23"/>
      <c r="IP95" s="23"/>
      <c r="IQ95" s="23"/>
      <c r="IR95" s="23"/>
      <c r="IS95" s="23"/>
      <c r="IT95" s="23"/>
      <c r="IU95" s="23"/>
      <c r="IV95" s="23"/>
    </row>
    <row r="96" spans="1:256" ht="20.100000000000001" customHeight="1" thickBot="1" x14ac:dyDescent="0.35">
      <c r="A96" s="1600">
        <v>90</v>
      </c>
      <c r="B96" s="1631"/>
      <c r="C96" s="1631"/>
      <c r="D96" s="1632" t="s">
        <v>993</v>
      </c>
      <c r="E96" s="1633">
        <f>E80+E83+E90+E92+E95</f>
        <v>11316</v>
      </c>
      <c r="F96" s="1634"/>
      <c r="G96" s="2082"/>
      <c r="H96" s="1634"/>
      <c r="I96" s="1634"/>
      <c r="J96" s="705"/>
      <c r="K96" s="1634"/>
      <c r="L96" s="705"/>
      <c r="M96" s="1634"/>
      <c r="N96" s="1634"/>
      <c r="O96" s="1634"/>
      <c r="P96" s="1634"/>
      <c r="Q96" s="1634"/>
      <c r="R96" s="1634"/>
      <c r="S96" s="1634"/>
      <c r="T96" s="1634"/>
      <c r="U96" s="1634"/>
      <c r="V96" s="1634"/>
      <c r="W96" s="1634"/>
      <c r="X96" s="1634"/>
      <c r="Y96" s="1634"/>
      <c r="Z96" s="1634"/>
      <c r="AA96" s="1634"/>
      <c r="AB96" s="1634"/>
      <c r="AC96" s="1634"/>
      <c r="AD96" s="1634"/>
      <c r="AE96" s="1634"/>
      <c r="AF96" s="1634"/>
      <c r="AG96" s="1634"/>
      <c r="AH96" s="1634"/>
      <c r="AI96" s="1634"/>
      <c r="AJ96" s="1634"/>
      <c r="AK96" s="1634"/>
      <c r="AL96" s="1634"/>
      <c r="AM96" s="1634"/>
      <c r="AN96" s="1634"/>
      <c r="AO96" s="1634"/>
      <c r="AP96" s="1634"/>
      <c r="AQ96" s="1634"/>
      <c r="AR96" s="1634"/>
      <c r="AS96" s="1634"/>
      <c r="AT96" s="1634"/>
      <c r="AU96" s="1634"/>
      <c r="AV96" s="1634"/>
      <c r="AW96" s="1634"/>
      <c r="AX96" s="1634"/>
      <c r="AY96" s="1634"/>
      <c r="AZ96" s="1634"/>
      <c r="BA96" s="1634"/>
      <c r="BB96" s="1634"/>
      <c r="BC96" s="1634"/>
      <c r="BD96" s="1634"/>
      <c r="BE96" s="1634"/>
      <c r="BF96" s="1634"/>
      <c r="BG96" s="1634"/>
      <c r="BH96" s="1634"/>
      <c r="BI96" s="1634"/>
      <c r="BJ96" s="1634"/>
      <c r="BK96" s="1634"/>
      <c r="BL96" s="1634"/>
      <c r="BM96" s="1634"/>
      <c r="BN96" s="1634"/>
      <c r="BO96" s="1634"/>
      <c r="BP96" s="1634"/>
      <c r="BQ96" s="1634"/>
      <c r="BR96" s="1634"/>
      <c r="BS96" s="1634"/>
      <c r="BT96" s="1634"/>
      <c r="BU96" s="1634"/>
      <c r="BV96" s="1634"/>
      <c r="BW96" s="1634"/>
      <c r="BX96" s="1634"/>
      <c r="BY96" s="1634"/>
      <c r="BZ96" s="1634"/>
      <c r="CA96" s="1634"/>
      <c r="CB96" s="1634"/>
      <c r="CC96" s="1634"/>
      <c r="CD96" s="1634"/>
      <c r="CE96" s="1634"/>
      <c r="CF96" s="1634"/>
      <c r="CG96" s="1634"/>
      <c r="CH96" s="1634"/>
      <c r="CI96" s="1634"/>
      <c r="CJ96" s="1634"/>
      <c r="CK96" s="1634"/>
      <c r="CL96" s="1634"/>
      <c r="CM96" s="1634"/>
      <c r="CN96" s="1634"/>
      <c r="CO96" s="1634"/>
      <c r="CP96" s="1634"/>
      <c r="CQ96" s="1634"/>
      <c r="CR96" s="1634"/>
      <c r="CS96" s="1634"/>
      <c r="CT96" s="1634"/>
      <c r="CU96" s="1634"/>
      <c r="CV96" s="1634"/>
      <c r="CW96" s="1634"/>
      <c r="CX96" s="1634"/>
      <c r="CY96" s="1634"/>
      <c r="CZ96" s="1634"/>
      <c r="DA96" s="1634"/>
      <c r="DB96" s="1634"/>
      <c r="DC96" s="1634"/>
      <c r="DD96" s="1634"/>
      <c r="DE96" s="1634"/>
      <c r="DF96" s="1634"/>
      <c r="DG96" s="1634"/>
      <c r="DH96" s="1634"/>
      <c r="DI96" s="1634"/>
      <c r="DJ96" s="1634"/>
      <c r="DK96" s="1634"/>
      <c r="DL96" s="1634"/>
      <c r="DM96" s="1634"/>
      <c r="DN96" s="1634"/>
      <c r="DO96" s="1634"/>
      <c r="DP96" s="1634"/>
      <c r="DQ96" s="1634"/>
      <c r="DR96" s="1634"/>
      <c r="DS96" s="1634"/>
      <c r="DT96" s="1634"/>
      <c r="DU96" s="1634"/>
      <c r="DV96" s="1634"/>
      <c r="DW96" s="1634"/>
      <c r="DX96" s="1634"/>
      <c r="DY96" s="1634"/>
      <c r="DZ96" s="1634"/>
      <c r="EA96" s="1634"/>
      <c r="EB96" s="1634"/>
      <c r="EC96" s="1634"/>
      <c r="ED96" s="1634"/>
      <c r="EE96" s="1634"/>
      <c r="EF96" s="1634"/>
      <c r="EG96" s="1634"/>
      <c r="EH96" s="1634"/>
      <c r="EI96" s="1634"/>
      <c r="EJ96" s="1634"/>
      <c r="EK96" s="1634"/>
      <c r="EL96" s="1634"/>
      <c r="EM96" s="1634"/>
      <c r="EN96" s="1634"/>
      <c r="EO96" s="1634"/>
      <c r="EP96" s="1634"/>
      <c r="EQ96" s="1634"/>
      <c r="ER96" s="1634"/>
      <c r="ES96" s="1634"/>
      <c r="ET96" s="1634"/>
      <c r="EU96" s="1634"/>
      <c r="EV96" s="1634"/>
      <c r="EW96" s="1634"/>
      <c r="EX96" s="1634"/>
      <c r="EY96" s="1634"/>
      <c r="EZ96" s="1634"/>
      <c r="FA96" s="1634"/>
      <c r="FB96" s="1634"/>
      <c r="FC96" s="1634"/>
      <c r="FD96" s="1634"/>
      <c r="FE96" s="1634"/>
      <c r="FF96" s="1634"/>
      <c r="FG96" s="1634"/>
      <c r="FH96" s="1634"/>
      <c r="FI96" s="1634"/>
      <c r="FJ96" s="1634"/>
      <c r="FK96" s="1634"/>
      <c r="FL96" s="1634"/>
      <c r="FM96" s="1634"/>
      <c r="FN96" s="1634"/>
      <c r="FO96" s="1634"/>
      <c r="FP96" s="1634"/>
      <c r="FQ96" s="1634"/>
      <c r="FR96" s="1634"/>
      <c r="FS96" s="1634"/>
      <c r="FT96" s="1634"/>
      <c r="FU96" s="1634"/>
      <c r="FV96" s="1634"/>
      <c r="FW96" s="1634"/>
      <c r="FX96" s="1634"/>
      <c r="FY96" s="1634"/>
      <c r="FZ96" s="1634"/>
      <c r="GA96" s="1634"/>
      <c r="GB96" s="1634"/>
      <c r="GC96" s="1634"/>
      <c r="GD96" s="1634"/>
      <c r="GE96" s="1634"/>
      <c r="GF96" s="1634"/>
      <c r="GG96" s="1634"/>
      <c r="GH96" s="1634"/>
      <c r="GI96" s="1634"/>
      <c r="GJ96" s="1634"/>
      <c r="GK96" s="1634"/>
      <c r="GL96" s="1634"/>
      <c r="GM96" s="1634"/>
      <c r="GN96" s="1634"/>
      <c r="GO96" s="1634"/>
      <c r="GP96" s="1634"/>
      <c r="GQ96" s="1634"/>
      <c r="GR96" s="1634"/>
      <c r="GS96" s="1634"/>
      <c r="GT96" s="1634"/>
      <c r="GU96" s="1634"/>
      <c r="GV96" s="1634"/>
      <c r="GW96" s="1634"/>
      <c r="GX96" s="1634"/>
      <c r="GY96" s="1634"/>
      <c r="GZ96" s="1634"/>
      <c r="HA96" s="1634"/>
      <c r="HB96" s="1634"/>
      <c r="HC96" s="1634"/>
      <c r="HD96" s="1634"/>
      <c r="HE96" s="1634"/>
      <c r="HF96" s="1634"/>
      <c r="HG96" s="1634"/>
      <c r="HH96" s="1634"/>
      <c r="HI96" s="1634"/>
      <c r="HJ96" s="1634"/>
      <c r="HK96" s="1634"/>
      <c r="HL96" s="1634"/>
      <c r="HM96" s="1634"/>
      <c r="HN96" s="1634"/>
      <c r="HO96" s="1634"/>
      <c r="HP96" s="1634"/>
      <c r="HQ96" s="1634"/>
      <c r="HR96" s="1634"/>
      <c r="HS96" s="1634"/>
      <c r="HT96" s="1634"/>
      <c r="HU96" s="1634"/>
      <c r="HV96" s="1634"/>
      <c r="HW96" s="1634"/>
      <c r="HX96" s="1634"/>
      <c r="HY96" s="1634"/>
      <c r="HZ96" s="1634"/>
      <c r="IA96" s="1634"/>
      <c r="IB96" s="1634"/>
      <c r="IC96" s="1634"/>
      <c r="ID96" s="1634"/>
      <c r="IE96" s="1634"/>
      <c r="IF96" s="1634"/>
      <c r="IG96" s="1634"/>
      <c r="IH96" s="1634"/>
      <c r="II96" s="1634"/>
      <c r="IJ96" s="1634"/>
      <c r="IK96" s="1634"/>
      <c r="IL96" s="1634"/>
      <c r="IM96" s="1634"/>
      <c r="IN96" s="1634"/>
      <c r="IO96" s="1634"/>
      <c r="IP96" s="1634"/>
      <c r="IQ96" s="1634"/>
      <c r="IR96" s="1634"/>
      <c r="IS96" s="1634"/>
      <c r="IT96" s="1634"/>
      <c r="IU96" s="1634"/>
      <c r="IV96" s="1634"/>
    </row>
    <row r="97" spans="1:256" ht="24.95" customHeight="1" thickTop="1" x14ac:dyDescent="0.35">
      <c r="A97" s="1600">
        <v>91</v>
      </c>
      <c r="B97" s="257"/>
      <c r="C97" s="1607" t="s">
        <v>137</v>
      </c>
      <c r="D97" s="1628" t="s">
        <v>960</v>
      </c>
      <c r="G97" s="1921"/>
    </row>
    <row r="98" spans="1:256" ht="24.95" customHeight="1" x14ac:dyDescent="0.35">
      <c r="A98" s="1600">
        <v>92</v>
      </c>
      <c r="C98" s="1635"/>
      <c r="D98" s="1636" t="s">
        <v>996</v>
      </c>
      <c r="G98" s="1921"/>
    </row>
    <row r="99" spans="1:256" ht="18.75" customHeight="1" x14ac:dyDescent="0.35">
      <c r="A99" s="1600">
        <v>93</v>
      </c>
      <c r="C99" s="1635"/>
      <c r="D99" s="1742" t="s">
        <v>997</v>
      </c>
      <c r="G99" s="1921"/>
    </row>
    <row r="100" spans="1:256" ht="20.100000000000001" customHeight="1" x14ac:dyDescent="0.35">
      <c r="A100" s="1600">
        <v>94</v>
      </c>
      <c r="C100" s="1635"/>
      <c r="D100" s="1673" t="s">
        <v>991</v>
      </c>
      <c r="E100" s="1637"/>
      <c r="G100" s="1921"/>
    </row>
    <row r="101" spans="1:256" ht="18" customHeight="1" x14ac:dyDescent="0.35">
      <c r="A101" s="1600">
        <v>95</v>
      </c>
      <c r="C101" s="1635"/>
      <c r="D101" s="1667" t="s">
        <v>1035</v>
      </c>
      <c r="E101" s="2119">
        <v>-1525</v>
      </c>
      <c r="G101" s="1921"/>
    </row>
    <row r="102" spans="1:256" ht="24.95" customHeight="1" x14ac:dyDescent="0.35">
      <c r="A102" s="1600">
        <v>96</v>
      </c>
      <c r="B102" s="147"/>
      <c r="C102" s="1639"/>
      <c r="D102" s="1663" t="s">
        <v>1188</v>
      </c>
      <c r="E102" s="1772"/>
      <c r="F102" s="147"/>
      <c r="G102" s="2083"/>
      <c r="H102" s="147"/>
      <c r="I102" s="147"/>
      <c r="J102" s="2"/>
      <c r="K102" s="147"/>
      <c r="L102" s="2"/>
      <c r="M102" s="147"/>
      <c r="N102" s="147"/>
      <c r="O102" s="147"/>
      <c r="P102" s="147"/>
      <c r="Q102" s="147"/>
      <c r="R102" s="147"/>
      <c r="S102" s="147"/>
      <c r="T102" s="147"/>
      <c r="U102" s="147"/>
      <c r="V102" s="147"/>
      <c r="W102" s="147"/>
      <c r="X102" s="147"/>
      <c r="Y102" s="147"/>
      <c r="Z102" s="147"/>
      <c r="AA102" s="147"/>
      <c r="AB102" s="147"/>
      <c r="AC102" s="147"/>
      <c r="AD102" s="147"/>
      <c r="AE102" s="147"/>
      <c r="AF102" s="147"/>
      <c r="AG102" s="147"/>
      <c r="AH102" s="147"/>
      <c r="AI102" s="147"/>
      <c r="AJ102" s="147"/>
      <c r="AK102" s="147"/>
      <c r="AL102" s="147"/>
      <c r="AM102" s="147"/>
      <c r="AN102" s="147"/>
      <c r="AO102" s="147"/>
      <c r="AP102" s="147"/>
      <c r="AQ102" s="147"/>
      <c r="AR102" s="147"/>
      <c r="AS102" s="147"/>
      <c r="AT102" s="147"/>
      <c r="AU102" s="147"/>
      <c r="AV102" s="147"/>
      <c r="AW102" s="147"/>
      <c r="AX102" s="147"/>
      <c r="AY102" s="147"/>
      <c r="AZ102" s="147"/>
      <c r="BA102" s="147"/>
      <c r="BB102" s="147"/>
      <c r="BC102" s="147"/>
      <c r="BD102" s="147"/>
      <c r="BE102" s="147"/>
      <c r="BF102" s="147"/>
      <c r="BG102" s="147"/>
      <c r="BH102" s="147"/>
      <c r="BI102" s="147"/>
      <c r="BJ102" s="147"/>
      <c r="BK102" s="147"/>
      <c r="BL102" s="147"/>
      <c r="BM102" s="147"/>
      <c r="BN102" s="147"/>
      <c r="BO102" s="147"/>
      <c r="BP102" s="147"/>
      <c r="BQ102" s="147"/>
      <c r="BR102" s="147"/>
      <c r="BS102" s="147"/>
      <c r="BT102" s="147"/>
      <c r="BU102" s="147"/>
      <c r="BV102" s="147"/>
      <c r="BW102" s="147"/>
      <c r="BX102" s="147"/>
      <c r="BY102" s="147"/>
      <c r="BZ102" s="147"/>
      <c r="CA102" s="147"/>
      <c r="CB102" s="147"/>
      <c r="CC102" s="147"/>
      <c r="CD102" s="147"/>
      <c r="CE102" s="147"/>
      <c r="CF102" s="147"/>
      <c r="CG102" s="147"/>
      <c r="CH102" s="147"/>
      <c r="CI102" s="147"/>
      <c r="CJ102" s="147"/>
      <c r="CK102" s="147"/>
      <c r="CL102" s="147"/>
      <c r="CM102" s="147"/>
      <c r="CN102" s="147"/>
      <c r="CO102" s="147"/>
      <c r="CP102" s="147"/>
      <c r="CQ102" s="147"/>
      <c r="CR102" s="147"/>
      <c r="CS102" s="147"/>
      <c r="CT102" s="147"/>
      <c r="CU102" s="147"/>
      <c r="CV102" s="147"/>
      <c r="CW102" s="147"/>
      <c r="CX102" s="147"/>
      <c r="CY102" s="147"/>
      <c r="CZ102" s="147"/>
      <c r="DA102" s="147"/>
      <c r="DB102" s="147"/>
      <c r="DC102" s="147"/>
      <c r="DD102" s="147"/>
      <c r="DE102" s="147"/>
      <c r="DF102" s="147"/>
      <c r="DG102" s="147"/>
      <c r="DH102" s="147"/>
      <c r="DI102" s="147"/>
      <c r="DJ102" s="147"/>
      <c r="DK102" s="147"/>
      <c r="DL102" s="147"/>
      <c r="DM102" s="147"/>
      <c r="DN102" s="147"/>
      <c r="DO102" s="147"/>
      <c r="DP102" s="147"/>
      <c r="DQ102" s="147"/>
      <c r="DR102" s="147"/>
      <c r="DS102" s="147"/>
      <c r="DT102" s="147"/>
      <c r="DU102" s="147"/>
      <c r="DV102" s="147"/>
      <c r="DW102" s="147"/>
      <c r="DX102" s="147"/>
      <c r="DY102" s="147"/>
      <c r="DZ102" s="147"/>
      <c r="EA102" s="147"/>
      <c r="EB102" s="147"/>
      <c r="EC102" s="147"/>
      <c r="ED102" s="147"/>
      <c r="EE102" s="147"/>
      <c r="EF102" s="147"/>
      <c r="EG102" s="147"/>
      <c r="EH102" s="147"/>
      <c r="EI102" s="147"/>
      <c r="EJ102" s="147"/>
      <c r="EK102" s="147"/>
      <c r="EL102" s="147"/>
      <c r="EM102" s="147"/>
      <c r="EN102" s="147"/>
      <c r="EO102" s="147"/>
      <c r="EP102" s="147"/>
      <c r="EQ102" s="147"/>
      <c r="ER102" s="147"/>
      <c r="ES102" s="147"/>
      <c r="ET102" s="147"/>
      <c r="EU102" s="147"/>
      <c r="EV102" s="147"/>
      <c r="EW102" s="147"/>
      <c r="EX102" s="147"/>
      <c r="EY102" s="147"/>
      <c r="EZ102" s="147"/>
      <c r="FA102" s="147"/>
      <c r="FB102" s="147"/>
      <c r="FC102" s="147"/>
      <c r="FD102" s="147"/>
      <c r="FE102" s="147"/>
      <c r="FF102" s="147"/>
      <c r="FG102" s="147"/>
      <c r="FH102" s="147"/>
      <c r="FI102" s="147"/>
      <c r="FJ102" s="147"/>
      <c r="FK102" s="147"/>
      <c r="FL102" s="147"/>
      <c r="FM102" s="147"/>
      <c r="FN102" s="147"/>
      <c r="FO102" s="147"/>
      <c r="FP102" s="147"/>
      <c r="FQ102" s="147"/>
      <c r="FR102" s="147"/>
      <c r="FS102" s="147"/>
      <c r="FT102" s="147"/>
      <c r="FU102" s="147"/>
      <c r="FV102" s="147"/>
      <c r="FW102" s="147"/>
      <c r="FX102" s="147"/>
      <c r="FY102" s="147"/>
      <c r="FZ102" s="147"/>
      <c r="GA102" s="147"/>
      <c r="GB102" s="147"/>
      <c r="GC102" s="147"/>
      <c r="GD102" s="147"/>
      <c r="GE102" s="147"/>
      <c r="GF102" s="147"/>
      <c r="GG102" s="147"/>
      <c r="GH102" s="147"/>
      <c r="GI102" s="147"/>
      <c r="GJ102" s="147"/>
      <c r="GK102" s="147"/>
      <c r="GL102" s="147"/>
      <c r="GM102" s="147"/>
      <c r="GN102" s="147"/>
      <c r="GO102" s="147"/>
      <c r="GP102" s="147"/>
      <c r="GQ102" s="147"/>
      <c r="GR102" s="147"/>
      <c r="GS102" s="147"/>
      <c r="GT102" s="147"/>
      <c r="GU102" s="147"/>
      <c r="GV102" s="147"/>
      <c r="GW102" s="147"/>
      <c r="GX102" s="147"/>
      <c r="GY102" s="147"/>
      <c r="GZ102" s="147"/>
      <c r="HA102" s="147"/>
      <c r="HB102" s="147"/>
      <c r="HC102" s="147"/>
      <c r="HD102" s="147"/>
      <c r="HE102" s="147"/>
      <c r="HF102" s="147"/>
      <c r="HG102" s="147"/>
      <c r="HH102" s="147"/>
      <c r="HI102" s="147"/>
      <c r="HJ102" s="147"/>
      <c r="HK102" s="147"/>
      <c r="HL102" s="147"/>
      <c r="HM102" s="147"/>
      <c r="HN102" s="147"/>
      <c r="HO102" s="147"/>
      <c r="HP102" s="147"/>
      <c r="HQ102" s="147"/>
      <c r="HR102" s="147"/>
      <c r="HS102" s="147"/>
      <c r="HT102" s="147"/>
      <c r="HU102" s="147"/>
      <c r="HV102" s="147"/>
      <c r="HW102" s="147"/>
      <c r="HX102" s="147"/>
      <c r="HY102" s="147"/>
      <c r="HZ102" s="147"/>
      <c r="IA102" s="147"/>
      <c r="IB102" s="147"/>
      <c r="IC102" s="147"/>
      <c r="ID102" s="147"/>
      <c r="IE102" s="147"/>
      <c r="IF102" s="147"/>
      <c r="IG102" s="147"/>
      <c r="IH102" s="147"/>
      <c r="II102" s="147"/>
      <c r="IJ102" s="147"/>
      <c r="IK102" s="147"/>
      <c r="IL102" s="147"/>
      <c r="IM102" s="147"/>
      <c r="IN102" s="147"/>
      <c r="IO102" s="147"/>
      <c r="IP102" s="147"/>
      <c r="IQ102" s="147"/>
      <c r="IR102" s="147"/>
      <c r="IS102" s="147"/>
      <c r="IT102" s="147"/>
      <c r="IU102" s="147"/>
      <c r="IV102" s="147"/>
    </row>
    <row r="103" spans="1:256" ht="24.95" customHeight="1" x14ac:dyDescent="0.35">
      <c r="A103" s="1600">
        <v>97</v>
      </c>
      <c r="B103" s="147"/>
      <c r="C103" s="1639"/>
      <c r="D103" s="1663" t="s">
        <v>1204</v>
      </c>
      <c r="E103" s="1772"/>
      <c r="F103" s="147"/>
      <c r="G103" s="2083"/>
      <c r="H103" s="147"/>
      <c r="I103" s="147"/>
      <c r="J103" s="2"/>
      <c r="K103" s="147"/>
      <c r="L103" s="2"/>
      <c r="M103" s="147"/>
      <c r="N103" s="147"/>
      <c r="O103" s="147"/>
      <c r="P103" s="147"/>
      <c r="Q103" s="147"/>
      <c r="R103" s="147"/>
      <c r="S103" s="147"/>
      <c r="T103" s="147"/>
      <c r="U103" s="147"/>
      <c r="V103" s="147"/>
      <c r="W103" s="147"/>
      <c r="X103" s="147"/>
      <c r="Y103" s="147"/>
      <c r="Z103" s="147"/>
      <c r="AA103" s="147"/>
      <c r="AB103" s="147"/>
      <c r="AC103" s="147"/>
      <c r="AD103" s="147"/>
      <c r="AE103" s="147"/>
      <c r="AF103" s="147"/>
      <c r="AG103" s="147"/>
      <c r="AH103" s="147"/>
      <c r="AI103" s="147"/>
      <c r="AJ103" s="147"/>
      <c r="AK103" s="147"/>
      <c r="AL103" s="147"/>
      <c r="AM103" s="147"/>
      <c r="AN103" s="147"/>
      <c r="AO103" s="147"/>
      <c r="AP103" s="147"/>
      <c r="AQ103" s="147"/>
      <c r="AR103" s="147"/>
      <c r="AS103" s="147"/>
      <c r="AT103" s="147"/>
      <c r="AU103" s="147"/>
      <c r="AV103" s="147"/>
      <c r="AW103" s="147"/>
      <c r="AX103" s="147"/>
      <c r="AY103" s="147"/>
      <c r="AZ103" s="147"/>
      <c r="BA103" s="147"/>
      <c r="BB103" s="147"/>
      <c r="BC103" s="147"/>
      <c r="BD103" s="147"/>
      <c r="BE103" s="147"/>
      <c r="BF103" s="147"/>
      <c r="BG103" s="147"/>
      <c r="BH103" s="147"/>
      <c r="BI103" s="147"/>
      <c r="BJ103" s="147"/>
      <c r="BK103" s="147"/>
      <c r="BL103" s="147"/>
      <c r="BM103" s="147"/>
      <c r="BN103" s="147"/>
      <c r="BO103" s="147"/>
      <c r="BP103" s="147"/>
      <c r="BQ103" s="147"/>
      <c r="BR103" s="147"/>
      <c r="BS103" s="147"/>
      <c r="BT103" s="147"/>
      <c r="BU103" s="147"/>
      <c r="BV103" s="147"/>
      <c r="BW103" s="147"/>
      <c r="BX103" s="147"/>
      <c r="BY103" s="147"/>
      <c r="BZ103" s="147"/>
      <c r="CA103" s="147"/>
      <c r="CB103" s="147"/>
      <c r="CC103" s="147"/>
      <c r="CD103" s="147"/>
      <c r="CE103" s="147"/>
      <c r="CF103" s="147"/>
      <c r="CG103" s="147"/>
      <c r="CH103" s="147"/>
      <c r="CI103" s="147"/>
      <c r="CJ103" s="147"/>
      <c r="CK103" s="147"/>
      <c r="CL103" s="147"/>
      <c r="CM103" s="147"/>
      <c r="CN103" s="147"/>
      <c r="CO103" s="147"/>
      <c r="CP103" s="147"/>
      <c r="CQ103" s="147"/>
      <c r="CR103" s="147"/>
      <c r="CS103" s="147"/>
      <c r="CT103" s="147"/>
      <c r="CU103" s="147"/>
      <c r="CV103" s="147"/>
      <c r="CW103" s="147"/>
      <c r="CX103" s="147"/>
      <c r="CY103" s="147"/>
      <c r="CZ103" s="147"/>
      <c r="DA103" s="147"/>
      <c r="DB103" s="147"/>
      <c r="DC103" s="147"/>
      <c r="DD103" s="147"/>
      <c r="DE103" s="147"/>
      <c r="DF103" s="147"/>
      <c r="DG103" s="147"/>
      <c r="DH103" s="147"/>
      <c r="DI103" s="147"/>
      <c r="DJ103" s="147"/>
      <c r="DK103" s="147"/>
      <c r="DL103" s="147"/>
      <c r="DM103" s="147"/>
      <c r="DN103" s="147"/>
      <c r="DO103" s="147"/>
      <c r="DP103" s="147"/>
      <c r="DQ103" s="147"/>
      <c r="DR103" s="147"/>
      <c r="DS103" s="147"/>
      <c r="DT103" s="147"/>
      <c r="DU103" s="147"/>
      <c r="DV103" s="147"/>
      <c r="DW103" s="147"/>
      <c r="DX103" s="147"/>
      <c r="DY103" s="147"/>
      <c r="DZ103" s="147"/>
      <c r="EA103" s="147"/>
      <c r="EB103" s="147"/>
      <c r="EC103" s="147"/>
      <c r="ED103" s="147"/>
      <c r="EE103" s="147"/>
      <c r="EF103" s="147"/>
      <c r="EG103" s="147"/>
      <c r="EH103" s="147"/>
      <c r="EI103" s="147"/>
      <c r="EJ103" s="147"/>
      <c r="EK103" s="147"/>
      <c r="EL103" s="147"/>
      <c r="EM103" s="147"/>
      <c r="EN103" s="147"/>
      <c r="EO103" s="147"/>
      <c r="EP103" s="147"/>
      <c r="EQ103" s="147"/>
      <c r="ER103" s="147"/>
      <c r="ES103" s="147"/>
      <c r="ET103" s="147"/>
      <c r="EU103" s="147"/>
      <c r="EV103" s="147"/>
      <c r="EW103" s="147"/>
      <c r="EX103" s="147"/>
      <c r="EY103" s="147"/>
      <c r="EZ103" s="147"/>
      <c r="FA103" s="147"/>
      <c r="FB103" s="147"/>
      <c r="FC103" s="147"/>
      <c r="FD103" s="147"/>
      <c r="FE103" s="147"/>
      <c r="FF103" s="147"/>
      <c r="FG103" s="147"/>
      <c r="FH103" s="147"/>
      <c r="FI103" s="147"/>
      <c r="FJ103" s="147"/>
      <c r="FK103" s="147"/>
      <c r="FL103" s="147"/>
      <c r="FM103" s="147"/>
      <c r="FN103" s="147"/>
      <c r="FO103" s="147"/>
      <c r="FP103" s="147"/>
      <c r="FQ103" s="147"/>
      <c r="FR103" s="147"/>
      <c r="FS103" s="147"/>
      <c r="FT103" s="147"/>
      <c r="FU103" s="147"/>
      <c r="FV103" s="147"/>
      <c r="FW103" s="147"/>
      <c r="FX103" s="147"/>
      <c r="FY103" s="147"/>
      <c r="FZ103" s="147"/>
      <c r="GA103" s="147"/>
      <c r="GB103" s="147"/>
      <c r="GC103" s="147"/>
      <c r="GD103" s="147"/>
      <c r="GE103" s="147"/>
      <c r="GF103" s="147"/>
      <c r="GG103" s="147"/>
      <c r="GH103" s="147"/>
      <c r="GI103" s="147"/>
      <c r="GJ103" s="147"/>
      <c r="GK103" s="147"/>
      <c r="GL103" s="147"/>
      <c r="GM103" s="147"/>
      <c r="GN103" s="147"/>
      <c r="GO103" s="147"/>
      <c r="GP103" s="147"/>
      <c r="GQ103" s="147"/>
      <c r="GR103" s="147"/>
      <c r="GS103" s="147"/>
      <c r="GT103" s="147"/>
      <c r="GU103" s="147"/>
      <c r="GV103" s="147"/>
      <c r="GW103" s="147"/>
      <c r="GX103" s="147"/>
      <c r="GY103" s="147"/>
      <c r="GZ103" s="147"/>
      <c r="HA103" s="147"/>
      <c r="HB103" s="147"/>
      <c r="HC103" s="147"/>
      <c r="HD103" s="147"/>
      <c r="HE103" s="147"/>
      <c r="HF103" s="147"/>
      <c r="HG103" s="147"/>
      <c r="HH103" s="147"/>
      <c r="HI103" s="147"/>
      <c r="HJ103" s="147"/>
      <c r="HK103" s="147"/>
      <c r="HL103" s="147"/>
      <c r="HM103" s="147"/>
      <c r="HN103" s="147"/>
      <c r="HO103" s="147"/>
      <c r="HP103" s="147"/>
      <c r="HQ103" s="147"/>
      <c r="HR103" s="147"/>
      <c r="HS103" s="147"/>
      <c r="HT103" s="147"/>
      <c r="HU103" s="147"/>
      <c r="HV103" s="147"/>
      <c r="HW103" s="147"/>
      <c r="HX103" s="147"/>
      <c r="HY103" s="147"/>
      <c r="HZ103" s="147"/>
      <c r="IA103" s="147"/>
      <c r="IB103" s="147"/>
      <c r="IC103" s="147"/>
      <c r="ID103" s="147"/>
      <c r="IE103" s="147"/>
      <c r="IF103" s="147"/>
      <c r="IG103" s="147"/>
      <c r="IH103" s="147"/>
      <c r="II103" s="147"/>
      <c r="IJ103" s="147"/>
      <c r="IK103" s="147"/>
      <c r="IL103" s="147"/>
      <c r="IM103" s="147"/>
      <c r="IN103" s="147"/>
      <c r="IO103" s="147"/>
      <c r="IP103" s="147"/>
      <c r="IQ103" s="147"/>
      <c r="IR103" s="147"/>
      <c r="IS103" s="147"/>
      <c r="IT103" s="147"/>
      <c r="IU103" s="147"/>
      <c r="IV103" s="147"/>
    </row>
    <row r="104" spans="1:256" ht="20.100000000000001" customHeight="1" x14ac:dyDescent="0.35">
      <c r="A104" s="1600">
        <v>98</v>
      </c>
      <c r="B104" s="147"/>
      <c r="C104" s="1639"/>
      <c r="D104" s="2077" t="s">
        <v>1295</v>
      </c>
      <c r="E104" s="2103">
        <v>228</v>
      </c>
      <c r="F104" s="147"/>
      <c r="G104" s="2083"/>
      <c r="H104" s="147"/>
      <c r="I104" s="147"/>
      <c r="J104" s="2"/>
      <c r="K104" s="147"/>
      <c r="L104" s="2"/>
      <c r="M104" s="147"/>
      <c r="N104" s="147"/>
      <c r="O104" s="147"/>
      <c r="P104" s="147"/>
      <c r="Q104" s="147"/>
      <c r="R104" s="147"/>
      <c r="S104" s="147"/>
      <c r="T104" s="147"/>
      <c r="U104" s="147"/>
      <c r="V104" s="147"/>
      <c r="W104" s="147"/>
      <c r="X104" s="147"/>
      <c r="Y104" s="147"/>
      <c r="Z104" s="147"/>
      <c r="AA104" s="147"/>
      <c r="AB104" s="147"/>
      <c r="AC104" s="147"/>
      <c r="AD104" s="147"/>
      <c r="AE104" s="147"/>
      <c r="AF104" s="147"/>
      <c r="AG104" s="147"/>
      <c r="AH104" s="147"/>
      <c r="AI104" s="147"/>
      <c r="AJ104" s="147"/>
      <c r="AK104" s="147"/>
      <c r="AL104" s="147"/>
      <c r="AM104" s="147"/>
      <c r="AN104" s="147"/>
      <c r="AO104" s="147"/>
      <c r="AP104" s="147"/>
      <c r="AQ104" s="147"/>
      <c r="AR104" s="147"/>
      <c r="AS104" s="147"/>
      <c r="AT104" s="147"/>
      <c r="AU104" s="147"/>
      <c r="AV104" s="147"/>
      <c r="AW104" s="147"/>
      <c r="AX104" s="147"/>
      <c r="AY104" s="147"/>
      <c r="AZ104" s="147"/>
      <c r="BA104" s="147"/>
      <c r="BB104" s="147"/>
      <c r="BC104" s="147"/>
      <c r="BD104" s="147"/>
      <c r="BE104" s="147"/>
      <c r="BF104" s="147"/>
      <c r="BG104" s="147"/>
      <c r="BH104" s="147"/>
      <c r="BI104" s="147"/>
      <c r="BJ104" s="147"/>
      <c r="BK104" s="147"/>
      <c r="BL104" s="147"/>
      <c r="BM104" s="147"/>
      <c r="BN104" s="147"/>
      <c r="BO104" s="147"/>
      <c r="BP104" s="147"/>
      <c r="BQ104" s="147"/>
      <c r="BR104" s="147"/>
      <c r="BS104" s="147"/>
      <c r="BT104" s="147"/>
      <c r="BU104" s="147"/>
      <c r="BV104" s="147"/>
      <c r="BW104" s="147"/>
      <c r="BX104" s="147"/>
      <c r="BY104" s="147"/>
      <c r="BZ104" s="147"/>
      <c r="CA104" s="147"/>
      <c r="CB104" s="147"/>
      <c r="CC104" s="147"/>
      <c r="CD104" s="147"/>
      <c r="CE104" s="147"/>
      <c r="CF104" s="147"/>
      <c r="CG104" s="147"/>
      <c r="CH104" s="147"/>
      <c r="CI104" s="147"/>
      <c r="CJ104" s="147"/>
      <c r="CK104" s="147"/>
      <c r="CL104" s="147"/>
      <c r="CM104" s="147"/>
      <c r="CN104" s="147"/>
      <c r="CO104" s="147"/>
      <c r="CP104" s="147"/>
      <c r="CQ104" s="147"/>
      <c r="CR104" s="147"/>
      <c r="CS104" s="147"/>
      <c r="CT104" s="147"/>
      <c r="CU104" s="147"/>
      <c r="CV104" s="147"/>
      <c r="CW104" s="147"/>
      <c r="CX104" s="147"/>
      <c r="CY104" s="147"/>
      <c r="CZ104" s="147"/>
      <c r="DA104" s="147"/>
      <c r="DB104" s="147"/>
      <c r="DC104" s="147"/>
      <c r="DD104" s="147"/>
      <c r="DE104" s="147"/>
      <c r="DF104" s="147"/>
      <c r="DG104" s="147"/>
      <c r="DH104" s="147"/>
      <c r="DI104" s="147"/>
      <c r="DJ104" s="147"/>
      <c r="DK104" s="147"/>
      <c r="DL104" s="147"/>
      <c r="DM104" s="147"/>
      <c r="DN104" s="147"/>
      <c r="DO104" s="147"/>
      <c r="DP104" s="147"/>
      <c r="DQ104" s="147"/>
      <c r="DR104" s="147"/>
      <c r="DS104" s="147"/>
      <c r="DT104" s="147"/>
      <c r="DU104" s="147"/>
      <c r="DV104" s="147"/>
      <c r="DW104" s="147"/>
      <c r="DX104" s="147"/>
      <c r="DY104" s="147"/>
      <c r="DZ104" s="147"/>
      <c r="EA104" s="147"/>
      <c r="EB104" s="147"/>
      <c r="EC104" s="147"/>
      <c r="ED104" s="147"/>
      <c r="EE104" s="147"/>
      <c r="EF104" s="147"/>
      <c r="EG104" s="147"/>
      <c r="EH104" s="147"/>
      <c r="EI104" s="147"/>
      <c r="EJ104" s="147"/>
      <c r="EK104" s="147"/>
      <c r="EL104" s="147"/>
      <c r="EM104" s="147"/>
      <c r="EN104" s="147"/>
      <c r="EO104" s="147"/>
      <c r="EP104" s="147"/>
      <c r="EQ104" s="147"/>
      <c r="ER104" s="147"/>
      <c r="ES104" s="147"/>
      <c r="ET104" s="147"/>
      <c r="EU104" s="147"/>
      <c r="EV104" s="147"/>
      <c r="EW104" s="147"/>
      <c r="EX104" s="147"/>
      <c r="EY104" s="147"/>
      <c r="EZ104" s="147"/>
      <c r="FA104" s="147"/>
      <c r="FB104" s="147"/>
      <c r="FC104" s="147"/>
      <c r="FD104" s="147"/>
      <c r="FE104" s="147"/>
      <c r="FF104" s="147"/>
      <c r="FG104" s="147"/>
      <c r="FH104" s="147"/>
      <c r="FI104" s="147"/>
      <c r="FJ104" s="147"/>
      <c r="FK104" s="147"/>
      <c r="FL104" s="147"/>
      <c r="FM104" s="147"/>
      <c r="FN104" s="147"/>
      <c r="FO104" s="147"/>
      <c r="FP104" s="147"/>
      <c r="FQ104" s="147"/>
      <c r="FR104" s="147"/>
      <c r="FS104" s="147"/>
      <c r="FT104" s="147"/>
      <c r="FU104" s="147"/>
      <c r="FV104" s="147"/>
      <c r="FW104" s="147"/>
      <c r="FX104" s="147"/>
      <c r="FY104" s="147"/>
      <c r="FZ104" s="147"/>
      <c r="GA104" s="147"/>
      <c r="GB104" s="147"/>
      <c r="GC104" s="147"/>
      <c r="GD104" s="147"/>
      <c r="GE104" s="147"/>
      <c r="GF104" s="147"/>
      <c r="GG104" s="147"/>
      <c r="GH104" s="147"/>
      <c r="GI104" s="147"/>
      <c r="GJ104" s="147"/>
      <c r="GK104" s="147"/>
      <c r="GL104" s="147"/>
      <c r="GM104" s="147"/>
      <c r="GN104" s="147"/>
      <c r="GO104" s="147"/>
      <c r="GP104" s="147"/>
      <c r="GQ104" s="147"/>
      <c r="GR104" s="147"/>
      <c r="GS104" s="147"/>
      <c r="GT104" s="147"/>
      <c r="GU104" s="147"/>
      <c r="GV104" s="147"/>
      <c r="GW104" s="147"/>
      <c r="GX104" s="147"/>
      <c r="GY104" s="147"/>
      <c r="GZ104" s="147"/>
      <c r="HA104" s="147"/>
      <c r="HB104" s="147"/>
      <c r="HC104" s="147"/>
      <c r="HD104" s="147"/>
      <c r="HE104" s="147"/>
      <c r="HF104" s="147"/>
      <c r="HG104" s="147"/>
      <c r="HH104" s="147"/>
      <c r="HI104" s="147"/>
      <c r="HJ104" s="147"/>
      <c r="HK104" s="147"/>
      <c r="HL104" s="147"/>
      <c r="HM104" s="147"/>
      <c r="HN104" s="147"/>
      <c r="HO104" s="147"/>
      <c r="HP104" s="147"/>
      <c r="HQ104" s="147"/>
      <c r="HR104" s="147"/>
      <c r="HS104" s="147"/>
      <c r="HT104" s="147"/>
      <c r="HU104" s="147"/>
      <c r="HV104" s="147"/>
      <c r="HW104" s="147"/>
      <c r="HX104" s="147"/>
      <c r="HY104" s="147"/>
      <c r="HZ104" s="147"/>
      <c r="IA104" s="147"/>
      <c r="IB104" s="147"/>
      <c r="IC104" s="147"/>
      <c r="ID104" s="147"/>
      <c r="IE104" s="147"/>
      <c r="IF104" s="147"/>
      <c r="IG104" s="147"/>
      <c r="IH104" s="147"/>
      <c r="II104" s="147"/>
      <c r="IJ104" s="147"/>
      <c r="IK104" s="147"/>
      <c r="IL104" s="147"/>
      <c r="IM104" s="147"/>
      <c r="IN104" s="147"/>
      <c r="IO104" s="147"/>
      <c r="IP104" s="147"/>
      <c r="IQ104" s="147"/>
      <c r="IR104" s="147"/>
      <c r="IS104" s="147"/>
      <c r="IT104" s="147"/>
      <c r="IU104" s="147"/>
      <c r="IV104" s="147"/>
    </row>
    <row r="105" spans="1:256" ht="24.95" customHeight="1" x14ac:dyDescent="0.35">
      <c r="A105" s="1600">
        <v>99</v>
      </c>
      <c r="B105" s="147"/>
      <c r="C105" s="1639"/>
      <c r="D105" s="1663" t="s">
        <v>1254</v>
      </c>
      <c r="E105" s="1772"/>
      <c r="F105" s="147"/>
      <c r="G105" s="2083"/>
      <c r="H105" s="147"/>
      <c r="I105" s="147"/>
      <c r="J105" s="2"/>
      <c r="K105" s="147"/>
      <c r="L105" s="2"/>
      <c r="M105" s="147"/>
      <c r="N105" s="147"/>
      <c r="O105" s="147"/>
      <c r="P105" s="147"/>
      <c r="Q105" s="147"/>
      <c r="R105" s="147"/>
      <c r="S105" s="147"/>
      <c r="T105" s="147"/>
      <c r="U105" s="147"/>
      <c r="V105" s="147"/>
      <c r="W105" s="147"/>
      <c r="X105" s="147"/>
      <c r="Y105" s="147"/>
      <c r="Z105" s="147"/>
      <c r="AA105" s="147"/>
      <c r="AB105" s="147"/>
      <c r="AC105" s="147"/>
      <c r="AD105" s="147"/>
      <c r="AE105" s="147"/>
      <c r="AF105" s="147"/>
      <c r="AG105" s="147"/>
      <c r="AH105" s="147"/>
      <c r="AI105" s="147"/>
      <c r="AJ105" s="147"/>
      <c r="AK105" s="147"/>
      <c r="AL105" s="147"/>
      <c r="AM105" s="147"/>
      <c r="AN105" s="147"/>
      <c r="AO105" s="147"/>
      <c r="AP105" s="147"/>
      <c r="AQ105" s="147"/>
      <c r="AR105" s="147"/>
      <c r="AS105" s="147"/>
      <c r="AT105" s="147"/>
      <c r="AU105" s="147"/>
      <c r="AV105" s="147"/>
      <c r="AW105" s="147"/>
      <c r="AX105" s="147"/>
      <c r="AY105" s="147"/>
      <c r="AZ105" s="147"/>
      <c r="BA105" s="147"/>
      <c r="BB105" s="147"/>
      <c r="BC105" s="147"/>
      <c r="BD105" s="147"/>
      <c r="BE105" s="147"/>
      <c r="BF105" s="147"/>
      <c r="BG105" s="147"/>
      <c r="BH105" s="147"/>
      <c r="BI105" s="147"/>
      <c r="BJ105" s="147"/>
      <c r="BK105" s="147"/>
      <c r="BL105" s="147"/>
      <c r="BM105" s="147"/>
      <c r="BN105" s="147"/>
      <c r="BO105" s="147"/>
      <c r="BP105" s="147"/>
      <c r="BQ105" s="147"/>
      <c r="BR105" s="147"/>
      <c r="BS105" s="147"/>
      <c r="BT105" s="147"/>
      <c r="BU105" s="147"/>
      <c r="BV105" s="147"/>
      <c r="BW105" s="147"/>
      <c r="BX105" s="147"/>
      <c r="BY105" s="147"/>
      <c r="BZ105" s="147"/>
      <c r="CA105" s="147"/>
      <c r="CB105" s="147"/>
      <c r="CC105" s="147"/>
      <c r="CD105" s="147"/>
      <c r="CE105" s="147"/>
      <c r="CF105" s="147"/>
      <c r="CG105" s="147"/>
      <c r="CH105" s="147"/>
      <c r="CI105" s="147"/>
      <c r="CJ105" s="147"/>
      <c r="CK105" s="147"/>
      <c r="CL105" s="147"/>
      <c r="CM105" s="147"/>
      <c r="CN105" s="147"/>
      <c r="CO105" s="147"/>
      <c r="CP105" s="147"/>
      <c r="CQ105" s="147"/>
      <c r="CR105" s="147"/>
      <c r="CS105" s="147"/>
      <c r="CT105" s="147"/>
      <c r="CU105" s="147"/>
      <c r="CV105" s="147"/>
      <c r="CW105" s="147"/>
      <c r="CX105" s="147"/>
      <c r="CY105" s="147"/>
      <c r="CZ105" s="147"/>
      <c r="DA105" s="147"/>
      <c r="DB105" s="147"/>
      <c r="DC105" s="147"/>
      <c r="DD105" s="147"/>
      <c r="DE105" s="147"/>
      <c r="DF105" s="147"/>
      <c r="DG105" s="147"/>
      <c r="DH105" s="147"/>
      <c r="DI105" s="147"/>
      <c r="DJ105" s="147"/>
      <c r="DK105" s="147"/>
      <c r="DL105" s="147"/>
      <c r="DM105" s="147"/>
      <c r="DN105" s="147"/>
      <c r="DO105" s="147"/>
      <c r="DP105" s="147"/>
      <c r="DQ105" s="147"/>
      <c r="DR105" s="147"/>
      <c r="DS105" s="147"/>
      <c r="DT105" s="147"/>
      <c r="DU105" s="147"/>
      <c r="DV105" s="147"/>
      <c r="DW105" s="147"/>
      <c r="DX105" s="147"/>
      <c r="DY105" s="147"/>
      <c r="DZ105" s="147"/>
      <c r="EA105" s="147"/>
      <c r="EB105" s="147"/>
      <c r="EC105" s="147"/>
      <c r="ED105" s="147"/>
      <c r="EE105" s="147"/>
      <c r="EF105" s="147"/>
      <c r="EG105" s="147"/>
      <c r="EH105" s="147"/>
      <c r="EI105" s="147"/>
      <c r="EJ105" s="147"/>
      <c r="EK105" s="147"/>
      <c r="EL105" s="147"/>
      <c r="EM105" s="147"/>
      <c r="EN105" s="147"/>
      <c r="EO105" s="147"/>
      <c r="EP105" s="147"/>
      <c r="EQ105" s="147"/>
      <c r="ER105" s="147"/>
      <c r="ES105" s="147"/>
      <c r="ET105" s="147"/>
      <c r="EU105" s="147"/>
      <c r="EV105" s="147"/>
      <c r="EW105" s="147"/>
      <c r="EX105" s="147"/>
      <c r="EY105" s="147"/>
      <c r="EZ105" s="147"/>
      <c r="FA105" s="147"/>
      <c r="FB105" s="147"/>
      <c r="FC105" s="147"/>
      <c r="FD105" s="147"/>
      <c r="FE105" s="147"/>
      <c r="FF105" s="147"/>
      <c r="FG105" s="147"/>
      <c r="FH105" s="147"/>
      <c r="FI105" s="147"/>
      <c r="FJ105" s="147"/>
      <c r="FK105" s="147"/>
      <c r="FL105" s="147"/>
      <c r="FM105" s="147"/>
      <c r="FN105" s="147"/>
      <c r="FO105" s="147"/>
      <c r="FP105" s="147"/>
      <c r="FQ105" s="147"/>
      <c r="FR105" s="147"/>
      <c r="FS105" s="147"/>
      <c r="FT105" s="147"/>
      <c r="FU105" s="147"/>
      <c r="FV105" s="147"/>
      <c r="FW105" s="147"/>
      <c r="FX105" s="147"/>
      <c r="FY105" s="147"/>
      <c r="FZ105" s="147"/>
      <c r="GA105" s="147"/>
      <c r="GB105" s="147"/>
      <c r="GC105" s="147"/>
      <c r="GD105" s="147"/>
      <c r="GE105" s="147"/>
      <c r="GF105" s="147"/>
      <c r="GG105" s="147"/>
      <c r="GH105" s="147"/>
      <c r="GI105" s="147"/>
      <c r="GJ105" s="147"/>
      <c r="GK105" s="147"/>
      <c r="GL105" s="147"/>
      <c r="GM105" s="147"/>
      <c r="GN105" s="147"/>
      <c r="GO105" s="147"/>
      <c r="GP105" s="147"/>
      <c r="GQ105" s="147"/>
      <c r="GR105" s="147"/>
      <c r="GS105" s="147"/>
      <c r="GT105" s="147"/>
      <c r="GU105" s="147"/>
      <c r="GV105" s="147"/>
      <c r="GW105" s="147"/>
      <c r="GX105" s="147"/>
      <c r="GY105" s="147"/>
      <c r="GZ105" s="147"/>
      <c r="HA105" s="147"/>
      <c r="HB105" s="147"/>
      <c r="HC105" s="147"/>
      <c r="HD105" s="147"/>
      <c r="HE105" s="147"/>
      <c r="HF105" s="147"/>
      <c r="HG105" s="147"/>
      <c r="HH105" s="147"/>
      <c r="HI105" s="147"/>
      <c r="HJ105" s="147"/>
      <c r="HK105" s="147"/>
      <c r="HL105" s="147"/>
      <c r="HM105" s="147"/>
      <c r="HN105" s="147"/>
      <c r="HO105" s="147"/>
      <c r="HP105" s="147"/>
      <c r="HQ105" s="147"/>
      <c r="HR105" s="147"/>
      <c r="HS105" s="147"/>
      <c r="HT105" s="147"/>
      <c r="HU105" s="147"/>
      <c r="HV105" s="147"/>
      <c r="HW105" s="147"/>
      <c r="HX105" s="147"/>
      <c r="HY105" s="147"/>
      <c r="HZ105" s="147"/>
      <c r="IA105" s="147"/>
      <c r="IB105" s="147"/>
      <c r="IC105" s="147"/>
      <c r="ID105" s="147"/>
      <c r="IE105" s="147"/>
      <c r="IF105" s="147"/>
      <c r="IG105" s="147"/>
      <c r="IH105" s="147"/>
      <c r="II105" s="147"/>
      <c r="IJ105" s="147"/>
      <c r="IK105" s="147"/>
      <c r="IL105" s="147"/>
      <c r="IM105" s="147"/>
      <c r="IN105" s="147"/>
      <c r="IO105" s="147"/>
      <c r="IP105" s="147"/>
      <c r="IQ105" s="147"/>
      <c r="IR105" s="147"/>
      <c r="IS105" s="147"/>
      <c r="IT105" s="147"/>
      <c r="IU105" s="147"/>
      <c r="IV105" s="147"/>
    </row>
    <row r="106" spans="1:256" ht="33.75" customHeight="1" x14ac:dyDescent="0.35">
      <c r="A106" s="1600">
        <v>100</v>
      </c>
      <c r="B106" s="147"/>
      <c r="C106" s="1639"/>
      <c r="D106" s="2077" t="s">
        <v>1253</v>
      </c>
      <c r="E106" s="1611">
        <v>3302000</v>
      </c>
      <c r="F106" s="2031"/>
      <c r="G106" s="1922"/>
      <c r="H106" s="149"/>
      <c r="I106" s="149"/>
      <c r="J106" s="1611"/>
      <c r="K106" s="149"/>
      <c r="L106" s="1611"/>
      <c r="M106" s="147"/>
      <c r="N106" s="147"/>
      <c r="O106" s="147"/>
      <c r="P106" s="147"/>
      <c r="Q106" s="147"/>
      <c r="R106" s="147"/>
      <c r="S106" s="147"/>
      <c r="T106" s="147"/>
      <c r="U106" s="147"/>
      <c r="V106" s="147"/>
      <c r="W106" s="147"/>
      <c r="X106" s="147"/>
      <c r="Y106" s="147"/>
      <c r="Z106" s="147"/>
      <c r="AA106" s="147"/>
      <c r="AB106" s="147"/>
      <c r="AC106" s="147"/>
      <c r="AD106" s="147"/>
      <c r="AE106" s="147"/>
      <c r="AF106" s="147"/>
      <c r="AG106" s="147"/>
      <c r="AH106" s="147"/>
      <c r="AI106" s="147"/>
      <c r="AJ106" s="147"/>
      <c r="AK106" s="147"/>
      <c r="AL106" s="147"/>
      <c r="AM106" s="147"/>
      <c r="AN106" s="147"/>
      <c r="AO106" s="147"/>
      <c r="AP106" s="147"/>
      <c r="AQ106" s="147"/>
      <c r="AR106" s="147"/>
      <c r="AS106" s="147"/>
      <c r="AT106" s="147"/>
      <c r="AU106" s="147"/>
      <c r="AV106" s="147"/>
      <c r="AW106" s="147"/>
      <c r="AX106" s="147"/>
      <c r="AY106" s="147"/>
      <c r="AZ106" s="147"/>
      <c r="BA106" s="147"/>
      <c r="BB106" s="147"/>
      <c r="BC106" s="147"/>
      <c r="BD106" s="147"/>
      <c r="BE106" s="147"/>
      <c r="BF106" s="147"/>
      <c r="BG106" s="147"/>
      <c r="BH106" s="147"/>
      <c r="BI106" s="147"/>
      <c r="BJ106" s="147"/>
      <c r="BK106" s="147"/>
      <c r="BL106" s="147"/>
      <c r="BM106" s="147"/>
      <c r="BN106" s="147"/>
      <c r="BO106" s="147"/>
      <c r="BP106" s="147"/>
      <c r="BQ106" s="147"/>
      <c r="BR106" s="147"/>
      <c r="BS106" s="147"/>
      <c r="BT106" s="147"/>
      <c r="BU106" s="147"/>
      <c r="BV106" s="147"/>
      <c r="BW106" s="147"/>
      <c r="BX106" s="147"/>
      <c r="BY106" s="147"/>
      <c r="BZ106" s="147"/>
      <c r="CA106" s="147"/>
      <c r="CB106" s="147"/>
      <c r="CC106" s="147"/>
      <c r="CD106" s="147"/>
      <c r="CE106" s="147"/>
      <c r="CF106" s="147"/>
      <c r="CG106" s="147"/>
      <c r="CH106" s="147"/>
      <c r="CI106" s="147"/>
      <c r="CJ106" s="147"/>
      <c r="CK106" s="147"/>
      <c r="CL106" s="147"/>
      <c r="CM106" s="147"/>
      <c r="CN106" s="147"/>
      <c r="CO106" s="147"/>
      <c r="CP106" s="147"/>
      <c r="CQ106" s="147"/>
      <c r="CR106" s="147"/>
      <c r="CS106" s="147"/>
      <c r="CT106" s="147"/>
      <c r="CU106" s="147"/>
      <c r="CV106" s="147"/>
      <c r="CW106" s="147"/>
      <c r="CX106" s="147"/>
      <c r="CY106" s="147"/>
      <c r="CZ106" s="147"/>
      <c r="DA106" s="147"/>
      <c r="DB106" s="147"/>
      <c r="DC106" s="147"/>
      <c r="DD106" s="147"/>
      <c r="DE106" s="147"/>
      <c r="DF106" s="147"/>
      <c r="DG106" s="147"/>
      <c r="DH106" s="147"/>
      <c r="DI106" s="147"/>
      <c r="DJ106" s="147"/>
      <c r="DK106" s="147"/>
      <c r="DL106" s="147"/>
      <c r="DM106" s="147"/>
      <c r="DN106" s="147"/>
      <c r="DO106" s="147"/>
      <c r="DP106" s="147"/>
      <c r="DQ106" s="147"/>
      <c r="DR106" s="147"/>
      <c r="DS106" s="147"/>
      <c r="DT106" s="147"/>
      <c r="DU106" s="147"/>
      <c r="DV106" s="147"/>
      <c r="DW106" s="147"/>
      <c r="DX106" s="147"/>
      <c r="DY106" s="147"/>
      <c r="DZ106" s="147"/>
      <c r="EA106" s="147"/>
      <c r="EB106" s="147"/>
      <c r="EC106" s="147"/>
      <c r="ED106" s="147"/>
      <c r="EE106" s="147"/>
      <c r="EF106" s="147"/>
      <c r="EG106" s="147"/>
      <c r="EH106" s="147"/>
      <c r="EI106" s="147"/>
      <c r="EJ106" s="147"/>
      <c r="EK106" s="147"/>
      <c r="EL106" s="147"/>
      <c r="EM106" s="147"/>
      <c r="EN106" s="147"/>
      <c r="EO106" s="147"/>
      <c r="EP106" s="147"/>
      <c r="EQ106" s="147"/>
      <c r="ER106" s="147"/>
      <c r="ES106" s="147"/>
      <c r="ET106" s="147"/>
      <c r="EU106" s="147"/>
      <c r="EV106" s="147"/>
      <c r="EW106" s="147"/>
      <c r="EX106" s="147"/>
      <c r="EY106" s="147"/>
      <c r="EZ106" s="147"/>
      <c r="FA106" s="147"/>
      <c r="FB106" s="147"/>
      <c r="FC106" s="147"/>
      <c r="FD106" s="147"/>
      <c r="FE106" s="147"/>
      <c r="FF106" s="147"/>
      <c r="FG106" s="147"/>
      <c r="FH106" s="147"/>
      <c r="FI106" s="147"/>
      <c r="FJ106" s="147"/>
      <c r="FK106" s="147"/>
      <c r="FL106" s="147"/>
      <c r="FM106" s="147"/>
      <c r="FN106" s="147"/>
      <c r="FO106" s="147"/>
      <c r="FP106" s="147"/>
      <c r="FQ106" s="147"/>
      <c r="FR106" s="147"/>
      <c r="FS106" s="147"/>
      <c r="FT106" s="147"/>
      <c r="FU106" s="147"/>
      <c r="FV106" s="147"/>
      <c r="FW106" s="147"/>
      <c r="FX106" s="147"/>
      <c r="FY106" s="147"/>
      <c r="FZ106" s="147"/>
      <c r="GA106" s="147"/>
      <c r="GB106" s="147"/>
      <c r="GC106" s="147"/>
      <c r="GD106" s="147"/>
      <c r="GE106" s="147"/>
      <c r="GF106" s="147"/>
      <c r="GG106" s="147"/>
      <c r="GH106" s="147"/>
      <c r="GI106" s="147"/>
      <c r="GJ106" s="147"/>
      <c r="GK106" s="147"/>
      <c r="GL106" s="147"/>
      <c r="GM106" s="147"/>
      <c r="GN106" s="147"/>
      <c r="GO106" s="147"/>
      <c r="GP106" s="147"/>
      <c r="GQ106" s="147"/>
      <c r="GR106" s="147"/>
      <c r="GS106" s="147"/>
      <c r="GT106" s="147"/>
      <c r="GU106" s="147"/>
      <c r="GV106" s="147"/>
      <c r="GW106" s="147"/>
      <c r="GX106" s="147"/>
      <c r="GY106" s="147"/>
      <c r="GZ106" s="147"/>
      <c r="HA106" s="147"/>
      <c r="HB106" s="147"/>
      <c r="HC106" s="147"/>
      <c r="HD106" s="147"/>
      <c r="HE106" s="147"/>
      <c r="HF106" s="147"/>
      <c r="HG106" s="147"/>
      <c r="HH106" s="147"/>
      <c r="HI106" s="147"/>
      <c r="HJ106" s="147"/>
      <c r="HK106" s="147"/>
      <c r="HL106" s="147"/>
      <c r="HM106" s="147"/>
      <c r="HN106" s="147"/>
      <c r="HO106" s="147"/>
      <c r="HP106" s="147"/>
      <c r="HQ106" s="147"/>
      <c r="HR106" s="147"/>
      <c r="HS106" s="147"/>
      <c r="HT106" s="147"/>
      <c r="HU106" s="147"/>
      <c r="HV106" s="147"/>
      <c r="HW106" s="147"/>
      <c r="HX106" s="147"/>
      <c r="HY106" s="147"/>
      <c r="HZ106" s="147"/>
      <c r="IA106" s="147"/>
      <c r="IB106" s="147"/>
      <c r="IC106" s="147"/>
      <c r="ID106" s="147"/>
      <c r="IE106" s="147"/>
      <c r="IF106" s="147"/>
      <c r="IG106" s="147"/>
      <c r="IH106" s="147"/>
      <c r="II106" s="147"/>
      <c r="IJ106" s="147"/>
      <c r="IK106" s="147"/>
      <c r="IL106" s="147"/>
      <c r="IM106" s="147"/>
      <c r="IN106" s="147"/>
      <c r="IO106" s="147"/>
      <c r="IP106" s="147"/>
      <c r="IQ106" s="147"/>
      <c r="IR106" s="147"/>
      <c r="IS106" s="147"/>
      <c r="IT106" s="147"/>
      <c r="IU106" s="147"/>
      <c r="IV106" s="147"/>
    </row>
    <row r="107" spans="1:256" ht="18" customHeight="1" x14ac:dyDescent="0.35">
      <c r="A107" s="1600">
        <v>101</v>
      </c>
      <c r="B107" s="147"/>
      <c r="C107" s="1639"/>
      <c r="D107" s="1610"/>
      <c r="E107" s="1612"/>
      <c r="F107" s="2031"/>
      <c r="G107" s="1922"/>
      <c r="H107" s="149"/>
      <c r="I107" s="149"/>
      <c r="J107" s="2"/>
      <c r="K107" s="149"/>
      <c r="L107" s="2"/>
      <c r="M107" s="147"/>
      <c r="N107" s="147"/>
      <c r="O107" s="147"/>
      <c r="P107" s="147"/>
      <c r="Q107" s="147"/>
      <c r="R107" s="147"/>
      <c r="S107" s="147"/>
      <c r="T107" s="147"/>
      <c r="U107" s="147"/>
      <c r="V107" s="147"/>
      <c r="W107" s="147"/>
      <c r="X107" s="147"/>
      <c r="Y107" s="147"/>
      <c r="Z107" s="147"/>
      <c r="AA107" s="147"/>
      <c r="AB107" s="147"/>
      <c r="AC107" s="147"/>
      <c r="AD107" s="147"/>
      <c r="AE107" s="147"/>
      <c r="AF107" s="147"/>
      <c r="AG107" s="147"/>
      <c r="AH107" s="147"/>
      <c r="AI107" s="147"/>
      <c r="AJ107" s="147"/>
      <c r="AK107" s="147"/>
      <c r="AL107" s="147"/>
      <c r="AM107" s="147"/>
      <c r="AN107" s="147"/>
      <c r="AO107" s="147"/>
      <c r="AP107" s="147"/>
      <c r="AQ107" s="147"/>
      <c r="AR107" s="147"/>
      <c r="AS107" s="147"/>
      <c r="AT107" s="147"/>
      <c r="AU107" s="147"/>
      <c r="AV107" s="147"/>
      <c r="AW107" s="147"/>
      <c r="AX107" s="147"/>
      <c r="AY107" s="147"/>
      <c r="AZ107" s="147"/>
      <c r="BA107" s="147"/>
      <c r="BB107" s="147"/>
      <c r="BC107" s="147"/>
      <c r="BD107" s="147"/>
      <c r="BE107" s="147"/>
      <c r="BF107" s="147"/>
      <c r="BG107" s="147"/>
      <c r="BH107" s="147"/>
      <c r="BI107" s="147"/>
      <c r="BJ107" s="147"/>
      <c r="BK107" s="147"/>
      <c r="BL107" s="147"/>
      <c r="BM107" s="147"/>
      <c r="BN107" s="147"/>
      <c r="BO107" s="147"/>
      <c r="BP107" s="147"/>
      <c r="BQ107" s="147"/>
      <c r="BR107" s="147"/>
      <c r="BS107" s="147"/>
      <c r="BT107" s="147"/>
      <c r="BU107" s="147"/>
      <c r="BV107" s="147"/>
      <c r="BW107" s="147"/>
      <c r="BX107" s="147"/>
      <c r="BY107" s="147"/>
      <c r="BZ107" s="147"/>
      <c r="CA107" s="147"/>
      <c r="CB107" s="147"/>
      <c r="CC107" s="147"/>
      <c r="CD107" s="147"/>
      <c r="CE107" s="147"/>
      <c r="CF107" s="147"/>
      <c r="CG107" s="147"/>
      <c r="CH107" s="147"/>
      <c r="CI107" s="147"/>
      <c r="CJ107" s="147"/>
      <c r="CK107" s="147"/>
      <c r="CL107" s="147"/>
      <c r="CM107" s="147"/>
      <c r="CN107" s="147"/>
      <c r="CO107" s="147"/>
      <c r="CP107" s="147"/>
      <c r="CQ107" s="147"/>
      <c r="CR107" s="147"/>
      <c r="CS107" s="147"/>
      <c r="CT107" s="147"/>
      <c r="CU107" s="147"/>
      <c r="CV107" s="147"/>
      <c r="CW107" s="147"/>
      <c r="CX107" s="147"/>
      <c r="CY107" s="147"/>
      <c r="CZ107" s="147"/>
      <c r="DA107" s="147"/>
      <c r="DB107" s="147"/>
      <c r="DC107" s="147"/>
      <c r="DD107" s="147"/>
      <c r="DE107" s="147"/>
      <c r="DF107" s="147"/>
      <c r="DG107" s="147"/>
      <c r="DH107" s="147"/>
      <c r="DI107" s="147"/>
      <c r="DJ107" s="147"/>
      <c r="DK107" s="147"/>
      <c r="DL107" s="147"/>
      <c r="DM107" s="147"/>
      <c r="DN107" s="147"/>
      <c r="DO107" s="147"/>
      <c r="DP107" s="147"/>
      <c r="DQ107" s="147"/>
      <c r="DR107" s="147"/>
      <c r="DS107" s="147"/>
      <c r="DT107" s="147"/>
      <c r="DU107" s="147"/>
      <c r="DV107" s="147"/>
      <c r="DW107" s="147"/>
      <c r="DX107" s="147"/>
      <c r="DY107" s="147"/>
      <c r="DZ107" s="147"/>
      <c r="EA107" s="147"/>
      <c r="EB107" s="147"/>
      <c r="EC107" s="147"/>
      <c r="ED107" s="147"/>
      <c r="EE107" s="147"/>
      <c r="EF107" s="147"/>
      <c r="EG107" s="147"/>
      <c r="EH107" s="147"/>
      <c r="EI107" s="147"/>
      <c r="EJ107" s="147"/>
      <c r="EK107" s="147"/>
      <c r="EL107" s="147"/>
      <c r="EM107" s="147"/>
      <c r="EN107" s="147"/>
      <c r="EO107" s="147"/>
      <c r="EP107" s="147"/>
      <c r="EQ107" s="147"/>
      <c r="ER107" s="147"/>
      <c r="ES107" s="147"/>
      <c r="ET107" s="147"/>
      <c r="EU107" s="147"/>
      <c r="EV107" s="147"/>
      <c r="EW107" s="147"/>
      <c r="EX107" s="147"/>
      <c r="EY107" s="147"/>
      <c r="EZ107" s="147"/>
      <c r="FA107" s="147"/>
      <c r="FB107" s="147"/>
      <c r="FC107" s="147"/>
      <c r="FD107" s="147"/>
      <c r="FE107" s="147"/>
      <c r="FF107" s="147"/>
      <c r="FG107" s="147"/>
      <c r="FH107" s="147"/>
      <c r="FI107" s="147"/>
      <c r="FJ107" s="147"/>
      <c r="FK107" s="147"/>
      <c r="FL107" s="147"/>
      <c r="FM107" s="147"/>
      <c r="FN107" s="147"/>
      <c r="FO107" s="147"/>
      <c r="FP107" s="147"/>
      <c r="FQ107" s="147"/>
      <c r="FR107" s="147"/>
      <c r="FS107" s="147"/>
      <c r="FT107" s="147"/>
      <c r="FU107" s="147"/>
      <c r="FV107" s="147"/>
      <c r="FW107" s="147"/>
      <c r="FX107" s="147"/>
      <c r="FY107" s="147"/>
      <c r="FZ107" s="147"/>
      <c r="GA107" s="147"/>
      <c r="GB107" s="147"/>
      <c r="GC107" s="147"/>
      <c r="GD107" s="147"/>
      <c r="GE107" s="147"/>
      <c r="GF107" s="147"/>
      <c r="GG107" s="147"/>
      <c r="GH107" s="147"/>
      <c r="GI107" s="147"/>
      <c r="GJ107" s="147"/>
      <c r="GK107" s="147"/>
      <c r="GL107" s="147"/>
      <c r="GM107" s="147"/>
      <c r="GN107" s="147"/>
      <c r="GO107" s="147"/>
      <c r="GP107" s="147"/>
      <c r="GQ107" s="147"/>
      <c r="GR107" s="147"/>
      <c r="GS107" s="147"/>
      <c r="GT107" s="147"/>
      <c r="GU107" s="147"/>
      <c r="GV107" s="147"/>
      <c r="GW107" s="147"/>
      <c r="GX107" s="147"/>
      <c r="GY107" s="147"/>
      <c r="GZ107" s="147"/>
      <c r="HA107" s="147"/>
      <c r="HB107" s="147"/>
      <c r="HC107" s="147"/>
      <c r="HD107" s="147"/>
      <c r="HE107" s="147"/>
      <c r="HF107" s="147"/>
      <c r="HG107" s="147"/>
      <c r="HH107" s="147"/>
      <c r="HI107" s="147"/>
      <c r="HJ107" s="147"/>
      <c r="HK107" s="147"/>
      <c r="HL107" s="147"/>
      <c r="HM107" s="147"/>
      <c r="HN107" s="147"/>
      <c r="HO107" s="147"/>
      <c r="HP107" s="147"/>
      <c r="HQ107" s="147"/>
      <c r="HR107" s="147"/>
      <c r="HS107" s="147"/>
      <c r="HT107" s="147"/>
      <c r="HU107" s="147"/>
      <c r="HV107" s="147"/>
      <c r="HW107" s="147"/>
      <c r="HX107" s="147"/>
      <c r="HY107" s="147"/>
      <c r="HZ107" s="147"/>
      <c r="IA107" s="147"/>
      <c r="IB107" s="147"/>
      <c r="IC107" s="147"/>
      <c r="ID107" s="147"/>
      <c r="IE107" s="147"/>
      <c r="IF107" s="147"/>
      <c r="IG107" s="147"/>
      <c r="IH107" s="147"/>
      <c r="II107" s="147"/>
      <c r="IJ107" s="147"/>
      <c r="IK107" s="147"/>
      <c r="IL107" s="147"/>
      <c r="IM107" s="147"/>
      <c r="IN107" s="147"/>
      <c r="IO107" s="147"/>
      <c r="IP107" s="147"/>
      <c r="IQ107" s="147"/>
      <c r="IR107" s="147"/>
      <c r="IS107" s="147"/>
      <c r="IT107" s="147"/>
      <c r="IU107" s="147"/>
      <c r="IV107" s="147"/>
    </row>
    <row r="108" spans="1:256" ht="18" customHeight="1" x14ac:dyDescent="0.35">
      <c r="A108" s="1600">
        <v>102</v>
      </c>
      <c r="B108" s="147"/>
      <c r="C108" s="1639"/>
      <c r="D108" s="2022" t="s">
        <v>1205</v>
      </c>
      <c r="E108" s="1734">
        <f>E106+E104</f>
        <v>3302228</v>
      </c>
      <c r="F108" s="147"/>
      <c r="G108" s="2083"/>
      <c r="H108" s="147"/>
      <c r="I108" s="147"/>
      <c r="J108" s="2"/>
      <c r="K108" s="147"/>
      <c r="L108" s="2"/>
      <c r="M108" s="147"/>
      <c r="N108" s="147"/>
      <c r="O108" s="147"/>
      <c r="P108" s="147"/>
      <c r="Q108" s="147"/>
      <c r="R108" s="147"/>
      <c r="S108" s="147"/>
      <c r="T108" s="147"/>
      <c r="U108" s="147"/>
      <c r="V108" s="147"/>
      <c r="W108" s="147"/>
      <c r="X108" s="147"/>
      <c r="Y108" s="147"/>
      <c r="Z108" s="147"/>
      <c r="AA108" s="147"/>
      <c r="AB108" s="147"/>
      <c r="AC108" s="147"/>
      <c r="AD108" s="147"/>
      <c r="AE108" s="147"/>
      <c r="AF108" s="147"/>
      <c r="AG108" s="147"/>
      <c r="AH108" s="147"/>
      <c r="AI108" s="147"/>
      <c r="AJ108" s="147"/>
      <c r="AK108" s="147"/>
      <c r="AL108" s="147"/>
      <c r="AM108" s="147"/>
      <c r="AN108" s="147"/>
      <c r="AO108" s="147"/>
      <c r="AP108" s="147"/>
      <c r="AQ108" s="147"/>
      <c r="AR108" s="147"/>
      <c r="AS108" s="147"/>
      <c r="AT108" s="147"/>
      <c r="AU108" s="147"/>
      <c r="AV108" s="147"/>
      <c r="AW108" s="147"/>
      <c r="AX108" s="147"/>
      <c r="AY108" s="147"/>
      <c r="AZ108" s="147"/>
      <c r="BA108" s="147"/>
      <c r="BB108" s="147"/>
      <c r="BC108" s="147"/>
      <c r="BD108" s="147"/>
      <c r="BE108" s="147"/>
      <c r="BF108" s="147"/>
      <c r="BG108" s="147"/>
      <c r="BH108" s="147"/>
      <c r="BI108" s="147"/>
      <c r="BJ108" s="147"/>
      <c r="BK108" s="147"/>
      <c r="BL108" s="147"/>
      <c r="BM108" s="147"/>
      <c r="BN108" s="147"/>
      <c r="BO108" s="147"/>
      <c r="BP108" s="147"/>
      <c r="BQ108" s="147"/>
      <c r="BR108" s="147"/>
      <c r="BS108" s="147"/>
      <c r="BT108" s="147"/>
      <c r="BU108" s="147"/>
      <c r="BV108" s="147"/>
      <c r="BW108" s="147"/>
      <c r="BX108" s="147"/>
      <c r="BY108" s="147"/>
      <c r="BZ108" s="147"/>
      <c r="CA108" s="147"/>
      <c r="CB108" s="147"/>
      <c r="CC108" s="147"/>
      <c r="CD108" s="147"/>
      <c r="CE108" s="147"/>
      <c r="CF108" s="147"/>
      <c r="CG108" s="147"/>
      <c r="CH108" s="147"/>
      <c r="CI108" s="147"/>
      <c r="CJ108" s="147"/>
      <c r="CK108" s="147"/>
      <c r="CL108" s="147"/>
      <c r="CM108" s="147"/>
      <c r="CN108" s="147"/>
      <c r="CO108" s="147"/>
      <c r="CP108" s="147"/>
      <c r="CQ108" s="147"/>
      <c r="CR108" s="147"/>
      <c r="CS108" s="147"/>
      <c r="CT108" s="147"/>
      <c r="CU108" s="147"/>
      <c r="CV108" s="147"/>
      <c r="CW108" s="147"/>
      <c r="CX108" s="147"/>
      <c r="CY108" s="147"/>
      <c r="CZ108" s="147"/>
      <c r="DA108" s="147"/>
      <c r="DB108" s="147"/>
      <c r="DC108" s="147"/>
      <c r="DD108" s="147"/>
      <c r="DE108" s="147"/>
      <c r="DF108" s="147"/>
      <c r="DG108" s="147"/>
      <c r="DH108" s="147"/>
      <c r="DI108" s="147"/>
      <c r="DJ108" s="147"/>
      <c r="DK108" s="147"/>
      <c r="DL108" s="147"/>
      <c r="DM108" s="147"/>
      <c r="DN108" s="147"/>
      <c r="DO108" s="147"/>
      <c r="DP108" s="147"/>
      <c r="DQ108" s="147"/>
      <c r="DR108" s="147"/>
      <c r="DS108" s="147"/>
      <c r="DT108" s="147"/>
      <c r="DU108" s="147"/>
      <c r="DV108" s="147"/>
      <c r="DW108" s="147"/>
      <c r="DX108" s="147"/>
      <c r="DY108" s="147"/>
      <c r="DZ108" s="147"/>
      <c r="EA108" s="147"/>
      <c r="EB108" s="147"/>
      <c r="EC108" s="147"/>
      <c r="ED108" s="147"/>
      <c r="EE108" s="147"/>
      <c r="EF108" s="147"/>
      <c r="EG108" s="147"/>
      <c r="EH108" s="147"/>
      <c r="EI108" s="147"/>
      <c r="EJ108" s="147"/>
      <c r="EK108" s="147"/>
      <c r="EL108" s="147"/>
      <c r="EM108" s="147"/>
      <c r="EN108" s="147"/>
      <c r="EO108" s="147"/>
      <c r="EP108" s="147"/>
      <c r="EQ108" s="147"/>
      <c r="ER108" s="147"/>
      <c r="ES108" s="147"/>
      <c r="ET108" s="147"/>
      <c r="EU108" s="147"/>
      <c r="EV108" s="147"/>
      <c r="EW108" s="147"/>
      <c r="EX108" s="147"/>
      <c r="EY108" s="147"/>
      <c r="EZ108" s="147"/>
      <c r="FA108" s="147"/>
      <c r="FB108" s="147"/>
      <c r="FC108" s="147"/>
      <c r="FD108" s="147"/>
      <c r="FE108" s="147"/>
      <c r="FF108" s="147"/>
      <c r="FG108" s="147"/>
      <c r="FH108" s="147"/>
      <c r="FI108" s="147"/>
      <c r="FJ108" s="147"/>
      <c r="FK108" s="147"/>
      <c r="FL108" s="147"/>
      <c r="FM108" s="147"/>
      <c r="FN108" s="147"/>
      <c r="FO108" s="147"/>
      <c r="FP108" s="147"/>
      <c r="FQ108" s="147"/>
      <c r="FR108" s="147"/>
      <c r="FS108" s="147"/>
      <c r="FT108" s="147"/>
      <c r="FU108" s="147"/>
      <c r="FV108" s="147"/>
      <c r="FW108" s="147"/>
      <c r="FX108" s="147"/>
      <c r="FY108" s="147"/>
      <c r="FZ108" s="147"/>
      <c r="GA108" s="147"/>
      <c r="GB108" s="147"/>
      <c r="GC108" s="147"/>
      <c r="GD108" s="147"/>
      <c r="GE108" s="147"/>
      <c r="GF108" s="147"/>
      <c r="GG108" s="147"/>
      <c r="GH108" s="147"/>
      <c r="GI108" s="147"/>
      <c r="GJ108" s="147"/>
      <c r="GK108" s="147"/>
      <c r="GL108" s="147"/>
      <c r="GM108" s="147"/>
      <c r="GN108" s="147"/>
      <c r="GO108" s="147"/>
      <c r="GP108" s="147"/>
      <c r="GQ108" s="147"/>
      <c r="GR108" s="147"/>
      <c r="GS108" s="147"/>
      <c r="GT108" s="147"/>
      <c r="GU108" s="147"/>
      <c r="GV108" s="147"/>
      <c r="GW108" s="147"/>
      <c r="GX108" s="147"/>
      <c r="GY108" s="147"/>
      <c r="GZ108" s="147"/>
      <c r="HA108" s="147"/>
      <c r="HB108" s="147"/>
      <c r="HC108" s="147"/>
      <c r="HD108" s="147"/>
      <c r="HE108" s="147"/>
      <c r="HF108" s="147"/>
      <c r="HG108" s="147"/>
      <c r="HH108" s="147"/>
      <c r="HI108" s="147"/>
      <c r="HJ108" s="147"/>
      <c r="HK108" s="147"/>
      <c r="HL108" s="147"/>
      <c r="HM108" s="147"/>
      <c r="HN108" s="147"/>
      <c r="HO108" s="147"/>
      <c r="HP108" s="147"/>
      <c r="HQ108" s="147"/>
      <c r="HR108" s="147"/>
      <c r="HS108" s="147"/>
      <c r="HT108" s="147"/>
      <c r="HU108" s="147"/>
      <c r="HV108" s="147"/>
      <c r="HW108" s="147"/>
      <c r="HX108" s="147"/>
      <c r="HY108" s="147"/>
      <c r="HZ108" s="147"/>
      <c r="IA108" s="147"/>
      <c r="IB108" s="147"/>
      <c r="IC108" s="147"/>
      <c r="ID108" s="147"/>
      <c r="IE108" s="147"/>
      <c r="IF108" s="147"/>
      <c r="IG108" s="147"/>
      <c r="IH108" s="147"/>
      <c r="II108" s="147"/>
      <c r="IJ108" s="147"/>
      <c r="IK108" s="147"/>
      <c r="IL108" s="147"/>
      <c r="IM108" s="147"/>
      <c r="IN108" s="147"/>
      <c r="IO108" s="147"/>
      <c r="IP108" s="147"/>
      <c r="IQ108" s="147"/>
      <c r="IR108" s="147"/>
      <c r="IS108" s="147"/>
      <c r="IT108" s="147"/>
      <c r="IU108" s="147"/>
      <c r="IV108" s="147"/>
    </row>
    <row r="109" spans="1:256" ht="24.95" customHeight="1" x14ac:dyDescent="0.35">
      <c r="A109" s="1600">
        <v>103</v>
      </c>
      <c r="B109" s="147"/>
      <c r="C109" s="1639"/>
      <c r="D109" s="1663" t="s">
        <v>1201</v>
      </c>
      <c r="E109" s="1663"/>
      <c r="F109" s="1663"/>
      <c r="G109" s="2081"/>
      <c r="H109" s="1663"/>
      <c r="I109" s="1663"/>
      <c r="J109" s="1663"/>
      <c r="K109" s="1663"/>
      <c r="L109" s="1663"/>
      <c r="M109" s="1663"/>
      <c r="N109" s="1663"/>
      <c r="O109" s="1663"/>
      <c r="P109" s="1663"/>
      <c r="Q109" s="1663"/>
      <c r="R109" s="1663"/>
      <c r="S109" s="1663"/>
      <c r="T109" s="147"/>
      <c r="U109" s="147"/>
      <c r="V109" s="147"/>
      <c r="W109" s="147"/>
      <c r="X109" s="147"/>
      <c r="Y109" s="147"/>
      <c r="Z109" s="147"/>
      <c r="AA109" s="147"/>
      <c r="AB109" s="147"/>
      <c r="AC109" s="147"/>
      <c r="AD109" s="147"/>
      <c r="AE109" s="147"/>
      <c r="AF109" s="147"/>
      <c r="AG109" s="147"/>
      <c r="AH109" s="147"/>
      <c r="AI109" s="147"/>
      <c r="AJ109" s="147"/>
      <c r="AK109" s="147"/>
      <c r="AL109" s="147"/>
      <c r="AM109" s="147"/>
      <c r="AN109" s="147"/>
      <c r="AO109" s="147"/>
      <c r="AP109" s="147"/>
      <c r="AQ109" s="147"/>
      <c r="AR109" s="147"/>
      <c r="AS109" s="147"/>
      <c r="AT109" s="147"/>
      <c r="AU109" s="147"/>
      <c r="AV109" s="147"/>
      <c r="AW109" s="147"/>
      <c r="AX109" s="147"/>
      <c r="AY109" s="147"/>
      <c r="AZ109" s="147"/>
      <c r="BA109" s="147"/>
      <c r="BB109" s="147"/>
      <c r="BC109" s="147"/>
      <c r="BD109" s="147"/>
      <c r="BE109" s="147"/>
      <c r="BF109" s="147"/>
      <c r="BG109" s="147"/>
      <c r="BH109" s="147"/>
      <c r="BI109" s="147"/>
      <c r="BJ109" s="147"/>
      <c r="BK109" s="147"/>
      <c r="BL109" s="147"/>
      <c r="BM109" s="147"/>
      <c r="BN109" s="147"/>
      <c r="BO109" s="147"/>
      <c r="BP109" s="147"/>
      <c r="BQ109" s="147"/>
      <c r="BR109" s="147"/>
      <c r="BS109" s="147"/>
      <c r="BT109" s="147"/>
      <c r="BU109" s="147"/>
      <c r="BV109" s="147"/>
      <c r="BW109" s="147"/>
      <c r="BX109" s="147"/>
      <c r="BY109" s="147"/>
      <c r="BZ109" s="147"/>
      <c r="CA109" s="147"/>
      <c r="CB109" s="147"/>
      <c r="CC109" s="147"/>
      <c r="CD109" s="147"/>
      <c r="CE109" s="147"/>
      <c r="CF109" s="147"/>
      <c r="CG109" s="147"/>
      <c r="CH109" s="147"/>
      <c r="CI109" s="147"/>
      <c r="CJ109" s="147"/>
      <c r="CK109" s="147"/>
      <c r="CL109" s="147"/>
      <c r="CM109" s="147"/>
      <c r="CN109" s="147"/>
      <c r="CO109" s="147"/>
      <c r="CP109" s="147"/>
      <c r="CQ109" s="147"/>
      <c r="CR109" s="147"/>
      <c r="CS109" s="147"/>
      <c r="CT109" s="147"/>
      <c r="CU109" s="147"/>
      <c r="CV109" s="147"/>
      <c r="CW109" s="147"/>
      <c r="CX109" s="147"/>
      <c r="CY109" s="147"/>
      <c r="CZ109" s="147"/>
      <c r="DA109" s="147"/>
      <c r="DB109" s="147"/>
      <c r="DC109" s="147"/>
      <c r="DD109" s="147"/>
      <c r="DE109" s="147"/>
      <c r="DF109" s="147"/>
      <c r="DG109" s="147"/>
      <c r="DH109" s="147"/>
      <c r="DI109" s="147"/>
      <c r="DJ109" s="147"/>
      <c r="DK109" s="147"/>
      <c r="DL109" s="147"/>
      <c r="DM109" s="147"/>
      <c r="DN109" s="147"/>
      <c r="DO109" s="147"/>
      <c r="DP109" s="147"/>
      <c r="DQ109" s="147"/>
      <c r="DR109" s="147"/>
      <c r="DS109" s="147"/>
      <c r="DT109" s="147"/>
      <c r="DU109" s="147"/>
      <c r="DV109" s="147"/>
      <c r="DW109" s="147"/>
      <c r="DX109" s="147"/>
      <c r="DY109" s="147"/>
      <c r="DZ109" s="147"/>
      <c r="EA109" s="147"/>
      <c r="EB109" s="147"/>
      <c r="EC109" s="147"/>
      <c r="ED109" s="147"/>
      <c r="EE109" s="147"/>
      <c r="EF109" s="147"/>
      <c r="EG109" s="147"/>
      <c r="EH109" s="147"/>
      <c r="EI109" s="147"/>
      <c r="EJ109" s="147"/>
      <c r="EK109" s="147"/>
      <c r="EL109" s="147"/>
      <c r="EM109" s="147"/>
      <c r="EN109" s="147"/>
      <c r="EO109" s="147"/>
      <c r="EP109" s="147"/>
      <c r="EQ109" s="147"/>
      <c r="ER109" s="147"/>
      <c r="ES109" s="147"/>
      <c r="ET109" s="147"/>
      <c r="EU109" s="147"/>
      <c r="EV109" s="147"/>
      <c r="EW109" s="147"/>
      <c r="EX109" s="147"/>
      <c r="EY109" s="147"/>
      <c r="EZ109" s="147"/>
      <c r="FA109" s="147"/>
      <c r="FB109" s="147"/>
      <c r="FC109" s="147"/>
      <c r="FD109" s="147"/>
      <c r="FE109" s="147"/>
      <c r="FF109" s="147"/>
      <c r="FG109" s="147"/>
      <c r="FH109" s="147"/>
      <c r="FI109" s="147"/>
      <c r="FJ109" s="147"/>
      <c r="FK109" s="147"/>
      <c r="FL109" s="147"/>
      <c r="FM109" s="147"/>
      <c r="FN109" s="147"/>
      <c r="FO109" s="147"/>
      <c r="FP109" s="147"/>
      <c r="FQ109" s="147"/>
      <c r="FR109" s="147"/>
      <c r="FS109" s="147"/>
      <c r="FT109" s="147"/>
      <c r="FU109" s="147"/>
      <c r="FV109" s="147"/>
      <c r="FW109" s="147"/>
      <c r="FX109" s="147"/>
      <c r="FY109" s="147"/>
      <c r="FZ109" s="147"/>
      <c r="GA109" s="147"/>
      <c r="GB109" s="147"/>
      <c r="GC109" s="147"/>
      <c r="GD109" s="147"/>
      <c r="GE109" s="147"/>
      <c r="GF109" s="147"/>
      <c r="GG109" s="147"/>
      <c r="GH109" s="147"/>
      <c r="GI109" s="147"/>
      <c r="GJ109" s="147"/>
      <c r="GK109" s="147"/>
      <c r="GL109" s="147"/>
      <c r="GM109" s="147"/>
      <c r="GN109" s="147"/>
      <c r="GO109" s="147"/>
      <c r="GP109" s="147"/>
      <c r="GQ109" s="147"/>
      <c r="GR109" s="147"/>
      <c r="GS109" s="147"/>
      <c r="GT109" s="147"/>
      <c r="GU109" s="147"/>
      <c r="GV109" s="147"/>
      <c r="GW109" s="147"/>
      <c r="GX109" s="147"/>
      <c r="GY109" s="147"/>
      <c r="GZ109" s="147"/>
      <c r="HA109" s="147"/>
      <c r="HB109" s="147"/>
      <c r="HC109" s="147"/>
      <c r="HD109" s="147"/>
      <c r="HE109" s="147"/>
      <c r="HF109" s="147"/>
      <c r="HG109" s="147"/>
      <c r="HH109" s="147"/>
      <c r="HI109" s="147"/>
      <c r="HJ109" s="147"/>
      <c r="HK109" s="147"/>
      <c r="HL109" s="147"/>
      <c r="HM109" s="147"/>
      <c r="HN109" s="147"/>
      <c r="HO109" s="147"/>
      <c r="HP109" s="147"/>
      <c r="HQ109" s="147"/>
      <c r="HR109" s="147"/>
      <c r="HS109" s="147"/>
      <c r="HT109" s="147"/>
      <c r="HU109" s="147"/>
      <c r="HV109" s="147"/>
      <c r="HW109" s="147"/>
      <c r="HX109" s="147"/>
      <c r="HY109" s="147"/>
      <c r="HZ109" s="147"/>
      <c r="IA109" s="147"/>
      <c r="IB109" s="147"/>
      <c r="IC109" s="147"/>
      <c r="ID109" s="147"/>
      <c r="IE109" s="147"/>
      <c r="IF109" s="147"/>
      <c r="IG109" s="147"/>
      <c r="IH109" s="147"/>
      <c r="II109" s="147"/>
      <c r="IJ109" s="147"/>
      <c r="IK109" s="147"/>
      <c r="IL109" s="147"/>
      <c r="IM109" s="147"/>
      <c r="IN109" s="147"/>
      <c r="IO109" s="147"/>
      <c r="IP109" s="147"/>
      <c r="IQ109" s="147"/>
      <c r="IR109" s="147"/>
      <c r="IS109" s="147"/>
      <c r="IT109" s="147"/>
      <c r="IU109" s="147"/>
      <c r="IV109" s="147"/>
    </row>
    <row r="110" spans="1:256" ht="20.100000000000001" customHeight="1" x14ac:dyDescent="0.35">
      <c r="A110" s="1600">
        <v>104</v>
      </c>
      <c r="B110" s="147"/>
      <c r="C110" s="1639"/>
      <c r="D110" s="2079" t="s">
        <v>770</v>
      </c>
      <c r="E110" s="1637">
        <v>4994</v>
      </c>
      <c r="F110" s="2096"/>
      <c r="G110" s="2086"/>
      <c r="H110" s="2097"/>
      <c r="I110" s="2085"/>
      <c r="J110" s="2088"/>
      <c r="K110" s="2088"/>
      <c r="L110" s="2088"/>
      <c r="M110" s="1663"/>
      <c r="N110" s="1663"/>
      <c r="O110" s="1663"/>
      <c r="P110" s="1663"/>
      <c r="Q110" s="1663"/>
      <c r="R110" s="1663"/>
      <c r="S110" s="1663"/>
      <c r="T110" s="147"/>
      <c r="U110" s="147"/>
      <c r="V110" s="147"/>
      <c r="W110" s="147"/>
      <c r="X110" s="147"/>
      <c r="Y110" s="147"/>
      <c r="Z110" s="147"/>
      <c r="AA110" s="147"/>
      <c r="AB110" s="147"/>
      <c r="AC110" s="147"/>
      <c r="AD110" s="147"/>
      <c r="AE110" s="147"/>
      <c r="AF110" s="147"/>
      <c r="AG110" s="147"/>
      <c r="AH110" s="147"/>
      <c r="AI110" s="147"/>
      <c r="AJ110" s="147"/>
      <c r="AK110" s="147"/>
      <c r="AL110" s="147"/>
      <c r="AM110" s="147"/>
      <c r="AN110" s="147"/>
      <c r="AO110" s="147"/>
      <c r="AP110" s="147"/>
      <c r="AQ110" s="147"/>
      <c r="AR110" s="147"/>
      <c r="AS110" s="147"/>
      <c r="AT110" s="147"/>
      <c r="AU110" s="147"/>
      <c r="AV110" s="147"/>
      <c r="AW110" s="147"/>
      <c r="AX110" s="147"/>
      <c r="AY110" s="147"/>
      <c r="AZ110" s="147"/>
      <c r="BA110" s="147"/>
      <c r="BB110" s="147"/>
      <c r="BC110" s="147"/>
      <c r="BD110" s="147"/>
      <c r="BE110" s="147"/>
      <c r="BF110" s="147"/>
      <c r="BG110" s="147"/>
      <c r="BH110" s="147"/>
      <c r="BI110" s="147"/>
      <c r="BJ110" s="147"/>
      <c r="BK110" s="147"/>
      <c r="BL110" s="147"/>
      <c r="BM110" s="147"/>
      <c r="BN110" s="147"/>
      <c r="BO110" s="147"/>
      <c r="BP110" s="147"/>
      <c r="BQ110" s="147"/>
      <c r="BR110" s="147"/>
      <c r="BS110" s="147"/>
      <c r="BT110" s="147"/>
      <c r="BU110" s="147"/>
      <c r="BV110" s="147"/>
      <c r="BW110" s="147"/>
      <c r="BX110" s="147"/>
      <c r="BY110" s="147"/>
      <c r="BZ110" s="147"/>
      <c r="CA110" s="147"/>
      <c r="CB110" s="147"/>
      <c r="CC110" s="147"/>
      <c r="CD110" s="147"/>
      <c r="CE110" s="147"/>
      <c r="CF110" s="147"/>
      <c r="CG110" s="147"/>
      <c r="CH110" s="147"/>
      <c r="CI110" s="147"/>
      <c r="CJ110" s="147"/>
      <c r="CK110" s="147"/>
      <c r="CL110" s="147"/>
      <c r="CM110" s="147"/>
      <c r="CN110" s="147"/>
      <c r="CO110" s="147"/>
      <c r="CP110" s="147"/>
      <c r="CQ110" s="147"/>
      <c r="CR110" s="147"/>
      <c r="CS110" s="147"/>
      <c r="CT110" s="147"/>
      <c r="CU110" s="147"/>
      <c r="CV110" s="147"/>
      <c r="CW110" s="147"/>
      <c r="CX110" s="147"/>
      <c r="CY110" s="147"/>
      <c r="CZ110" s="147"/>
      <c r="DA110" s="147"/>
      <c r="DB110" s="147"/>
      <c r="DC110" s="147"/>
      <c r="DD110" s="147"/>
      <c r="DE110" s="147"/>
      <c r="DF110" s="147"/>
      <c r="DG110" s="147"/>
      <c r="DH110" s="147"/>
      <c r="DI110" s="147"/>
      <c r="DJ110" s="147"/>
      <c r="DK110" s="147"/>
      <c r="DL110" s="147"/>
      <c r="DM110" s="147"/>
      <c r="DN110" s="147"/>
      <c r="DO110" s="147"/>
      <c r="DP110" s="147"/>
      <c r="DQ110" s="147"/>
      <c r="DR110" s="147"/>
      <c r="DS110" s="147"/>
      <c r="DT110" s="147"/>
      <c r="DU110" s="147"/>
      <c r="DV110" s="147"/>
      <c r="DW110" s="147"/>
      <c r="DX110" s="147"/>
      <c r="DY110" s="147"/>
      <c r="DZ110" s="147"/>
      <c r="EA110" s="147"/>
      <c r="EB110" s="147"/>
      <c r="EC110" s="147"/>
      <c r="ED110" s="147"/>
      <c r="EE110" s="147"/>
      <c r="EF110" s="147"/>
      <c r="EG110" s="147"/>
      <c r="EH110" s="147"/>
      <c r="EI110" s="147"/>
      <c r="EJ110" s="147"/>
      <c r="EK110" s="147"/>
      <c r="EL110" s="147"/>
      <c r="EM110" s="147"/>
      <c r="EN110" s="147"/>
      <c r="EO110" s="147"/>
      <c r="EP110" s="147"/>
      <c r="EQ110" s="147"/>
      <c r="ER110" s="147"/>
      <c r="ES110" s="147"/>
      <c r="ET110" s="147"/>
      <c r="EU110" s="147"/>
      <c r="EV110" s="147"/>
      <c r="EW110" s="147"/>
      <c r="EX110" s="147"/>
      <c r="EY110" s="147"/>
      <c r="EZ110" s="147"/>
      <c r="FA110" s="147"/>
      <c r="FB110" s="147"/>
      <c r="FC110" s="147"/>
      <c r="FD110" s="147"/>
      <c r="FE110" s="147"/>
      <c r="FF110" s="147"/>
      <c r="FG110" s="147"/>
      <c r="FH110" s="147"/>
      <c r="FI110" s="147"/>
      <c r="FJ110" s="147"/>
      <c r="FK110" s="147"/>
      <c r="FL110" s="147"/>
      <c r="FM110" s="147"/>
      <c r="FN110" s="147"/>
      <c r="FO110" s="147"/>
      <c r="FP110" s="147"/>
      <c r="FQ110" s="147"/>
      <c r="FR110" s="147"/>
      <c r="FS110" s="147"/>
      <c r="FT110" s="147"/>
      <c r="FU110" s="147"/>
      <c r="FV110" s="147"/>
      <c r="FW110" s="147"/>
      <c r="FX110" s="147"/>
      <c r="FY110" s="147"/>
      <c r="FZ110" s="147"/>
      <c r="GA110" s="147"/>
      <c r="GB110" s="147"/>
      <c r="GC110" s="147"/>
      <c r="GD110" s="147"/>
      <c r="GE110" s="147"/>
      <c r="GF110" s="147"/>
      <c r="GG110" s="147"/>
      <c r="GH110" s="147"/>
      <c r="GI110" s="147"/>
      <c r="GJ110" s="147"/>
      <c r="GK110" s="147"/>
      <c r="GL110" s="147"/>
      <c r="GM110" s="147"/>
      <c r="GN110" s="147"/>
      <c r="GO110" s="147"/>
      <c r="GP110" s="147"/>
      <c r="GQ110" s="147"/>
      <c r="GR110" s="147"/>
      <c r="GS110" s="147"/>
      <c r="GT110" s="147"/>
      <c r="GU110" s="147"/>
      <c r="GV110" s="147"/>
      <c r="GW110" s="147"/>
      <c r="GX110" s="147"/>
      <c r="GY110" s="147"/>
      <c r="GZ110" s="147"/>
      <c r="HA110" s="147"/>
      <c r="HB110" s="147"/>
      <c r="HC110" s="147"/>
      <c r="HD110" s="147"/>
      <c r="HE110" s="147"/>
      <c r="HF110" s="147"/>
      <c r="HG110" s="147"/>
      <c r="HH110" s="147"/>
      <c r="HI110" s="147"/>
      <c r="HJ110" s="147"/>
      <c r="HK110" s="147"/>
      <c r="HL110" s="147"/>
      <c r="HM110" s="147"/>
      <c r="HN110" s="147"/>
      <c r="HO110" s="147"/>
      <c r="HP110" s="147"/>
      <c r="HQ110" s="147"/>
      <c r="HR110" s="147"/>
      <c r="HS110" s="147"/>
      <c r="HT110" s="147"/>
      <c r="HU110" s="147"/>
      <c r="HV110" s="147"/>
      <c r="HW110" s="147"/>
      <c r="HX110" s="147"/>
      <c r="HY110" s="147"/>
      <c r="HZ110" s="147"/>
      <c r="IA110" s="147"/>
      <c r="IB110" s="147"/>
      <c r="IC110" s="147"/>
      <c r="ID110" s="147"/>
      <c r="IE110" s="147"/>
      <c r="IF110" s="147"/>
      <c r="IG110" s="147"/>
      <c r="IH110" s="147"/>
      <c r="II110" s="147"/>
      <c r="IJ110" s="147"/>
      <c r="IK110" s="147"/>
      <c r="IL110" s="147"/>
      <c r="IM110" s="147"/>
      <c r="IN110" s="147"/>
      <c r="IO110" s="147"/>
      <c r="IP110" s="147"/>
      <c r="IQ110" s="147"/>
      <c r="IR110" s="147"/>
      <c r="IS110" s="147"/>
      <c r="IT110" s="147"/>
      <c r="IU110" s="147"/>
      <c r="IV110" s="147"/>
    </row>
    <row r="111" spans="1:256" ht="20.100000000000001" customHeight="1" x14ac:dyDescent="0.35">
      <c r="A111" s="1600">
        <v>105</v>
      </c>
      <c r="B111" s="147"/>
      <c r="C111" s="1639"/>
      <c r="D111" s="2079" t="s">
        <v>693</v>
      </c>
      <c r="E111" s="1637">
        <v>-311</v>
      </c>
      <c r="F111" s="2096"/>
      <c r="G111" s="2086"/>
      <c r="H111" s="2097"/>
      <c r="I111" s="2085"/>
      <c r="J111" s="2088"/>
      <c r="K111" s="2088"/>
      <c r="L111" s="2088"/>
      <c r="M111" s="1663"/>
      <c r="N111" s="1663"/>
      <c r="O111" s="1663"/>
      <c r="P111" s="1663"/>
      <c r="Q111" s="1663"/>
      <c r="R111" s="1663"/>
      <c r="S111" s="1663"/>
      <c r="T111" s="147"/>
      <c r="U111" s="147"/>
      <c r="V111" s="147"/>
      <c r="W111" s="147"/>
      <c r="X111" s="147"/>
      <c r="Y111" s="147"/>
      <c r="Z111" s="147"/>
      <c r="AA111" s="147"/>
      <c r="AB111" s="147"/>
      <c r="AC111" s="147"/>
      <c r="AD111" s="147"/>
      <c r="AE111" s="147"/>
      <c r="AF111" s="147"/>
      <c r="AG111" s="147"/>
      <c r="AH111" s="147"/>
      <c r="AI111" s="147"/>
      <c r="AJ111" s="147"/>
      <c r="AK111" s="147"/>
      <c r="AL111" s="147"/>
      <c r="AM111" s="147"/>
      <c r="AN111" s="147"/>
      <c r="AO111" s="147"/>
      <c r="AP111" s="147"/>
      <c r="AQ111" s="147"/>
      <c r="AR111" s="147"/>
      <c r="AS111" s="147"/>
      <c r="AT111" s="147"/>
      <c r="AU111" s="147"/>
      <c r="AV111" s="147"/>
      <c r="AW111" s="147"/>
      <c r="AX111" s="147"/>
      <c r="AY111" s="147"/>
      <c r="AZ111" s="147"/>
      <c r="BA111" s="147"/>
      <c r="BB111" s="147"/>
      <c r="BC111" s="147"/>
      <c r="BD111" s="147"/>
      <c r="BE111" s="147"/>
      <c r="BF111" s="147"/>
      <c r="BG111" s="147"/>
      <c r="BH111" s="147"/>
      <c r="BI111" s="147"/>
      <c r="BJ111" s="147"/>
      <c r="BK111" s="147"/>
      <c r="BL111" s="147"/>
      <c r="BM111" s="147"/>
      <c r="BN111" s="147"/>
      <c r="BO111" s="147"/>
      <c r="BP111" s="147"/>
      <c r="BQ111" s="147"/>
      <c r="BR111" s="147"/>
      <c r="BS111" s="147"/>
      <c r="BT111" s="147"/>
      <c r="BU111" s="147"/>
      <c r="BV111" s="147"/>
      <c r="BW111" s="147"/>
      <c r="BX111" s="147"/>
      <c r="BY111" s="147"/>
      <c r="BZ111" s="147"/>
      <c r="CA111" s="147"/>
      <c r="CB111" s="147"/>
      <c r="CC111" s="147"/>
      <c r="CD111" s="147"/>
      <c r="CE111" s="147"/>
      <c r="CF111" s="147"/>
      <c r="CG111" s="147"/>
      <c r="CH111" s="147"/>
      <c r="CI111" s="147"/>
      <c r="CJ111" s="147"/>
      <c r="CK111" s="147"/>
      <c r="CL111" s="147"/>
      <c r="CM111" s="147"/>
      <c r="CN111" s="147"/>
      <c r="CO111" s="147"/>
      <c r="CP111" s="147"/>
      <c r="CQ111" s="147"/>
      <c r="CR111" s="147"/>
      <c r="CS111" s="147"/>
      <c r="CT111" s="147"/>
      <c r="CU111" s="147"/>
      <c r="CV111" s="147"/>
      <c r="CW111" s="147"/>
      <c r="CX111" s="147"/>
      <c r="CY111" s="147"/>
      <c r="CZ111" s="147"/>
      <c r="DA111" s="147"/>
      <c r="DB111" s="147"/>
      <c r="DC111" s="147"/>
      <c r="DD111" s="147"/>
      <c r="DE111" s="147"/>
      <c r="DF111" s="147"/>
      <c r="DG111" s="147"/>
      <c r="DH111" s="147"/>
      <c r="DI111" s="147"/>
      <c r="DJ111" s="147"/>
      <c r="DK111" s="147"/>
      <c r="DL111" s="147"/>
      <c r="DM111" s="147"/>
      <c r="DN111" s="147"/>
      <c r="DO111" s="147"/>
      <c r="DP111" s="147"/>
      <c r="DQ111" s="147"/>
      <c r="DR111" s="147"/>
      <c r="DS111" s="147"/>
      <c r="DT111" s="147"/>
      <c r="DU111" s="147"/>
      <c r="DV111" s="147"/>
      <c r="DW111" s="147"/>
      <c r="DX111" s="147"/>
      <c r="DY111" s="147"/>
      <c r="DZ111" s="147"/>
      <c r="EA111" s="147"/>
      <c r="EB111" s="147"/>
      <c r="EC111" s="147"/>
      <c r="ED111" s="147"/>
      <c r="EE111" s="147"/>
      <c r="EF111" s="147"/>
      <c r="EG111" s="147"/>
      <c r="EH111" s="147"/>
      <c r="EI111" s="147"/>
      <c r="EJ111" s="147"/>
      <c r="EK111" s="147"/>
      <c r="EL111" s="147"/>
      <c r="EM111" s="147"/>
      <c r="EN111" s="147"/>
      <c r="EO111" s="147"/>
      <c r="EP111" s="147"/>
      <c r="EQ111" s="147"/>
      <c r="ER111" s="147"/>
      <c r="ES111" s="147"/>
      <c r="ET111" s="147"/>
      <c r="EU111" s="147"/>
      <c r="EV111" s="147"/>
      <c r="EW111" s="147"/>
      <c r="EX111" s="147"/>
      <c r="EY111" s="147"/>
      <c r="EZ111" s="147"/>
      <c r="FA111" s="147"/>
      <c r="FB111" s="147"/>
      <c r="FC111" s="147"/>
      <c r="FD111" s="147"/>
      <c r="FE111" s="147"/>
      <c r="FF111" s="147"/>
      <c r="FG111" s="147"/>
      <c r="FH111" s="147"/>
      <c r="FI111" s="147"/>
      <c r="FJ111" s="147"/>
      <c r="FK111" s="147"/>
      <c r="FL111" s="147"/>
      <c r="FM111" s="147"/>
      <c r="FN111" s="147"/>
      <c r="FO111" s="147"/>
      <c r="FP111" s="147"/>
      <c r="FQ111" s="147"/>
      <c r="FR111" s="147"/>
      <c r="FS111" s="147"/>
      <c r="FT111" s="147"/>
      <c r="FU111" s="147"/>
      <c r="FV111" s="147"/>
      <c r="FW111" s="147"/>
      <c r="FX111" s="147"/>
      <c r="FY111" s="147"/>
      <c r="FZ111" s="147"/>
      <c r="GA111" s="147"/>
      <c r="GB111" s="147"/>
      <c r="GC111" s="147"/>
      <c r="GD111" s="147"/>
      <c r="GE111" s="147"/>
      <c r="GF111" s="147"/>
      <c r="GG111" s="147"/>
      <c r="GH111" s="147"/>
      <c r="GI111" s="147"/>
      <c r="GJ111" s="147"/>
      <c r="GK111" s="147"/>
      <c r="GL111" s="147"/>
      <c r="GM111" s="147"/>
      <c r="GN111" s="147"/>
      <c r="GO111" s="147"/>
      <c r="GP111" s="147"/>
      <c r="GQ111" s="147"/>
      <c r="GR111" s="147"/>
      <c r="GS111" s="147"/>
      <c r="GT111" s="147"/>
      <c r="GU111" s="147"/>
      <c r="GV111" s="147"/>
      <c r="GW111" s="147"/>
      <c r="GX111" s="147"/>
      <c r="GY111" s="147"/>
      <c r="GZ111" s="147"/>
      <c r="HA111" s="147"/>
      <c r="HB111" s="147"/>
      <c r="HC111" s="147"/>
      <c r="HD111" s="147"/>
      <c r="HE111" s="147"/>
      <c r="HF111" s="147"/>
      <c r="HG111" s="147"/>
      <c r="HH111" s="147"/>
      <c r="HI111" s="147"/>
      <c r="HJ111" s="147"/>
      <c r="HK111" s="147"/>
      <c r="HL111" s="147"/>
      <c r="HM111" s="147"/>
      <c r="HN111" s="147"/>
      <c r="HO111" s="147"/>
      <c r="HP111" s="147"/>
      <c r="HQ111" s="147"/>
      <c r="HR111" s="147"/>
      <c r="HS111" s="147"/>
      <c r="HT111" s="147"/>
      <c r="HU111" s="147"/>
      <c r="HV111" s="147"/>
      <c r="HW111" s="147"/>
      <c r="HX111" s="147"/>
      <c r="HY111" s="147"/>
      <c r="HZ111" s="147"/>
      <c r="IA111" s="147"/>
      <c r="IB111" s="147"/>
      <c r="IC111" s="147"/>
      <c r="ID111" s="147"/>
      <c r="IE111" s="147"/>
      <c r="IF111" s="147"/>
      <c r="IG111" s="147"/>
      <c r="IH111" s="147"/>
      <c r="II111" s="147"/>
      <c r="IJ111" s="147"/>
      <c r="IK111" s="147"/>
      <c r="IL111" s="147"/>
      <c r="IM111" s="147"/>
      <c r="IN111" s="147"/>
      <c r="IO111" s="147"/>
      <c r="IP111" s="147"/>
      <c r="IQ111" s="147"/>
      <c r="IR111" s="147"/>
      <c r="IS111" s="147"/>
      <c r="IT111" s="147"/>
      <c r="IU111" s="147"/>
      <c r="IV111" s="147"/>
    </row>
    <row r="112" spans="1:256" ht="24.95" customHeight="1" x14ac:dyDescent="0.35">
      <c r="A112" s="1600">
        <v>106</v>
      </c>
      <c r="B112" s="147"/>
      <c r="C112" s="1639"/>
      <c r="D112" s="2078" t="s">
        <v>1256</v>
      </c>
      <c r="E112" s="1637"/>
      <c r="F112" s="147"/>
      <c r="G112" s="2083"/>
      <c r="H112" s="147"/>
      <c r="I112" s="147"/>
      <c r="J112" s="2"/>
      <c r="K112" s="147"/>
      <c r="L112" s="2"/>
      <c r="M112" s="147"/>
      <c r="N112" s="147"/>
      <c r="O112" s="147"/>
      <c r="P112" s="147"/>
      <c r="Q112" s="147"/>
      <c r="R112" s="147"/>
      <c r="S112" s="147"/>
      <c r="T112" s="147"/>
      <c r="U112" s="147"/>
      <c r="V112" s="147"/>
      <c r="W112" s="147"/>
      <c r="X112" s="147"/>
      <c r="Y112" s="147"/>
      <c r="Z112" s="147"/>
      <c r="AA112" s="147"/>
      <c r="AB112" s="147"/>
      <c r="AC112" s="147"/>
      <c r="AD112" s="147"/>
      <c r="AE112" s="147"/>
      <c r="AF112" s="147"/>
      <c r="AG112" s="147"/>
      <c r="AH112" s="147"/>
      <c r="AI112" s="147"/>
      <c r="AJ112" s="147"/>
      <c r="AK112" s="147"/>
      <c r="AL112" s="147"/>
      <c r="AM112" s="147"/>
      <c r="AN112" s="147"/>
      <c r="AO112" s="147"/>
      <c r="AP112" s="147"/>
      <c r="AQ112" s="147"/>
      <c r="AR112" s="147"/>
      <c r="AS112" s="147"/>
      <c r="AT112" s="147"/>
      <c r="AU112" s="147"/>
      <c r="AV112" s="147"/>
      <c r="AW112" s="147"/>
      <c r="AX112" s="147"/>
      <c r="AY112" s="147"/>
      <c r="AZ112" s="147"/>
      <c r="BA112" s="147"/>
      <c r="BB112" s="147"/>
      <c r="BC112" s="147"/>
      <c r="BD112" s="147"/>
      <c r="BE112" s="147"/>
      <c r="BF112" s="147"/>
      <c r="BG112" s="147"/>
      <c r="BH112" s="147"/>
      <c r="BI112" s="147"/>
      <c r="BJ112" s="147"/>
      <c r="BK112" s="147"/>
      <c r="BL112" s="147"/>
      <c r="BM112" s="147"/>
      <c r="BN112" s="147"/>
      <c r="BO112" s="147"/>
      <c r="BP112" s="147"/>
      <c r="BQ112" s="147"/>
      <c r="BR112" s="147"/>
      <c r="BS112" s="147"/>
      <c r="BT112" s="147"/>
      <c r="BU112" s="147"/>
      <c r="BV112" s="147"/>
      <c r="BW112" s="147"/>
      <c r="BX112" s="147"/>
      <c r="BY112" s="147"/>
      <c r="BZ112" s="147"/>
      <c r="CA112" s="147"/>
      <c r="CB112" s="147"/>
      <c r="CC112" s="147"/>
      <c r="CD112" s="147"/>
      <c r="CE112" s="147"/>
      <c r="CF112" s="147"/>
      <c r="CG112" s="147"/>
      <c r="CH112" s="147"/>
      <c r="CI112" s="147"/>
      <c r="CJ112" s="147"/>
      <c r="CK112" s="147"/>
      <c r="CL112" s="147"/>
      <c r="CM112" s="147"/>
      <c r="CN112" s="147"/>
      <c r="CO112" s="147"/>
      <c r="CP112" s="147"/>
      <c r="CQ112" s="147"/>
      <c r="CR112" s="147"/>
      <c r="CS112" s="147"/>
      <c r="CT112" s="147"/>
      <c r="CU112" s="147"/>
      <c r="CV112" s="147"/>
      <c r="CW112" s="147"/>
      <c r="CX112" s="147"/>
      <c r="CY112" s="147"/>
      <c r="CZ112" s="147"/>
      <c r="DA112" s="147"/>
      <c r="DB112" s="147"/>
      <c r="DC112" s="147"/>
      <c r="DD112" s="147"/>
      <c r="DE112" s="147"/>
      <c r="DF112" s="147"/>
      <c r="DG112" s="147"/>
      <c r="DH112" s="147"/>
      <c r="DI112" s="147"/>
      <c r="DJ112" s="147"/>
      <c r="DK112" s="147"/>
      <c r="DL112" s="147"/>
      <c r="DM112" s="147"/>
      <c r="DN112" s="147"/>
      <c r="DO112" s="147"/>
      <c r="DP112" s="147"/>
      <c r="DQ112" s="147"/>
      <c r="DR112" s="147"/>
      <c r="DS112" s="147"/>
      <c r="DT112" s="147"/>
      <c r="DU112" s="147"/>
      <c r="DV112" s="147"/>
      <c r="DW112" s="147"/>
      <c r="DX112" s="147"/>
      <c r="DY112" s="147"/>
      <c r="DZ112" s="147"/>
      <c r="EA112" s="147"/>
      <c r="EB112" s="147"/>
      <c r="EC112" s="147"/>
      <c r="ED112" s="147"/>
      <c r="EE112" s="147"/>
      <c r="EF112" s="147"/>
      <c r="EG112" s="147"/>
      <c r="EH112" s="147"/>
      <c r="EI112" s="147"/>
      <c r="EJ112" s="147"/>
      <c r="EK112" s="147"/>
      <c r="EL112" s="147"/>
      <c r="EM112" s="147"/>
      <c r="EN112" s="147"/>
      <c r="EO112" s="147"/>
      <c r="EP112" s="147"/>
      <c r="EQ112" s="147"/>
      <c r="ER112" s="147"/>
      <c r="ES112" s="147"/>
      <c r="ET112" s="147"/>
      <c r="EU112" s="147"/>
      <c r="EV112" s="147"/>
      <c r="EW112" s="147"/>
      <c r="EX112" s="147"/>
      <c r="EY112" s="147"/>
      <c r="EZ112" s="147"/>
      <c r="FA112" s="147"/>
      <c r="FB112" s="147"/>
      <c r="FC112" s="147"/>
      <c r="FD112" s="147"/>
      <c r="FE112" s="147"/>
      <c r="FF112" s="147"/>
      <c r="FG112" s="147"/>
      <c r="FH112" s="147"/>
      <c r="FI112" s="147"/>
      <c r="FJ112" s="147"/>
      <c r="FK112" s="147"/>
      <c r="FL112" s="147"/>
      <c r="FM112" s="147"/>
      <c r="FN112" s="147"/>
      <c r="FO112" s="147"/>
      <c r="FP112" s="147"/>
      <c r="FQ112" s="147"/>
      <c r="FR112" s="147"/>
      <c r="FS112" s="147"/>
      <c r="FT112" s="147"/>
      <c r="FU112" s="147"/>
      <c r="FV112" s="147"/>
      <c r="FW112" s="147"/>
      <c r="FX112" s="147"/>
      <c r="FY112" s="147"/>
      <c r="FZ112" s="147"/>
      <c r="GA112" s="147"/>
      <c r="GB112" s="147"/>
      <c r="GC112" s="147"/>
      <c r="GD112" s="147"/>
      <c r="GE112" s="147"/>
      <c r="GF112" s="147"/>
      <c r="GG112" s="147"/>
      <c r="GH112" s="147"/>
      <c r="GI112" s="147"/>
      <c r="GJ112" s="147"/>
      <c r="GK112" s="147"/>
      <c r="GL112" s="147"/>
      <c r="GM112" s="147"/>
      <c r="GN112" s="147"/>
      <c r="GO112" s="147"/>
      <c r="GP112" s="147"/>
      <c r="GQ112" s="147"/>
      <c r="GR112" s="147"/>
      <c r="GS112" s="147"/>
      <c r="GT112" s="147"/>
      <c r="GU112" s="147"/>
      <c r="GV112" s="147"/>
      <c r="GW112" s="147"/>
      <c r="GX112" s="147"/>
      <c r="GY112" s="147"/>
      <c r="GZ112" s="147"/>
      <c r="HA112" s="147"/>
      <c r="HB112" s="147"/>
      <c r="HC112" s="147"/>
      <c r="HD112" s="147"/>
      <c r="HE112" s="147"/>
      <c r="HF112" s="147"/>
      <c r="HG112" s="147"/>
      <c r="HH112" s="147"/>
      <c r="HI112" s="147"/>
      <c r="HJ112" s="147"/>
      <c r="HK112" s="147"/>
      <c r="HL112" s="147"/>
      <c r="HM112" s="147"/>
      <c r="HN112" s="147"/>
      <c r="HO112" s="147"/>
      <c r="HP112" s="147"/>
      <c r="HQ112" s="147"/>
      <c r="HR112" s="147"/>
      <c r="HS112" s="147"/>
      <c r="HT112" s="147"/>
      <c r="HU112" s="147"/>
      <c r="HV112" s="147"/>
      <c r="HW112" s="147"/>
      <c r="HX112" s="147"/>
      <c r="HY112" s="147"/>
      <c r="HZ112" s="147"/>
      <c r="IA112" s="147"/>
      <c r="IB112" s="147"/>
      <c r="IC112" s="147"/>
      <c r="ID112" s="147"/>
      <c r="IE112" s="147"/>
      <c r="IF112" s="147"/>
      <c r="IG112" s="147"/>
      <c r="IH112" s="147"/>
      <c r="II112" s="147"/>
      <c r="IJ112" s="147"/>
      <c r="IK112" s="147"/>
      <c r="IL112" s="147"/>
      <c r="IM112" s="147"/>
      <c r="IN112" s="147"/>
      <c r="IO112" s="147"/>
      <c r="IP112" s="147"/>
      <c r="IQ112" s="147"/>
      <c r="IR112" s="147"/>
      <c r="IS112" s="147"/>
      <c r="IT112" s="147"/>
      <c r="IU112" s="147"/>
      <c r="IV112" s="147"/>
    </row>
    <row r="113" spans="1:256" ht="18" customHeight="1" x14ac:dyDescent="0.35">
      <c r="A113" s="1600">
        <v>107</v>
      </c>
      <c r="B113" s="147"/>
      <c r="C113" s="1639"/>
      <c r="D113" s="1667" t="s">
        <v>1262</v>
      </c>
      <c r="E113" s="1637">
        <v>10</v>
      </c>
      <c r="F113" s="125"/>
      <c r="G113" s="1922"/>
      <c r="H113" s="123"/>
      <c r="I113" s="125"/>
      <c r="J113" s="1616"/>
      <c r="K113" s="147"/>
      <c r="L113" s="2"/>
      <c r="M113" s="147"/>
      <c r="N113" s="147"/>
      <c r="O113" s="147"/>
      <c r="P113" s="147"/>
      <c r="Q113" s="147"/>
      <c r="R113" s="147"/>
      <c r="S113" s="147"/>
      <c r="T113" s="147"/>
      <c r="U113" s="147"/>
      <c r="V113" s="147"/>
      <c r="W113" s="147"/>
      <c r="X113" s="147"/>
      <c r="Y113" s="147"/>
      <c r="Z113" s="147"/>
      <c r="AA113" s="147"/>
      <c r="AB113" s="147"/>
      <c r="AC113" s="147"/>
      <c r="AD113" s="147"/>
      <c r="AE113" s="147"/>
      <c r="AF113" s="147"/>
      <c r="AG113" s="147"/>
      <c r="AH113" s="147"/>
      <c r="AI113" s="147"/>
      <c r="AJ113" s="147"/>
      <c r="AK113" s="147"/>
      <c r="AL113" s="147"/>
      <c r="AM113" s="147"/>
      <c r="AN113" s="147"/>
      <c r="AO113" s="147"/>
      <c r="AP113" s="147"/>
      <c r="AQ113" s="147"/>
      <c r="AR113" s="147"/>
      <c r="AS113" s="147"/>
      <c r="AT113" s="147"/>
      <c r="AU113" s="147"/>
      <c r="AV113" s="147"/>
      <c r="AW113" s="147"/>
      <c r="AX113" s="147"/>
      <c r="AY113" s="147"/>
      <c r="AZ113" s="147"/>
      <c r="BA113" s="147"/>
      <c r="BB113" s="147"/>
      <c r="BC113" s="147"/>
      <c r="BD113" s="147"/>
      <c r="BE113" s="147"/>
      <c r="BF113" s="147"/>
      <c r="BG113" s="147"/>
      <c r="BH113" s="147"/>
      <c r="BI113" s="147"/>
      <c r="BJ113" s="147"/>
      <c r="BK113" s="147"/>
      <c r="BL113" s="147"/>
      <c r="BM113" s="147"/>
      <c r="BN113" s="147"/>
      <c r="BO113" s="147"/>
      <c r="BP113" s="147"/>
      <c r="BQ113" s="147"/>
      <c r="BR113" s="147"/>
      <c r="BS113" s="147"/>
      <c r="BT113" s="147"/>
      <c r="BU113" s="147"/>
      <c r="BV113" s="147"/>
      <c r="BW113" s="147"/>
      <c r="BX113" s="147"/>
      <c r="BY113" s="147"/>
      <c r="BZ113" s="147"/>
      <c r="CA113" s="147"/>
      <c r="CB113" s="147"/>
      <c r="CC113" s="147"/>
      <c r="CD113" s="147"/>
      <c r="CE113" s="147"/>
      <c r="CF113" s="147"/>
      <c r="CG113" s="147"/>
      <c r="CH113" s="147"/>
      <c r="CI113" s="147"/>
      <c r="CJ113" s="147"/>
      <c r="CK113" s="147"/>
      <c r="CL113" s="147"/>
      <c r="CM113" s="147"/>
      <c r="CN113" s="147"/>
      <c r="CO113" s="147"/>
      <c r="CP113" s="147"/>
      <c r="CQ113" s="147"/>
      <c r="CR113" s="147"/>
      <c r="CS113" s="147"/>
      <c r="CT113" s="147"/>
      <c r="CU113" s="147"/>
      <c r="CV113" s="147"/>
      <c r="CW113" s="147"/>
      <c r="CX113" s="147"/>
      <c r="CY113" s="147"/>
      <c r="CZ113" s="147"/>
      <c r="DA113" s="147"/>
      <c r="DB113" s="147"/>
      <c r="DC113" s="147"/>
      <c r="DD113" s="147"/>
      <c r="DE113" s="147"/>
      <c r="DF113" s="147"/>
      <c r="DG113" s="147"/>
      <c r="DH113" s="147"/>
      <c r="DI113" s="147"/>
      <c r="DJ113" s="147"/>
      <c r="DK113" s="147"/>
      <c r="DL113" s="147"/>
      <c r="DM113" s="147"/>
      <c r="DN113" s="147"/>
      <c r="DO113" s="147"/>
      <c r="DP113" s="147"/>
      <c r="DQ113" s="147"/>
      <c r="DR113" s="147"/>
      <c r="DS113" s="147"/>
      <c r="DT113" s="147"/>
      <c r="DU113" s="147"/>
      <c r="DV113" s="147"/>
      <c r="DW113" s="147"/>
      <c r="DX113" s="147"/>
      <c r="DY113" s="147"/>
      <c r="DZ113" s="147"/>
      <c r="EA113" s="147"/>
      <c r="EB113" s="147"/>
      <c r="EC113" s="147"/>
      <c r="ED113" s="147"/>
      <c r="EE113" s="147"/>
      <c r="EF113" s="147"/>
      <c r="EG113" s="147"/>
      <c r="EH113" s="147"/>
      <c r="EI113" s="147"/>
      <c r="EJ113" s="147"/>
      <c r="EK113" s="147"/>
      <c r="EL113" s="147"/>
      <c r="EM113" s="147"/>
      <c r="EN113" s="147"/>
      <c r="EO113" s="147"/>
      <c r="EP113" s="147"/>
      <c r="EQ113" s="147"/>
      <c r="ER113" s="147"/>
      <c r="ES113" s="147"/>
      <c r="ET113" s="147"/>
      <c r="EU113" s="147"/>
      <c r="EV113" s="147"/>
      <c r="EW113" s="147"/>
      <c r="EX113" s="147"/>
      <c r="EY113" s="147"/>
      <c r="EZ113" s="147"/>
      <c r="FA113" s="147"/>
      <c r="FB113" s="147"/>
      <c r="FC113" s="147"/>
      <c r="FD113" s="147"/>
      <c r="FE113" s="147"/>
      <c r="FF113" s="147"/>
      <c r="FG113" s="147"/>
      <c r="FH113" s="147"/>
      <c r="FI113" s="147"/>
      <c r="FJ113" s="147"/>
      <c r="FK113" s="147"/>
      <c r="FL113" s="147"/>
      <c r="FM113" s="147"/>
      <c r="FN113" s="147"/>
      <c r="FO113" s="147"/>
      <c r="FP113" s="147"/>
      <c r="FQ113" s="147"/>
      <c r="FR113" s="147"/>
      <c r="FS113" s="147"/>
      <c r="FT113" s="147"/>
      <c r="FU113" s="147"/>
      <c r="FV113" s="147"/>
      <c r="FW113" s="147"/>
      <c r="FX113" s="147"/>
      <c r="FY113" s="147"/>
      <c r="FZ113" s="147"/>
      <c r="GA113" s="147"/>
      <c r="GB113" s="147"/>
      <c r="GC113" s="147"/>
      <c r="GD113" s="147"/>
      <c r="GE113" s="147"/>
      <c r="GF113" s="147"/>
      <c r="GG113" s="147"/>
      <c r="GH113" s="147"/>
      <c r="GI113" s="147"/>
      <c r="GJ113" s="147"/>
      <c r="GK113" s="147"/>
      <c r="GL113" s="147"/>
      <c r="GM113" s="147"/>
      <c r="GN113" s="147"/>
      <c r="GO113" s="147"/>
      <c r="GP113" s="147"/>
      <c r="GQ113" s="147"/>
      <c r="GR113" s="147"/>
      <c r="GS113" s="147"/>
      <c r="GT113" s="147"/>
      <c r="GU113" s="147"/>
      <c r="GV113" s="147"/>
      <c r="GW113" s="147"/>
      <c r="GX113" s="147"/>
      <c r="GY113" s="147"/>
      <c r="GZ113" s="147"/>
      <c r="HA113" s="147"/>
      <c r="HB113" s="147"/>
      <c r="HC113" s="147"/>
      <c r="HD113" s="147"/>
      <c r="HE113" s="147"/>
      <c r="HF113" s="147"/>
      <c r="HG113" s="147"/>
      <c r="HH113" s="147"/>
      <c r="HI113" s="147"/>
      <c r="HJ113" s="147"/>
      <c r="HK113" s="147"/>
      <c r="HL113" s="147"/>
      <c r="HM113" s="147"/>
      <c r="HN113" s="147"/>
      <c r="HO113" s="147"/>
      <c r="HP113" s="147"/>
      <c r="HQ113" s="147"/>
      <c r="HR113" s="147"/>
      <c r="HS113" s="147"/>
      <c r="HT113" s="147"/>
      <c r="HU113" s="147"/>
      <c r="HV113" s="147"/>
      <c r="HW113" s="147"/>
      <c r="HX113" s="147"/>
      <c r="HY113" s="147"/>
      <c r="HZ113" s="147"/>
      <c r="IA113" s="147"/>
      <c r="IB113" s="147"/>
      <c r="IC113" s="147"/>
      <c r="ID113" s="147"/>
      <c r="IE113" s="147"/>
      <c r="IF113" s="147"/>
      <c r="IG113" s="147"/>
      <c r="IH113" s="147"/>
      <c r="II113" s="147"/>
      <c r="IJ113" s="147"/>
      <c r="IK113" s="147"/>
      <c r="IL113" s="147"/>
      <c r="IM113" s="147"/>
      <c r="IN113" s="147"/>
      <c r="IO113" s="147"/>
      <c r="IP113" s="147"/>
      <c r="IQ113" s="147"/>
      <c r="IR113" s="147"/>
      <c r="IS113" s="147"/>
      <c r="IT113" s="147"/>
      <c r="IU113" s="147"/>
      <c r="IV113" s="147"/>
    </row>
    <row r="114" spans="1:256" ht="18" customHeight="1" x14ac:dyDescent="0.35">
      <c r="A114" s="1600">
        <v>108</v>
      </c>
      <c r="B114" s="147"/>
      <c r="C114" s="1639"/>
      <c r="D114" s="1667" t="s">
        <v>1263</v>
      </c>
      <c r="E114" s="1637">
        <f>630000-10</f>
        <v>629990</v>
      </c>
      <c r="F114" s="125"/>
      <c r="G114" s="1922"/>
      <c r="H114" s="123"/>
      <c r="I114" s="125"/>
      <c r="J114" s="1616"/>
      <c r="K114" s="147"/>
      <c r="L114" s="2"/>
      <c r="M114" s="147"/>
      <c r="N114" s="147"/>
      <c r="O114" s="147"/>
      <c r="P114" s="147"/>
      <c r="Q114" s="147"/>
      <c r="R114" s="147"/>
      <c r="S114" s="147"/>
      <c r="T114" s="147"/>
      <c r="U114" s="147"/>
      <c r="V114" s="147"/>
      <c r="W114" s="147"/>
      <c r="X114" s="147"/>
      <c r="Y114" s="147"/>
      <c r="Z114" s="147"/>
      <c r="AA114" s="147"/>
      <c r="AB114" s="147"/>
      <c r="AC114" s="147"/>
      <c r="AD114" s="147"/>
      <c r="AE114" s="147"/>
      <c r="AF114" s="147"/>
      <c r="AG114" s="147"/>
      <c r="AH114" s="147"/>
      <c r="AI114" s="147"/>
      <c r="AJ114" s="147"/>
      <c r="AK114" s="147"/>
      <c r="AL114" s="147"/>
      <c r="AM114" s="147"/>
      <c r="AN114" s="147"/>
      <c r="AO114" s="147"/>
      <c r="AP114" s="147"/>
      <c r="AQ114" s="147"/>
      <c r="AR114" s="147"/>
      <c r="AS114" s="147"/>
      <c r="AT114" s="147"/>
      <c r="AU114" s="147"/>
      <c r="AV114" s="147"/>
      <c r="AW114" s="147"/>
      <c r="AX114" s="147"/>
      <c r="AY114" s="147"/>
      <c r="AZ114" s="147"/>
      <c r="BA114" s="147"/>
      <c r="BB114" s="147"/>
      <c r="BC114" s="147"/>
      <c r="BD114" s="147"/>
      <c r="BE114" s="147"/>
      <c r="BF114" s="147"/>
      <c r="BG114" s="147"/>
      <c r="BH114" s="147"/>
      <c r="BI114" s="147"/>
      <c r="BJ114" s="147"/>
      <c r="BK114" s="147"/>
      <c r="BL114" s="147"/>
      <c r="BM114" s="147"/>
      <c r="BN114" s="147"/>
      <c r="BO114" s="147"/>
      <c r="BP114" s="147"/>
      <c r="BQ114" s="147"/>
      <c r="BR114" s="147"/>
      <c r="BS114" s="147"/>
      <c r="BT114" s="147"/>
      <c r="BU114" s="147"/>
      <c r="BV114" s="147"/>
      <c r="BW114" s="147"/>
      <c r="BX114" s="147"/>
      <c r="BY114" s="147"/>
      <c r="BZ114" s="147"/>
      <c r="CA114" s="147"/>
      <c r="CB114" s="147"/>
      <c r="CC114" s="147"/>
      <c r="CD114" s="147"/>
      <c r="CE114" s="147"/>
      <c r="CF114" s="147"/>
      <c r="CG114" s="147"/>
      <c r="CH114" s="147"/>
      <c r="CI114" s="147"/>
      <c r="CJ114" s="147"/>
      <c r="CK114" s="147"/>
      <c r="CL114" s="147"/>
      <c r="CM114" s="147"/>
      <c r="CN114" s="147"/>
      <c r="CO114" s="147"/>
      <c r="CP114" s="147"/>
      <c r="CQ114" s="147"/>
      <c r="CR114" s="147"/>
      <c r="CS114" s="147"/>
      <c r="CT114" s="147"/>
      <c r="CU114" s="147"/>
      <c r="CV114" s="147"/>
      <c r="CW114" s="147"/>
      <c r="CX114" s="147"/>
      <c r="CY114" s="147"/>
      <c r="CZ114" s="147"/>
      <c r="DA114" s="147"/>
      <c r="DB114" s="147"/>
      <c r="DC114" s="147"/>
      <c r="DD114" s="147"/>
      <c r="DE114" s="147"/>
      <c r="DF114" s="147"/>
      <c r="DG114" s="147"/>
      <c r="DH114" s="147"/>
      <c r="DI114" s="147"/>
      <c r="DJ114" s="147"/>
      <c r="DK114" s="147"/>
      <c r="DL114" s="147"/>
      <c r="DM114" s="147"/>
      <c r="DN114" s="147"/>
      <c r="DO114" s="147"/>
      <c r="DP114" s="147"/>
      <c r="DQ114" s="147"/>
      <c r="DR114" s="147"/>
      <c r="DS114" s="147"/>
      <c r="DT114" s="147"/>
      <c r="DU114" s="147"/>
      <c r="DV114" s="147"/>
      <c r="DW114" s="147"/>
      <c r="DX114" s="147"/>
      <c r="DY114" s="147"/>
      <c r="DZ114" s="147"/>
      <c r="EA114" s="147"/>
      <c r="EB114" s="147"/>
      <c r="EC114" s="147"/>
      <c r="ED114" s="147"/>
      <c r="EE114" s="147"/>
      <c r="EF114" s="147"/>
      <c r="EG114" s="147"/>
      <c r="EH114" s="147"/>
      <c r="EI114" s="147"/>
      <c r="EJ114" s="147"/>
      <c r="EK114" s="147"/>
      <c r="EL114" s="147"/>
      <c r="EM114" s="147"/>
      <c r="EN114" s="147"/>
      <c r="EO114" s="147"/>
      <c r="EP114" s="147"/>
      <c r="EQ114" s="147"/>
      <c r="ER114" s="147"/>
      <c r="ES114" s="147"/>
      <c r="ET114" s="147"/>
      <c r="EU114" s="147"/>
      <c r="EV114" s="147"/>
      <c r="EW114" s="147"/>
      <c r="EX114" s="147"/>
      <c r="EY114" s="147"/>
      <c r="EZ114" s="147"/>
      <c r="FA114" s="147"/>
      <c r="FB114" s="147"/>
      <c r="FC114" s="147"/>
      <c r="FD114" s="147"/>
      <c r="FE114" s="147"/>
      <c r="FF114" s="147"/>
      <c r="FG114" s="147"/>
      <c r="FH114" s="147"/>
      <c r="FI114" s="147"/>
      <c r="FJ114" s="147"/>
      <c r="FK114" s="147"/>
      <c r="FL114" s="147"/>
      <c r="FM114" s="147"/>
      <c r="FN114" s="147"/>
      <c r="FO114" s="147"/>
      <c r="FP114" s="147"/>
      <c r="FQ114" s="147"/>
      <c r="FR114" s="147"/>
      <c r="FS114" s="147"/>
      <c r="FT114" s="147"/>
      <c r="FU114" s="147"/>
      <c r="FV114" s="147"/>
      <c r="FW114" s="147"/>
      <c r="FX114" s="147"/>
      <c r="FY114" s="147"/>
      <c r="FZ114" s="147"/>
      <c r="GA114" s="147"/>
      <c r="GB114" s="147"/>
      <c r="GC114" s="147"/>
      <c r="GD114" s="147"/>
      <c r="GE114" s="147"/>
      <c r="GF114" s="147"/>
      <c r="GG114" s="147"/>
      <c r="GH114" s="147"/>
      <c r="GI114" s="147"/>
      <c r="GJ114" s="147"/>
      <c r="GK114" s="147"/>
      <c r="GL114" s="147"/>
      <c r="GM114" s="147"/>
      <c r="GN114" s="147"/>
      <c r="GO114" s="147"/>
      <c r="GP114" s="147"/>
      <c r="GQ114" s="147"/>
      <c r="GR114" s="147"/>
      <c r="GS114" s="147"/>
      <c r="GT114" s="147"/>
      <c r="GU114" s="147"/>
      <c r="GV114" s="147"/>
      <c r="GW114" s="147"/>
      <c r="GX114" s="147"/>
      <c r="GY114" s="147"/>
      <c r="GZ114" s="147"/>
      <c r="HA114" s="147"/>
      <c r="HB114" s="147"/>
      <c r="HC114" s="147"/>
      <c r="HD114" s="147"/>
      <c r="HE114" s="147"/>
      <c r="HF114" s="147"/>
      <c r="HG114" s="147"/>
      <c r="HH114" s="147"/>
      <c r="HI114" s="147"/>
      <c r="HJ114" s="147"/>
      <c r="HK114" s="147"/>
      <c r="HL114" s="147"/>
      <c r="HM114" s="147"/>
      <c r="HN114" s="147"/>
      <c r="HO114" s="147"/>
      <c r="HP114" s="147"/>
      <c r="HQ114" s="147"/>
      <c r="HR114" s="147"/>
      <c r="HS114" s="147"/>
      <c r="HT114" s="147"/>
      <c r="HU114" s="147"/>
      <c r="HV114" s="147"/>
      <c r="HW114" s="147"/>
      <c r="HX114" s="147"/>
      <c r="HY114" s="147"/>
      <c r="HZ114" s="147"/>
      <c r="IA114" s="147"/>
      <c r="IB114" s="147"/>
      <c r="IC114" s="147"/>
      <c r="ID114" s="147"/>
      <c r="IE114" s="147"/>
      <c r="IF114" s="147"/>
      <c r="IG114" s="147"/>
      <c r="IH114" s="147"/>
      <c r="II114" s="147"/>
      <c r="IJ114" s="147"/>
      <c r="IK114" s="147"/>
      <c r="IL114" s="147"/>
      <c r="IM114" s="147"/>
      <c r="IN114" s="147"/>
      <c r="IO114" s="147"/>
      <c r="IP114" s="147"/>
      <c r="IQ114" s="147"/>
      <c r="IR114" s="147"/>
      <c r="IS114" s="147"/>
      <c r="IT114" s="147"/>
      <c r="IU114" s="147"/>
      <c r="IV114" s="147"/>
    </row>
    <row r="115" spans="1:256" ht="18" customHeight="1" x14ac:dyDescent="0.35">
      <c r="A115" s="1600">
        <v>109</v>
      </c>
      <c r="B115" s="147"/>
      <c r="C115" s="1639"/>
      <c r="D115" s="1667" t="s">
        <v>1257</v>
      </c>
      <c r="E115" s="1637">
        <v>10</v>
      </c>
      <c r="F115" s="125"/>
      <c r="G115" s="1922"/>
      <c r="H115" s="123"/>
      <c r="I115" s="125"/>
      <c r="J115" s="1616"/>
      <c r="K115" s="147"/>
      <c r="L115" s="2"/>
      <c r="M115" s="147"/>
      <c r="N115" s="147"/>
      <c r="O115" s="147"/>
      <c r="P115" s="147"/>
      <c r="Q115" s="147"/>
      <c r="R115" s="147"/>
      <c r="S115" s="147"/>
      <c r="T115" s="147"/>
      <c r="U115" s="147"/>
      <c r="V115" s="147"/>
      <c r="W115" s="147"/>
      <c r="X115" s="147"/>
      <c r="Y115" s="147"/>
      <c r="Z115" s="147"/>
      <c r="AA115" s="147"/>
      <c r="AB115" s="147"/>
      <c r="AC115" s="147"/>
      <c r="AD115" s="147"/>
      <c r="AE115" s="147"/>
      <c r="AF115" s="147"/>
      <c r="AG115" s="147"/>
      <c r="AH115" s="147"/>
      <c r="AI115" s="147"/>
      <c r="AJ115" s="147"/>
      <c r="AK115" s="147"/>
      <c r="AL115" s="147"/>
      <c r="AM115" s="147"/>
      <c r="AN115" s="147"/>
      <c r="AO115" s="147"/>
      <c r="AP115" s="147"/>
      <c r="AQ115" s="147"/>
      <c r="AR115" s="147"/>
      <c r="AS115" s="147"/>
      <c r="AT115" s="147"/>
      <c r="AU115" s="147"/>
      <c r="AV115" s="147"/>
      <c r="AW115" s="147"/>
      <c r="AX115" s="147"/>
      <c r="AY115" s="147"/>
      <c r="AZ115" s="147"/>
      <c r="BA115" s="147"/>
      <c r="BB115" s="147"/>
      <c r="BC115" s="147"/>
      <c r="BD115" s="147"/>
      <c r="BE115" s="147"/>
      <c r="BF115" s="147"/>
      <c r="BG115" s="147"/>
      <c r="BH115" s="147"/>
      <c r="BI115" s="147"/>
      <c r="BJ115" s="147"/>
      <c r="BK115" s="147"/>
      <c r="BL115" s="147"/>
      <c r="BM115" s="147"/>
      <c r="BN115" s="147"/>
      <c r="BO115" s="147"/>
      <c r="BP115" s="147"/>
      <c r="BQ115" s="147"/>
      <c r="BR115" s="147"/>
      <c r="BS115" s="147"/>
      <c r="BT115" s="147"/>
      <c r="BU115" s="147"/>
      <c r="BV115" s="147"/>
      <c r="BW115" s="147"/>
      <c r="BX115" s="147"/>
      <c r="BY115" s="147"/>
      <c r="BZ115" s="147"/>
      <c r="CA115" s="147"/>
      <c r="CB115" s="147"/>
      <c r="CC115" s="147"/>
      <c r="CD115" s="147"/>
      <c r="CE115" s="147"/>
      <c r="CF115" s="147"/>
      <c r="CG115" s="147"/>
      <c r="CH115" s="147"/>
      <c r="CI115" s="147"/>
      <c r="CJ115" s="147"/>
      <c r="CK115" s="147"/>
      <c r="CL115" s="147"/>
      <c r="CM115" s="147"/>
      <c r="CN115" s="147"/>
      <c r="CO115" s="147"/>
      <c r="CP115" s="147"/>
      <c r="CQ115" s="147"/>
      <c r="CR115" s="147"/>
      <c r="CS115" s="147"/>
      <c r="CT115" s="147"/>
      <c r="CU115" s="147"/>
      <c r="CV115" s="147"/>
      <c r="CW115" s="147"/>
      <c r="CX115" s="147"/>
      <c r="CY115" s="147"/>
      <c r="CZ115" s="147"/>
      <c r="DA115" s="147"/>
      <c r="DB115" s="147"/>
      <c r="DC115" s="147"/>
      <c r="DD115" s="147"/>
      <c r="DE115" s="147"/>
      <c r="DF115" s="147"/>
      <c r="DG115" s="147"/>
      <c r="DH115" s="147"/>
      <c r="DI115" s="147"/>
      <c r="DJ115" s="147"/>
      <c r="DK115" s="147"/>
      <c r="DL115" s="147"/>
      <c r="DM115" s="147"/>
      <c r="DN115" s="147"/>
      <c r="DO115" s="147"/>
      <c r="DP115" s="147"/>
      <c r="DQ115" s="147"/>
      <c r="DR115" s="147"/>
      <c r="DS115" s="147"/>
      <c r="DT115" s="147"/>
      <c r="DU115" s="147"/>
      <c r="DV115" s="147"/>
      <c r="DW115" s="147"/>
      <c r="DX115" s="147"/>
      <c r="DY115" s="147"/>
      <c r="DZ115" s="147"/>
      <c r="EA115" s="147"/>
      <c r="EB115" s="147"/>
      <c r="EC115" s="147"/>
      <c r="ED115" s="147"/>
      <c r="EE115" s="147"/>
      <c r="EF115" s="147"/>
      <c r="EG115" s="147"/>
      <c r="EH115" s="147"/>
      <c r="EI115" s="147"/>
      <c r="EJ115" s="147"/>
      <c r="EK115" s="147"/>
      <c r="EL115" s="147"/>
      <c r="EM115" s="147"/>
      <c r="EN115" s="147"/>
      <c r="EO115" s="147"/>
      <c r="EP115" s="147"/>
      <c r="EQ115" s="147"/>
      <c r="ER115" s="147"/>
      <c r="ES115" s="147"/>
      <c r="ET115" s="147"/>
      <c r="EU115" s="147"/>
      <c r="EV115" s="147"/>
      <c r="EW115" s="147"/>
      <c r="EX115" s="147"/>
      <c r="EY115" s="147"/>
      <c r="EZ115" s="147"/>
      <c r="FA115" s="147"/>
      <c r="FB115" s="147"/>
      <c r="FC115" s="147"/>
      <c r="FD115" s="147"/>
      <c r="FE115" s="147"/>
      <c r="FF115" s="147"/>
      <c r="FG115" s="147"/>
      <c r="FH115" s="147"/>
      <c r="FI115" s="147"/>
      <c r="FJ115" s="147"/>
      <c r="FK115" s="147"/>
      <c r="FL115" s="147"/>
      <c r="FM115" s="147"/>
      <c r="FN115" s="147"/>
      <c r="FO115" s="147"/>
      <c r="FP115" s="147"/>
      <c r="FQ115" s="147"/>
      <c r="FR115" s="147"/>
      <c r="FS115" s="147"/>
      <c r="FT115" s="147"/>
      <c r="FU115" s="147"/>
      <c r="FV115" s="147"/>
      <c r="FW115" s="147"/>
      <c r="FX115" s="147"/>
      <c r="FY115" s="147"/>
      <c r="FZ115" s="147"/>
      <c r="GA115" s="147"/>
      <c r="GB115" s="147"/>
      <c r="GC115" s="147"/>
      <c r="GD115" s="147"/>
      <c r="GE115" s="147"/>
      <c r="GF115" s="147"/>
      <c r="GG115" s="147"/>
      <c r="GH115" s="147"/>
      <c r="GI115" s="147"/>
      <c r="GJ115" s="147"/>
      <c r="GK115" s="147"/>
      <c r="GL115" s="147"/>
      <c r="GM115" s="147"/>
      <c r="GN115" s="147"/>
      <c r="GO115" s="147"/>
      <c r="GP115" s="147"/>
      <c r="GQ115" s="147"/>
      <c r="GR115" s="147"/>
      <c r="GS115" s="147"/>
      <c r="GT115" s="147"/>
      <c r="GU115" s="147"/>
      <c r="GV115" s="147"/>
      <c r="GW115" s="147"/>
      <c r="GX115" s="147"/>
      <c r="GY115" s="147"/>
      <c r="GZ115" s="147"/>
      <c r="HA115" s="147"/>
      <c r="HB115" s="147"/>
      <c r="HC115" s="147"/>
      <c r="HD115" s="147"/>
      <c r="HE115" s="147"/>
      <c r="HF115" s="147"/>
      <c r="HG115" s="147"/>
      <c r="HH115" s="147"/>
      <c r="HI115" s="147"/>
      <c r="HJ115" s="147"/>
      <c r="HK115" s="147"/>
      <c r="HL115" s="147"/>
      <c r="HM115" s="147"/>
      <c r="HN115" s="147"/>
      <c r="HO115" s="147"/>
      <c r="HP115" s="147"/>
      <c r="HQ115" s="147"/>
      <c r="HR115" s="147"/>
      <c r="HS115" s="147"/>
      <c r="HT115" s="147"/>
      <c r="HU115" s="147"/>
      <c r="HV115" s="147"/>
      <c r="HW115" s="147"/>
      <c r="HX115" s="147"/>
      <c r="HY115" s="147"/>
      <c r="HZ115" s="147"/>
      <c r="IA115" s="147"/>
      <c r="IB115" s="147"/>
      <c r="IC115" s="147"/>
      <c r="ID115" s="147"/>
      <c r="IE115" s="147"/>
      <c r="IF115" s="147"/>
      <c r="IG115" s="147"/>
      <c r="IH115" s="147"/>
      <c r="II115" s="147"/>
      <c r="IJ115" s="147"/>
      <c r="IK115" s="147"/>
      <c r="IL115" s="147"/>
      <c r="IM115" s="147"/>
      <c r="IN115" s="147"/>
      <c r="IO115" s="147"/>
      <c r="IP115" s="147"/>
      <c r="IQ115" s="147"/>
      <c r="IR115" s="147"/>
      <c r="IS115" s="147"/>
      <c r="IT115" s="147"/>
      <c r="IU115" s="147"/>
      <c r="IV115" s="147"/>
    </row>
    <row r="116" spans="1:256" ht="18" customHeight="1" x14ac:dyDescent="0.35">
      <c r="A116" s="1600">
        <v>110</v>
      </c>
      <c r="B116" s="147"/>
      <c r="C116" s="1639"/>
      <c r="D116" s="1667" t="s">
        <v>1258</v>
      </c>
      <c r="E116" s="1637">
        <f>118000-10</f>
        <v>117990</v>
      </c>
      <c r="F116" s="125"/>
      <c r="G116" s="1922"/>
      <c r="H116" s="123"/>
      <c r="I116" s="125"/>
      <c r="J116" s="1616"/>
      <c r="K116" s="147"/>
      <c r="L116" s="2"/>
      <c r="M116" s="147"/>
      <c r="N116" s="147"/>
      <c r="O116" s="147"/>
      <c r="P116" s="147"/>
      <c r="Q116" s="147"/>
      <c r="R116" s="147"/>
      <c r="S116" s="147"/>
      <c r="T116" s="147"/>
      <c r="U116" s="147"/>
      <c r="V116" s="147"/>
      <c r="W116" s="147"/>
      <c r="X116" s="147"/>
      <c r="Y116" s="147"/>
      <c r="Z116" s="147"/>
      <c r="AA116" s="147"/>
      <c r="AB116" s="147"/>
      <c r="AC116" s="147"/>
      <c r="AD116" s="147"/>
      <c r="AE116" s="147"/>
      <c r="AF116" s="147"/>
      <c r="AG116" s="147"/>
      <c r="AH116" s="147"/>
      <c r="AI116" s="147"/>
      <c r="AJ116" s="147"/>
      <c r="AK116" s="147"/>
      <c r="AL116" s="147"/>
      <c r="AM116" s="147"/>
      <c r="AN116" s="147"/>
      <c r="AO116" s="147"/>
      <c r="AP116" s="147"/>
      <c r="AQ116" s="147"/>
      <c r="AR116" s="147"/>
      <c r="AS116" s="147"/>
      <c r="AT116" s="147"/>
      <c r="AU116" s="147"/>
      <c r="AV116" s="147"/>
      <c r="AW116" s="147"/>
      <c r="AX116" s="147"/>
      <c r="AY116" s="147"/>
      <c r="AZ116" s="147"/>
      <c r="BA116" s="147"/>
      <c r="BB116" s="147"/>
      <c r="BC116" s="147"/>
      <c r="BD116" s="147"/>
      <c r="BE116" s="147"/>
      <c r="BF116" s="147"/>
      <c r="BG116" s="147"/>
      <c r="BH116" s="147"/>
      <c r="BI116" s="147"/>
      <c r="BJ116" s="147"/>
      <c r="BK116" s="147"/>
      <c r="BL116" s="147"/>
      <c r="BM116" s="147"/>
      <c r="BN116" s="147"/>
      <c r="BO116" s="147"/>
      <c r="BP116" s="147"/>
      <c r="BQ116" s="147"/>
      <c r="BR116" s="147"/>
      <c r="BS116" s="147"/>
      <c r="BT116" s="147"/>
      <c r="BU116" s="147"/>
      <c r="BV116" s="147"/>
      <c r="BW116" s="147"/>
      <c r="BX116" s="147"/>
      <c r="BY116" s="147"/>
      <c r="BZ116" s="147"/>
      <c r="CA116" s="147"/>
      <c r="CB116" s="147"/>
      <c r="CC116" s="147"/>
      <c r="CD116" s="147"/>
      <c r="CE116" s="147"/>
      <c r="CF116" s="147"/>
      <c r="CG116" s="147"/>
      <c r="CH116" s="147"/>
      <c r="CI116" s="147"/>
      <c r="CJ116" s="147"/>
      <c r="CK116" s="147"/>
      <c r="CL116" s="147"/>
      <c r="CM116" s="147"/>
      <c r="CN116" s="147"/>
      <c r="CO116" s="147"/>
      <c r="CP116" s="147"/>
      <c r="CQ116" s="147"/>
      <c r="CR116" s="147"/>
      <c r="CS116" s="147"/>
      <c r="CT116" s="147"/>
      <c r="CU116" s="147"/>
      <c r="CV116" s="147"/>
      <c r="CW116" s="147"/>
      <c r="CX116" s="147"/>
      <c r="CY116" s="147"/>
      <c r="CZ116" s="147"/>
      <c r="DA116" s="147"/>
      <c r="DB116" s="147"/>
      <c r="DC116" s="147"/>
      <c r="DD116" s="147"/>
      <c r="DE116" s="147"/>
      <c r="DF116" s="147"/>
      <c r="DG116" s="147"/>
      <c r="DH116" s="147"/>
      <c r="DI116" s="147"/>
      <c r="DJ116" s="147"/>
      <c r="DK116" s="147"/>
      <c r="DL116" s="147"/>
      <c r="DM116" s="147"/>
      <c r="DN116" s="147"/>
      <c r="DO116" s="147"/>
      <c r="DP116" s="147"/>
      <c r="DQ116" s="147"/>
      <c r="DR116" s="147"/>
      <c r="DS116" s="147"/>
      <c r="DT116" s="147"/>
      <c r="DU116" s="147"/>
      <c r="DV116" s="147"/>
      <c r="DW116" s="147"/>
      <c r="DX116" s="147"/>
      <c r="DY116" s="147"/>
      <c r="DZ116" s="147"/>
      <c r="EA116" s="147"/>
      <c r="EB116" s="147"/>
      <c r="EC116" s="147"/>
      <c r="ED116" s="147"/>
      <c r="EE116" s="147"/>
      <c r="EF116" s="147"/>
      <c r="EG116" s="147"/>
      <c r="EH116" s="147"/>
      <c r="EI116" s="147"/>
      <c r="EJ116" s="147"/>
      <c r="EK116" s="147"/>
      <c r="EL116" s="147"/>
      <c r="EM116" s="147"/>
      <c r="EN116" s="147"/>
      <c r="EO116" s="147"/>
      <c r="EP116" s="147"/>
      <c r="EQ116" s="147"/>
      <c r="ER116" s="147"/>
      <c r="ES116" s="147"/>
      <c r="ET116" s="147"/>
      <c r="EU116" s="147"/>
      <c r="EV116" s="147"/>
      <c r="EW116" s="147"/>
      <c r="EX116" s="147"/>
      <c r="EY116" s="147"/>
      <c r="EZ116" s="147"/>
      <c r="FA116" s="147"/>
      <c r="FB116" s="147"/>
      <c r="FC116" s="147"/>
      <c r="FD116" s="147"/>
      <c r="FE116" s="147"/>
      <c r="FF116" s="147"/>
      <c r="FG116" s="147"/>
      <c r="FH116" s="147"/>
      <c r="FI116" s="147"/>
      <c r="FJ116" s="147"/>
      <c r="FK116" s="147"/>
      <c r="FL116" s="147"/>
      <c r="FM116" s="147"/>
      <c r="FN116" s="147"/>
      <c r="FO116" s="147"/>
      <c r="FP116" s="147"/>
      <c r="FQ116" s="147"/>
      <c r="FR116" s="147"/>
      <c r="FS116" s="147"/>
      <c r="FT116" s="147"/>
      <c r="FU116" s="147"/>
      <c r="FV116" s="147"/>
      <c r="FW116" s="147"/>
      <c r="FX116" s="147"/>
      <c r="FY116" s="147"/>
      <c r="FZ116" s="147"/>
      <c r="GA116" s="147"/>
      <c r="GB116" s="147"/>
      <c r="GC116" s="147"/>
      <c r="GD116" s="147"/>
      <c r="GE116" s="147"/>
      <c r="GF116" s="147"/>
      <c r="GG116" s="147"/>
      <c r="GH116" s="147"/>
      <c r="GI116" s="147"/>
      <c r="GJ116" s="147"/>
      <c r="GK116" s="147"/>
      <c r="GL116" s="147"/>
      <c r="GM116" s="147"/>
      <c r="GN116" s="147"/>
      <c r="GO116" s="147"/>
      <c r="GP116" s="147"/>
      <c r="GQ116" s="147"/>
      <c r="GR116" s="147"/>
      <c r="GS116" s="147"/>
      <c r="GT116" s="147"/>
      <c r="GU116" s="147"/>
      <c r="GV116" s="147"/>
      <c r="GW116" s="147"/>
      <c r="GX116" s="147"/>
      <c r="GY116" s="147"/>
      <c r="GZ116" s="147"/>
      <c r="HA116" s="147"/>
      <c r="HB116" s="147"/>
      <c r="HC116" s="147"/>
      <c r="HD116" s="147"/>
      <c r="HE116" s="147"/>
      <c r="HF116" s="147"/>
      <c r="HG116" s="147"/>
      <c r="HH116" s="147"/>
      <c r="HI116" s="147"/>
      <c r="HJ116" s="147"/>
      <c r="HK116" s="147"/>
      <c r="HL116" s="147"/>
      <c r="HM116" s="147"/>
      <c r="HN116" s="147"/>
      <c r="HO116" s="147"/>
      <c r="HP116" s="147"/>
      <c r="HQ116" s="147"/>
      <c r="HR116" s="147"/>
      <c r="HS116" s="147"/>
      <c r="HT116" s="147"/>
      <c r="HU116" s="147"/>
      <c r="HV116" s="147"/>
      <c r="HW116" s="147"/>
      <c r="HX116" s="147"/>
      <c r="HY116" s="147"/>
      <c r="HZ116" s="147"/>
      <c r="IA116" s="147"/>
      <c r="IB116" s="147"/>
      <c r="IC116" s="147"/>
      <c r="ID116" s="147"/>
      <c r="IE116" s="147"/>
      <c r="IF116" s="147"/>
      <c r="IG116" s="147"/>
      <c r="IH116" s="147"/>
      <c r="II116" s="147"/>
      <c r="IJ116" s="147"/>
      <c r="IK116" s="147"/>
      <c r="IL116" s="147"/>
      <c r="IM116" s="147"/>
      <c r="IN116" s="147"/>
      <c r="IO116" s="147"/>
      <c r="IP116" s="147"/>
      <c r="IQ116" s="147"/>
      <c r="IR116" s="147"/>
      <c r="IS116" s="147"/>
      <c r="IT116" s="147"/>
      <c r="IU116" s="147"/>
      <c r="IV116" s="147"/>
    </row>
    <row r="117" spans="1:256" ht="18" customHeight="1" x14ac:dyDescent="0.35">
      <c r="A117" s="1600">
        <v>111</v>
      </c>
      <c r="B117" s="147"/>
      <c r="C117" s="1639"/>
      <c r="D117" s="1949" t="s">
        <v>1259</v>
      </c>
      <c r="E117" s="1637"/>
      <c r="F117" s="125"/>
      <c r="G117" s="1922"/>
      <c r="H117" s="123"/>
      <c r="I117" s="125"/>
      <c r="J117" s="1616"/>
      <c r="K117" s="147"/>
      <c r="L117" s="2"/>
      <c r="M117" s="147"/>
      <c r="N117" s="147"/>
      <c r="O117" s="147"/>
      <c r="P117" s="147"/>
      <c r="Q117" s="147"/>
      <c r="R117" s="147"/>
      <c r="S117" s="147"/>
      <c r="T117" s="147"/>
      <c r="U117" s="147"/>
      <c r="V117" s="147"/>
      <c r="W117" s="147"/>
      <c r="X117" s="147"/>
      <c r="Y117" s="147"/>
      <c r="Z117" s="147"/>
      <c r="AA117" s="147"/>
      <c r="AB117" s="147"/>
      <c r="AC117" s="147"/>
      <c r="AD117" s="147"/>
      <c r="AE117" s="147"/>
      <c r="AF117" s="147"/>
      <c r="AG117" s="147"/>
      <c r="AH117" s="147"/>
      <c r="AI117" s="147"/>
      <c r="AJ117" s="147"/>
      <c r="AK117" s="147"/>
      <c r="AL117" s="147"/>
      <c r="AM117" s="147"/>
      <c r="AN117" s="147"/>
      <c r="AO117" s="147"/>
      <c r="AP117" s="147"/>
      <c r="AQ117" s="147"/>
      <c r="AR117" s="147"/>
      <c r="AS117" s="147"/>
      <c r="AT117" s="147"/>
      <c r="AU117" s="147"/>
      <c r="AV117" s="147"/>
      <c r="AW117" s="147"/>
      <c r="AX117" s="147"/>
      <c r="AY117" s="147"/>
      <c r="AZ117" s="147"/>
      <c r="BA117" s="147"/>
      <c r="BB117" s="147"/>
      <c r="BC117" s="147"/>
      <c r="BD117" s="147"/>
      <c r="BE117" s="147"/>
      <c r="BF117" s="147"/>
      <c r="BG117" s="147"/>
      <c r="BH117" s="147"/>
      <c r="BI117" s="147"/>
      <c r="BJ117" s="147"/>
      <c r="BK117" s="147"/>
      <c r="BL117" s="147"/>
      <c r="BM117" s="147"/>
      <c r="BN117" s="147"/>
      <c r="BO117" s="147"/>
      <c r="BP117" s="147"/>
      <c r="BQ117" s="147"/>
      <c r="BR117" s="147"/>
      <c r="BS117" s="147"/>
      <c r="BT117" s="147"/>
      <c r="BU117" s="147"/>
      <c r="BV117" s="147"/>
      <c r="BW117" s="147"/>
      <c r="BX117" s="147"/>
      <c r="BY117" s="147"/>
      <c r="BZ117" s="147"/>
      <c r="CA117" s="147"/>
      <c r="CB117" s="147"/>
      <c r="CC117" s="147"/>
      <c r="CD117" s="147"/>
      <c r="CE117" s="147"/>
      <c r="CF117" s="147"/>
      <c r="CG117" s="147"/>
      <c r="CH117" s="147"/>
      <c r="CI117" s="147"/>
      <c r="CJ117" s="147"/>
      <c r="CK117" s="147"/>
      <c r="CL117" s="147"/>
      <c r="CM117" s="147"/>
      <c r="CN117" s="147"/>
      <c r="CO117" s="147"/>
      <c r="CP117" s="147"/>
      <c r="CQ117" s="147"/>
      <c r="CR117" s="147"/>
      <c r="CS117" s="147"/>
      <c r="CT117" s="147"/>
      <c r="CU117" s="147"/>
      <c r="CV117" s="147"/>
      <c r="CW117" s="147"/>
      <c r="CX117" s="147"/>
      <c r="CY117" s="147"/>
      <c r="CZ117" s="147"/>
      <c r="DA117" s="147"/>
      <c r="DB117" s="147"/>
      <c r="DC117" s="147"/>
      <c r="DD117" s="147"/>
      <c r="DE117" s="147"/>
      <c r="DF117" s="147"/>
      <c r="DG117" s="147"/>
      <c r="DH117" s="147"/>
      <c r="DI117" s="147"/>
      <c r="DJ117" s="147"/>
      <c r="DK117" s="147"/>
      <c r="DL117" s="147"/>
      <c r="DM117" s="147"/>
      <c r="DN117" s="147"/>
      <c r="DO117" s="147"/>
      <c r="DP117" s="147"/>
      <c r="DQ117" s="147"/>
      <c r="DR117" s="147"/>
      <c r="DS117" s="147"/>
      <c r="DT117" s="147"/>
      <c r="DU117" s="147"/>
      <c r="DV117" s="147"/>
      <c r="DW117" s="147"/>
      <c r="DX117" s="147"/>
      <c r="DY117" s="147"/>
      <c r="DZ117" s="147"/>
      <c r="EA117" s="147"/>
      <c r="EB117" s="147"/>
      <c r="EC117" s="147"/>
      <c r="ED117" s="147"/>
      <c r="EE117" s="147"/>
      <c r="EF117" s="147"/>
      <c r="EG117" s="147"/>
      <c r="EH117" s="147"/>
      <c r="EI117" s="147"/>
      <c r="EJ117" s="147"/>
      <c r="EK117" s="147"/>
      <c r="EL117" s="147"/>
      <c r="EM117" s="147"/>
      <c r="EN117" s="147"/>
      <c r="EO117" s="147"/>
      <c r="EP117" s="147"/>
      <c r="EQ117" s="147"/>
      <c r="ER117" s="147"/>
      <c r="ES117" s="147"/>
      <c r="ET117" s="147"/>
      <c r="EU117" s="147"/>
      <c r="EV117" s="147"/>
      <c r="EW117" s="147"/>
      <c r="EX117" s="147"/>
      <c r="EY117" s="147"/>
      <c r="EZ117" s="147"/>
      <c r="FA117" s="147"/>
      <c r="FB117" s="147"/>
      <c r="FC117" s="147"/>
      <c r="FD117" s="147"/>
      <c r="FE117" s="147"/>
      <c r="FF117" s="147"/>
      <c r="FG117" s="147"/>
      <c r="FH117" s="147"/>
      <c r="FI117" s="147"/>
      <c r="FJ117" s="147"/>
      <c r="FK117" s="147"/>
      <c r="FL117" s="147"/>
      <c r="FM117" s="147"/>
      <c r="FN117" s="147"/>
      <c r="FO117" s="147"/>
      <c r="FP117" s="147"/>
      <c r="FQ117" s="147"/>
      <c r="FR117" s="147"/>
      <c r="FS117" s="147"/>
      <c r="FT117" s="147"/>
      <c r="FU117" s="147"/>
      <c r="FV117" s="147"/>
      <c r="FW117" s="147"/>
      <c r="FX117" s="147"/>
      <c r="FY117" s="147"/>
      <c r="FZ117" s="147"/>
      <c r="GA117" s="147"/>
      <c r="GB117" s="147"/>
      <c r="GC117" s="147"/>
      <c r="GD117" s="147"/>
      <c r="GE117" s="147"/>
      <c r="GF117" s="147"/>
      <c r="GG117" s="147"/>
      <c r="GH117" s="147"/>
      <c r="GI117" s="147"/>
      <c r="GJ117" s="147"/>
      <c r="GK117" s="147"/>
      <c r="GL117" s="147"/>
      <c r="GM117" s="147"/>
      <c r="GN117" s="147"/>
      <c r="GO117" s="147"/>
      <c r="GP117" s="147"/>
      <c r="GQ117" s="147"/>
      <c r="GR117" s="147"/>
      <c r="GS117" s="147"/>
      <c r="GT117" s="147"/>
      <c r="GU117" s="147"/>
      <c r="GV117" s="147"/>
      <c r="GW117" s="147"/>
      <c r="GX117" s="147"/>
      <c r="GY117" s="147"/>
      <c r="GZ117" s="147"/>
      <c r="HA117" s="147"/>
      <c r="HB117" s="147"/>
      <c r="HC117" s="147"/>
      <c r="HD117" s="147"/>
      <c r="HE117" s="147"/>
      <c r="HF117" s="147"/>
      <c r="HG117" s="147"/>
      <c r="HH117" s="147"/>
      <c r="HI117" s="147"/>
      <c r="HJ117" s="147"/>
      <c r="HK117" s="147"/>
      <c r="HL117" s="147"/>
      <c r="HM117" s="147"/>
      <c r="HN117" s="147"/>
      <c r="HO117" s="147"/>
      <c r="HP117" s="147"/>
      <c r="HQ117" s="147"/>
      <c r="HR117" s="147"/>
      <c r="HS117" s="147"/>
      <c r="HT117" s="147"/>
      <c r="HU117" s="147"/>
      <c r="HV117" s="147"/>
      <c r="HW117" s="147"/>
      <c r="HX117" s="147"/>
      <c r="HY117" s="147"/>
      <c r="HZ117" s="147"/>
      <c r="IA117" s="147"/>
      <c r="IB117" s="147"/>
      <c r="IC117" s="147"/>
      <c r="ID117" s="147"/>
      <c r="IE117" s="147"/>
      <c r="IF117" s="147"/>
      <c r="IG117" s="147"/>
      <c r="IH117" s="147"/>
      <c r="II117" s="147"/>
      <c r="IJ117" s="147"/>
      <c r="IK117" s="147"/>
      <c r="IL117" s="147"/>
      <c r="IM117" s="147"/>
      <c r="IN117" s="147"/>
      <c r="IO117" s="147"/>
      <c r="IP117" s="147"/>
      <c r="IQ117" s="147"/>
      <c r="IR117" s="147"/>
      <c r="IS117" s="147"/>
      <c r="IT117" s="147"/>
      <c r="IU117" s="147"/>
      <c r="IV117" s="147"/>
    </row>
    <row r="118" spans="1:256" ht="18" customHeight="1" x14ac:dyDescent="0.35">
      <c r="A118" s="1600">
        <v>112</v>
      </c>
      <c r="B118" s="147"/>
      <c r="C118" s="1639"/>
      <c r="D118" s="1667" t="s">
        <v>1260</v>
      </c>
      <c r="E118" s="1637">
        <v>100</v>
      </c>
      <c r="F118" s="125"/>
      <c r="G118" s="1922"/>
      <c r="H118" s="123"/>
      <c r="I118" s="125"/>
      <c r="J118" s="1616"/>
      <c r="K118" s="147"/>
      <c r="L118" s="2"/>
      <c r="M118" s="147"/>
      <c r="N118" s="147"/>
      <c r="O118" s="147"/>
      <c r="P118" s="147"/>
      <c r="Q118" s="147"/>
      <c r="R118" s="147"/>
      <c r="S118" s="147"/>
      <c r="T118" s="147"/>
      <c r="U118" s="147"/>
      <c r="V118" s="147"/>
      <c r="W118" s="147"/>
      <c r="X118" s="147"/>
      <c r="Y118" s="147"/>
      <c r="Z118" s="147"/>
      <c r="AA118" s="147"/>
      <c r="AB118" s="147"/>
      <c r="AC118" s="147"/>
      <c r="AD118" s="147"/>
      <c r="AE118" s="147"/>
      <c r="AF118" s="147"/>
      <c r="AG118" s="147"/>
      <c r="AH118" s="147"/>
      <c r="AI118" s="147"/>
      <c r="AJ118" s="147"/>
      <c r="AK118" s="147"/>
      <c r="AL118" s="147"/>
      <c r="AM118" s="147"/>
      <c r="AN118" s="147"/>
      <c r="AO118" s="147"/>
      <c r="AP118" s="147"/>
      <c r="AQ118" s="147"/>
      <c r="AR118" s="147"/>
      <c r="AS118" s="147"/>
      <c r="AT118" s="147"/>
      <c r="AU118" s="147"/>
      <c r="AV118" s="147"/>
      <c r="AW118" s="147"/>
      <c r="AX118" s="147"/>
      <c r="AY118" s="147"/>
      <c r="AZ118" s="147"/>
      <c r="BA118" s="147"/>
      <c r="BB118" s="147"/>
      <c r="BC118" s="147"/>
      <c r="BD118" s="147"/>
      <c r="BE118" s="147"/>
      <c r="BF118" s="147"/>
      <c r="BG118" s="147"/>
      <c r="BH118" s="147"/>
      <c r="BI118" s="147"/>
      <c r="BJ118" s="147"/>
      <c r="BK118" s="147"/>
      <c r="BL118" s="147"/>
      <c r="BM118" s="147"/>
      <c r="BN118" s="147"/>
      <c r="BO118" s="147"/>
      <c r="BP118" s="147"/>
      <c r="BQ118" s="147"/>
      <c r="BR118" s="147"/>
      <c r="BS118" s="147"/>
      <c r="BT118" s="147"/>
      <c r="BU118" s="147"/>
      <c r="BV118" s="147"/>
      <c r="BW118" s="147"/>
      <c r="BX118" s="147"/>
      <c r="BY118" s="147"/>
      <c r="BZ118" s="147"/>
      <c r="CA118" s="147"/>
      <c r="CB118" s="147"/>
      <c r="CC118" s="147"/>
      <c r="CD118" s="147"/>
      <c r="CE118" s="147"/>
      <c r="CF118" s="147"/>
      <c r="CG118" s="147"/>
      <c r="CH118" s="147"/>
      <c r="CI118" s="147"/>
      <c r="CJ118" s="147"/>
      <c r="CK118" s="147"/>
      <c r="CL118" s="147"/>
      <c r="CM118" s="147"/>
      <c r="CN118" s="147"/>
      <c r="CO118" s="147"/>
      <c r="CP118" s="147"/>
      <c r="CQ118" s="147"/>
      <c r="CR118" s="147"/>
      <c r="CS118" s="147"/>
      <c r="CT118" s="147"/>
      <c r="CU118" s="147"/>
      <c r="CV118" s="147"/>
      <c r="CW118" s="147"/>
      <c r="CX118" s="147"/>
      <c r="CY118" s="147"/>
      <c r="CZ118" s="147"/>
      <c r="DA118" s="147"/>
      <c r="DB118" s="147"/>
      <c r="DC118" s="147"/>
      <c r="DD118" s="147"/>
      <c r="DE118" s="147"/>
      <c r="DF118" s="147"/>
      <c r="DG118" s="147"/>
      <c r="DH118" s="147"/>
      <c r="DI118" s="147"/>
      <c r="DJ118" s="147"/>
      <c r="DK118" s="147"/>
      <c r="DL118" s="147"/>
      <c r="DM118" s="147"/>
      <c r="DN118" s="147"/>
      <c r="DO118" s="147"/>
      <c r="DP118" s="147"/>
      <c r="DQ118" s="147"/>
      <c r="DR118" s="147"/>
      <c r="DS118" s="147"/>
      <c r="DT118" s="147"/>
      <c r="DU118" s="147"/>
      <c r="DV118" s="147"/>
      <c r="DW118" s="147"/>
      <c r="DX118" s="147"/>
      <c r="DY118" s="147"/>
      <c r="DZ118" s="147"/>
      <c r="EA118" s="147"/>
      <c r="EB118" s="147"/>
      <c r="EC118" s="147"/>
      <c r="ED118" s="147"/>
      <c r="EE118" s="147"/>
      <c r="EF118" s="147"/>
      <c r="EG118" s="147"/>
      <c r="EH118" s="147"/>
      <c r="EI118" s="147"/>
      <c r="EJ118" s="147"/>
      <c r="EK118" s="147"/>
      <c r="EL118" s="147"/>
      <c r="EM118" s="147"/>
      <c r="EN118" s="147"/>
      <c r="EO118" s="147"/>
      <c r="EP118" s="147"/>
      <c r="EQ118" s="147"/>
      <c r="ER118" s="147"/>
      <c r="ES118" s="147"/>
      <c r="ET118" s="147"/>
      <c r="EU118" s="147"/>
      <c r="EV118" s="147"/>
      <c r="EW118" s="147"/>
      <c r="EX118" s="147"/>
      <c r="EY118" s="147"/>
      <c r="EZ118" s="147"/>
      <c r="FA118" s="147"/>
      <c r="FB118" s="147"/>
      <c r="FC118" s="147"/>
      <c r="FD118" s="147"/>
      <c r="FE118" s="147"/>
      <c r="FF118" s="147"/>
      <c r="FG118" s="147"/>
      <c r="FH118" s="147"/>
      <c r="FI118" s="147"/>
      <c r="FJ118" s="147"/>
      <c r="FK118" s="147"/>
      <c r="FL118" s="147"/>
      <c r="FM118" s="147"/>
      <c r="FN118" s="147"/>
      <c r="FO118" s="147"/>
      <c r="FP118" s="147"/>
      <c r="FQ118" s="147"/>
      <c r="FR118" s="147"/>
      <c r="FS118" s="147"/>
      <c r="FT118" s="147"/>
      <c r="FU118" s="147"/>
      <c r="FV118" s="147"/>
      <c r="FW118" s="147"/>
      <c r="FX118" s="147"/>
      <c r="FY118" s="147"/>
      <c r="FZ118" s="147"/>
      <c r="GA118" s="147"/>
      <c r="GB118" s="147"/>
      <c r="GC118" s="147"/>
      <c r="GD118" s="147"/>
      <c r="GE118" s="147"/>
      <c r="GF118" s="147"/>
      <c r="GG118" s="147"/>
      <c r="GH118" s="147"/>
      <c r="GI118" s="147"/>
      <c r="GJ118" s="147"/>
      <c r="GK118" s="147"/>
      <c r="GL118" s="147"/>
      <c r="GM118" s="147"/>
      <c r="GN118" s="147"/>
      <c r="GO118" s="147"/>
      <c r="GP118" s="147"/>
      <c r="GQ118" s="147"/>
      <c r="GR118" s="147"/>
      <c r="GS118" s="147"/>
      <c r="GT118" s="147"/>
      <c r="GU118" s="147"/>
      <c r="GV118" s="147"/>
      <c r="GW118" s="147"/>
      <c r="GX118" s="147"/>
      <c r="GY118" s="147"/>
      <c r="GZ118" s="147"/>
      <c r="HA118" s="147"/>
      <c r="HB118" s="147"/>
      <c r="HC118" s="147"/>
      <c r="HD118" s="147"/>
      <c r="HE118" s="147"/>
      <c r="HF118" s="147"/>
      <c r="HG118" s="147"/>
      <c r="HH118" s="147"/>
      <c r="HI118" s="147"/>
      <c r="HJ118" s="147"/>
      <c r="HK118" s="147"/>
      <c r="HL118" s="147"/>
      <c r="HM118" s="147"/>
      <c r="HN118" s="147"/>
      <c r="HO118" s="147"/>
      <c r="HP118" s="147"/>
      <c r="HQ118" s="147"/>
      <c r="HR118" s="147"/>
      <c r="HS118" s="147"/>
      <c r="HT118" s="147"/>
      <c r="HU118" s="147"/>
      <c r="HV118" s="147"/>
      <c r="HW118" s="147"/>
      <c r="HX118" s="147"/>
      <c r="HY118" s="147"/>
      <c r="HZ118" s="147"/>
      <c r="IA118" s="147"/>
      <c r="IB118" s="147"/>
      <c r="IC118" s="147"/>
      <c r="ID118" s="147"/>
      <c r="IE118" s="147"/>
      <c r="IF118" s="147"/>
      <c r="IG118" s="147"/>
      <c r="IH118" s="147"/>
      <c r="II118" s="147"/>
      <c r="IJ118" s="147"/>
      <c r="IK118" s="147"/>
      <c r="IL118" s="147"/>
      <c r="IM118" s="147"/>
      <c r="IN118" s="147"/>
      <c r="IO118" s="147"/>
      <c r="IP118" s="147"/>
      <c r="IQ118" s="147"/>
      <c r="IR118" s="147"/>
      <c r="IS118" s="147"/>
      <c r="IT118" s="147"/>
      <c r="IU118" s="147"/>
      <c r="IV118" s="147"/>
    </row>
    <row r="119" spans="1:256" ht="18" customHeight="1" x14ac:dyDescent="0.35">
      <c r="A119" s="1600">
        <v>113</v>
      </c>
      <c r="B119" s="147"/>
      <c r="C119" s="1639"/>
      <c r="D119" s="1667" t="s">
        <v>1261</v>
      </c>
      <c r="E119" s="1637">
        <v>40000</v>
      </c>
      <c r="F119" s="125"/>
      <c r="G119" s="1922"/>
      <c r="H119" s="123"/>
      <c r="I119" s="125"/>
      <c r="J119" s="1616"/>
      <c r="K119" s="147"/>
      <c r="L119" s="2"/>
      <c r="M119" s="147"/>
      <c r="N119" s="147"/>
      <c r="O119" s="147"/>
      <c r="P119" s="147"/>
      <c r="Q119" s="147"/>
      <c r="R119" s="147"/>
      <c r="S119" s="147"/>
      <c r="T119" s="147"/>
      <c r="U119" s="147"/>
      <c r="V119" s="147"/>
      <c r="W119" s="147"/>
      <c r="X119" s="147"/>
      <c r="Y119" s="147"/>
      <c r="Z119" s="147"/>
      <c r="AA119" s="147"/>
      <c r="AB119" s="147"/>
      <c r="AC119" s="147"/>
      <c r="AD119" s="147"/>
      <c r="AE119" s="147"/>
      <c r="AF119" s="147"/>
      <c r="AG119" s="147"/>
      <c r="AH119" s="147"/>
      <c r="AI119" s="147"/>
      <c r="AJ119" s="147"/>
      <c r="AK119" s="147"/>
      <c r="AL119" s="147"/>
      <c r="AM119" s="147"/>
      <c r="AN119" s="147"/>
      <c r="AO119" s="147"/>
      <c r="AP119" s="147"/>
      <c r="AQ119" s="147"/>
      <c r="AR119" s="147"/>
      <c r="AS119" s="147"/>
      <c r="AT119" s="147"/>
      <c r="AU119" s="147"/>
      <c r="AV119" s="147"/>
      <c r="AW119" s="147"/>
      <c r="AX119" s="147"/>
      <c r="AY119" s="147"/>
      <c r="AZ119" s="147"/>
      <c r="BA119" s="147"/>
      <c r="BB119" s="147"/>
      <c r="BC119" s="147"/>
      <c r="BD119" s="147"/>
      <c r="BE119" s="147"/>
      <c r="BF119" s="147"/>
      <c r="BG119" s="147"/>
      <c r="BH119" s="147"/>
      <c r="BI119" s="147"/>
      <c r="BJ119" s="147"/>
      <c r="BK119" s="147"/>
      <c r="BL119" s="147"/>
      <c r="BM119" s="147"/>
      <c r="BN119" s="147"/>
      <c r="BO119" s="147"/>
      <c r="BP119" s="147"/>
      <c r="BQ119" s="147"/>
      <c r="BR119" s="147"/>
      <c r="BS119" s="147"/>
      <c r="BT119" s="147"/>
      <c r="BU119" s="147"/>
      <c r="BV119" s="147"/>
      <c r="BW119" s="147"/>
      <c r="BX119" s="147"/>
      <c r="BY119" s="147"/>
      <c r="BZ119" s="147"/>
      <c r="CA119" s="147"/>
      <c r="CB119" s="147"/>
      <c r="CC119" s="147"/>
      <c r="CD119" s="147"/>
      <c r="CE119" s="147"/>
      <c r="CF119" s="147"/>
      <c r="CG119" s="147"/>
      <c r="CH119" s="147"/>
      <c r="CI119" s="147"/>
      <c r="CJ119" s="147"/>
      <c r="CK119" s="147"/>
      <c r="CL119" s="147"/>
      <c r="CM119" s="147"/>
      <c r="CN119" s="147"/>
      <c r="CO119" s="147"/>
      <c r="CP119" s="147"/>
      <c r="CQ119" s="147"/>
      <c r="CR119" s="147"/>
      <c r="CS119" s="147"/>
      <c r="CT119" s="147"/>
      <c r="CU119" s="147"/>
      <c r="CV119" s="147"/>
      <c r="CW119" s="147"/>
      <c r="CX119" s="147"/>
      <c r="CY119" s="147"/>
      <c r="CZ119" s="147"/>
      <c r="DA119" s="147"/>
      <c r="DB119" s="147"/>
      <c r="DC119" s="147"/>
      <c r="DD119" s="147"/>
      <c r="DE119" s="147"/>
      <c r="DF119" s="147"/>
      <c r="DG119" s="147"/>
      <c r="DH119" s="147"/>
      <c r="DI119" s="147"/>
      <c r="DJ119" s="147"/>
      <c r="DK119" s="147"/>
      <c r="DL119" s="147"/>
      <c r="DM119" s="147"/>
      <c r="DN119" s="147"/>
      <c r="DO119" s="147"/>
      <c r="DP119" s="147"/>
      <c r="DQ119" s="147"/>
      <c r="DR119" s="147"/>
      <c r="DS119" s="147"/>
      <c r="DT119" s="147"/>
      <c r="DU119" s="147"/>
      <c r="DV119" s="147"/>
      <c r="DW119" s="147"/>
      <c r="DX119" s="147"/>
      <c r="DY119" s="147"/>
      <c r="DZ119" s="147"/>
      <c r="EA119" s="147"/>
      <c r="EB119" s="147"/>
      <c r="EC119" s="147"/>
      <c r="ED119" s="147"/>
      <c r="EE119" s="147"/>
      <c r="EF119" s="147"/>
      <c r="EG119" s="147"/>
      <c r="EH119" s="147"/>
      <c r="EI119" s="147"/>
      <c r="EJ119" s="147"/>
      <c r="EK119" s="147"/>
      <c r="EL119" s="147"/>
      <c r="EM119" s="147"/>
      <c r="EN119" s="147"/>
      <c r="EO119" s="147"/>
      <c r="EP119" s="147"/>
      <c r="EQ119" s="147"/>
      <c r="ER119" s="147"/>
      <c r="ES119" s="147"/>
      <c r="ET119" s="147"/>
      <c r="EU119" s="147"/>
      <c r="EV119" s="147"/>
      <c r="EW119" s="147"/>
      <c r="EX119" s="147"/>
      <c r="EY119" s="147"/>
      <c r="EZ119" s="147"/>
      <c r="FA119" s="147"/>
      <c r="FB119" s="147"/>
      <c r="FC119" s="147"/>
      <c r="FD119" s="147"/>
      <c r="FE119" s="147"/>
      <c r="FF119" s="147"/>
      <c r="FG119" s="147"/>
      <c r="FH119" s="147"/>
      <c r="FI119" s="147"/>
      <c r="FJ119" s="147"/>
      <c r="FK119" s="147"/>
      <c r="FL119" s="147"/>
      <c r="FM119" s="147"/>
      <c r="FN119" s="147"/>
      <c r="FO119" s="147"/>
      <c r="FP119" s="147"/>
      <c r="FQ119" s="147"/>
      <c r="FR119" s="147"/>
      <c r="FS119" s="147"/>
      <c r="FT119" s="147"/>
      <c r="FU119" s="147"/>
      <c r="FV119" s="147"/>
      <c r="FW119" s="147"/>
      <c r="FX119" s="147"/>
      <c r="FY119" s="147"/>
      <c r="FZ119" s="147"/>
      <c r="GA119" s="147"/>
      <c r="GB119" s="147"/>
      <c r="GC119" s="147"/>
      <c r="GD119" s="147"/>
      <c r="GE119" s="147"/>
      <c r="GF119" s="147"/>
      <c r="GG119" s="147"/>
      <c r="GH119" s="147"/>
      <c r="GI119" s="147"/>
      <c r="GJ119" s="147"/>
      <c r="GK119" s="147"/>
      <c r="GL119" s="147"/>
      <c r="GM119" s="147"/>
      <c r="GN119" s="147"/>
      <c r="GO119" s="147"/>
      <c r="GP119" s="147"/>
      <c r="GQ119" s="147"/>
      <c r="GR119" s="147"/>
      <c r="GS119" s="147"/>
      <c r="GT119" s="147"/>
      <c r="GU119" s="147"/>
      <c r="GV119" s="147"/>
      <c r="GW119" s="147"/>
      <c r="GX119" s="147"/>
      <c r="GY119" s="147"/>
      <c r="GZ119" s="147"/>
      <c r="HA119" s="147"/>
      <c r="HB119" s="147"/>
      <c r="HC119" s="147"/>
      <c r="HD119" s="147"/>
      <c r="HE119" s="147"/>
      <c r="HF119" s="147"/>
      <c r="HG119" s="147"/>
      <c r="HH119" s="147"/>
      <c r="HI119" s="147"/>
      <c r="HJ119" s="147"/>
      <c r="HK119" s="147"/>
      <c r="HL119" s="147"/>
      <c r="HM119" s="147"/>
      <c r="HN119" s="147"/>
      <c r="HO119" s="147"/>
      <c r="HP119" s="147"/>
      <c r="HQ119" s="147"/>
      <c r="HR119" s="147"/>
      <c r="HS119" s="147"/>
      <c r="HT119" s="147"/>
      <c r="HU119" s="147"/>
      <c r="HV119" s="147"/>
      <c r="HW119" s="147"/>
      <c r="HX119" s="147"/>
      <c r="HY119" s="147"/>
      <c r="HZ119" s="147"/>
      <c r="IA119" s="147"/>
      <c r="IB119" s="147"/>
      <c r="IC119" s="147"/>
      <c r="ID119" s="147"/>
      <c r="IE119" s="147"/>
      <c r="IF119" s="147"/>
      <c r="IG119" s="147"/>
      <c r="IH119" s="147"/>
      <c r="II119" s="147"/>
      <c r="IJ119" s="147"/>
      <c r="IK119" s="147"/>
      <c r="IL119" s="147"/>
      <c r="IM119" s="147"/>
      <c r="IN119" s="147"/>
      <c r="IO119" s="147"/>
      <c r="IP119" s="147"/>
      <c r="IQ119" s="147"/>
      <c r="IR119" s="147"/>
      <c r="IS119" s="147"/>
      <c r="IT119" s="147"/>
      <c r="IU119" s="147"/>
      <c r="IV119" s="147"/>
    </row>
    <row r="120" spans="1:256" ht="18" customHeight="1" x14ac:dyDescent="0.35">
      <c r="A120" s="1600">
        <v>114</v>
      </c>
      <c r="B120" s="147"/>
      <c r="C120" s="1639"/>
      <c r="D120" s="1667" t="s">
        <v>1264</v>
      </c>
      <c r="E120" s="1637">
        <f>200000+21464</f>
        <v>221464</v>
      </c>
      <c r="F120" s="125"/>
      <c r="G120" s="1922"/>
      <c r="H120" s="123"/>
      <c r="I120" s="125"/>
      <c r="J120" s="1616"/>
      <c r="K120" s="147"/>
      <c r="L120" s="2"/>
      <c r="M120" s="147"/>
      <c r="N120" s="147"/>
      <c r="O120" s="147"/>
      <c r="P120" s="147"/>
      <c r="Q120" s="147"/>
      <c r="R120" s="147"/>
      <c r="S120" s="147"/>
      <c r="T120" s="147"/>
      <c r="U120" s="147"/>
      <c r="V120" s="147"/>
      <c r="W120" s="147"/>
      <c r="X120" s="147"/>
      <c r="Y120" s="147"/>
      <c r="Z120" s="147"/>
      <c r="AA120" s="147"/>
      <c r="AB120" s="147"/>
      <c r="AC120" s="147"/>
      <c r="AD120" s="147"/>
      <c r="AE120" s="147"/>
      <c r="AF120" s="147"/>
      <c r="AG120" s="147"/>
      <c r="AH120" s="147"/>
      <c r="AI120" s="147"/>
      <c r="AJ120" s="147"/>
      <c r="AK120" s="147"/>
      <c r="AL120" s="147"/>
      <c r="AM120" s="147"/>
      <c r="AN120" s="147"/>
      <c r="AO120" s="147"/>
      <c r="AP120" s="147"/>
      <c r="AQ120" s="147"/>
      <c r="AR120" s="147"/>
      <c r="AS120" s="147"/>
      <c r="AT120" s="147"/>
      <c r="AU120" s="147"/>
      <c r="AV120" s="147"/>
      <c r="AW120" s="147"/>
      <c r="AX120" s="147"/>
      <c r="AY120" s="147"/>
      <c r="AZ120" s="147"/>
      <c r="BA120" s="147"/>
      <c r="BB120" s="147"/>
      <c r="BC120" s="147"/>
      <c r="BD120" s="147"/>
      <c r="BE120" s="147"/>
      <c r="BF120" s="147"/>
      <c r="BG120" s="147"/>
      <c r="BH120" s="147"/>
      <c r="BI120" s="147"/>
      <c r="BJ120" s="147"/>
      <c r="BK120" s="147"/>
      <c r="BL120" s="147"/>
      <c r="BM120" s="147"/>
      <c r="BN120" s="147"/>
      <c r="BO120" s="147"/>
      <c r="BP120" s="147"/>
      <c r="BQ120" s="147"/>
      <c r="BR120" s="147"/>
      <c r="BS120" s="147"/>
      <c r="BT120" s="147"/>
      <c r="BU120" s="147"/>
      <c r="BV120" s="147"/>
      <c r="BW120" s="147"/>
      <c r="BX120" s="147"/>
      <c r="BY120" s="147"/>
      <c r="BZ120" s="147"/>
      <c r="CA120" s="147"/>
      <c r="CB120" s="147"/>
      <c r="CC120" s="147"/>
      <c r="CD120" s="147"/>
      <c r="CE120" s="147"/>
      <c r="CF120" s="147"/>
      <c r="CG120" s="147"/>
      <c r="CH120" s="147"/>
      <c r="CI120" s="147"/>
      <c r="CJ120" s="147"/>
      <c r="CK120" s="147"/>
      <c r="CL120" s="147"/>
      <c r="CM120" s="147"/>
      <c r="CN120" s="147"/>
      <c r="CO120" s="147"/>
      <c r="CP120" s="147"/>
      <c r="CQ120" s="147"/>
      <c r="CR120" s="147"/>
      <c r="CS120" s="147"/>
      <c r="CT120" s="147"/>
      <c r="CU120" s="147"/>
      <c r="CV120" s="147"/>
      <c r="CW120" s="147"/>
      <c r="CX120" s="147"/>
      <c r="CY120" s="147"/>
      <c r="CZ120" s="147"/>
      <c r="DA120" s="147"/>
      <c r="DB120" s="147"/>
      <c r="DC120" s="147"/>
      <c r="DD120" s="147"/>
      <c r="DE120" s="147"/>
      <c r="DF120" s="147"/>
      <c r="DG120" s="147"/>
      <c r="DH120" s="147"/>
      <c r="DI120" s="147"/>
      <c r="DJ120" s="147"/>
      <c r="DK120" s="147"/>
      <c r="DL120" s="147"/>
      <c r="DM120" s="147"/>
      <c r="DN120" s="147"/>
      <c r="DO120" s="147"/>
      <c r="DP120" s="147"/>
      <c r="DQ120" s="147"/>
      <c r="DR120" s="147"/>
      <c r="DS120" s="147"/>
      <c r="DT120" s="147"/>
      <c r="DU120" s="147"/>
      <c r="DV120" s="147"/>
      <c r="DW120" s="147"/>
      <c r="DX120" s="147"/>
      <c r="DY120" s="147"/>
      <c r="DZ120" s="147"/>
      <c r="EA120" s="147"/>
      <c r="EB120" s="147"/>
      <c r="EC120" s="147"/>
      <c r="ED120" s="147"/>
      <c r="EE120" s="147"/>
      <c r="EF120" s="147"/>
      <c r="EG120" s="147"/>
      <c r="EH120" s="147"/>
      <c r="EI120" s="147"/>
      <c r="EJ120" s="147"/>
      <c r="EK120" s="147"/>
      <c r="EL120" s="147"/>
      <c r="EM120" s="147"/>
      <c r="EN120" s="147"/>
      <c r="EO120" s="147"/>
      <c r="EP120" s="147"/>
      <c r="EQ120" s="147"/>
      <c r="ER120" s="147"/>
      <c r="ES120" s="147"/>
      <c r="ET120" s="147"/>
      <c r="EU120" s="147"/>
      <c r="EV120" s="147"/>
      <c r="EW120" s="147"/>
      <c r="EX120" s="147"/>
      <c r="EY120" s="147"/>
      <c r="EZ120" s="147"/>
      <c r="FA120" s="147"/>
      <c r="FB120" s="147"/>
      <c r="FC120" s="147"/>
      <c r="FD120" s="147"/>
      <c r="FE120" s="147"/>
      <c r="FF120" s="147"/>
      <c r="FG120" s="147"/>
      <c r="FH120" s="147"/>
      <c r="FI120" s="147"/>
      <c r="FJ120" s="147"/>
      <c r="FK120" s="147"/>
      <c r="FL120" s="147"/>
      <c r="FM120" s="147"/>
      <c r="FN120" s="147"/>
      <c r="FO120" s="147"/>
      <c r="FP120" s="147"/>
      <c r="FQ120" s="147"/>
      <c r="FR120" s="147"/>
      <c r="FS120" s="147"/>
      <c r="FT120" s="147"/>
      <c r="FU120" s="147"/>
      <c r="FV120" s="147"/>
      <c r="FW120" s="147"/>
      <c r="FX120" s="147"/>
      <c r="FY120" s="147"/>
      <c r="FZ120" s="147"/>
      <c r="GA120" s="147"/>
      <c r="GB120" s="147"/>
      <c r="GC120" s="147"/>
      <c r="GD120" s="147"/>
      <c r="GE120" s="147"/>
      <c r="GF120" s="147"/>
      <c r="GG120" s="147"/>
      <c r="GH120" s="147"/>
      <c r="GI120" s="147"/>
      <c r="GJ120" s="147"/>
      <c r="GK120" s="147"/>
      <c r="GL120" s="147"/>
      <c r="GM120" s="147"/>
      <c r="GN120" s="147"/>
      <c r="GO120" s="147"/>
      <c r="GP120" s="147"/>
      <c r="GQ120" s="147"/>
      <c r="GR120" s="147"/>
      <c r="GS120" s="147"/>
      <c r="GT120" s="147"/>
      <c r="GU120" s="147"/>
      <c r="GV120" s="147"/>
      <c r="GW120" s="147"/>
      <c r="GX120" s="147"/>
      <c r="GY120" s="147"/>
      <c r="GZ120" s="147"/>
      <c r="HA120" s="147"/>
      <c r="HB120" s="147"/>
      <c r="HC120" s="147"/>
      <c r="HD120" s="147"/>
      <c r="HE120" s="147"/>
      <c r="HF120" s="147"/>
      <c r="HG120" s="147"/>
      <c r="HH120" s="147"/>
      <c r="HI120" s="147"/>
      <c r="HJ120" s="147"/>
      <c r="HK120" s="147"/>
      <c r="HL120" s="147"/>
      <c r="HM120" s="147"/>
      <c r="HN120" s="147"/>
      <c r="HO120" s="147"/>
      <c r="HP120" s="147"/>
      <c r="HQ120" s="147"/>
      <c r="HR120" s="147"/>
      <c r="HS120" s="147"/>
      <c r="HT120" s="147"/>
      <c r="HU120" s="147"/>
      <c r="HV120" s="147"/>
      <c r="HW120" s="147"/>
      <c r="HX120" s="147"/>
      <c r="HY120" s="147"/>
      <c r="HZ120" s="147"/>
      <c r="IA120" s="147"/>
      <c r="IB120" s="147"/>
      <c r="IC120" s="147"/>
      <c r="ID120" s="147"/>
      <c r="IE120" s="147"/>
      <c r="IF120" s="147"/>
      <c r="IG120" s="147"/>
      <c r="IH120" s="147"/>
      <c r="II120" s="147"/>
      <c r="IJ120" s="147"/>
      <c r="IK120" s="147"/>
      <c r="IL120" s="147"/>
      <c r="IM120" s="147"/>
      <c r="IN120" s="147"/>
      <c r="IO120" s="147"/>
      <c r="IP120" s="147"/>
      <c r="IQ120" s="147"/>
      <c r="IR120" s="147"/>
      <c r="IS120" s="147"/>
      <c r="IT120" s="147"/>
      <c r="IU120" s="147"/>
      <c r="IV120" s="147"/>
    </row>
    <row r="121" spans="1:256" ht="18" customHeight="1" x14ac:dyDescent="0.35">
      <c r="A121" s="1600">
        <v>115</v>
      </c>
      <c r="B121" s="147"/>
      <c r="C121" s="1639"/>
      <c r="D121" s="1667" t="s">
        <v>1265</v>
      </c>
      <c r="E121" s="1637">
        <v>100000</v>
      </c>
      <c r="F121" s="147"/>
      <c r="G121" s="2083"/>
      <c r="H121" s="147"/>
      <c r="I121" s="147"/>
      <c r="J121" s="2"/>
      <c r="K121" s="147"/>
      <c r="L121" s="2"/>
      <c r="M121" s="147"/>
      <c r="N121" s="147"/>
      <c r="O121" s="147"/>
      <c r="P121" s="147"/>
      <c r="Q121" s="147"/>
      <c r="R121" s="147"/>
      <c r="S121" s="147"/>
      <c r="T121" s="147"/>
      <c r="U121" s="147"/>
      <c r="V121" s="147"/>
      <c r="W121" s="147"/>
      <c r="X121" s="147"/>
      <c r="Y121" s="147"/>
      <c r="Z121" s="147"/>
      <c r="AA121" s="147"/>
      <c r="AB121" s="147"/>
      <c r="AC121" s="147"/>
      <c r="AD121" s="147"/>
      <c r="AE121" s="147"/>
      <c r="AF121" s="147"/>
      <c r="AG121" s="147"/>
      <c r="AH121" s="147"/>
      <c r="AI121" s="147"/>
      <c r="AJ121" s="147"/>
      <c r="AK121" s="147"/>
      <c r="AL121" s="147"/>
      <c r="AM121" s="147"/>
      <c r="AN121" s="147"/>
      <c r="AO121" s="147"/>
      <c r="AP121" s="147"/>
      <c r="AQ121" s="147"/>
      <c r="AR121" s="147"/>
      <c r="AS121" s="147"/>
      <c r="AT121" s="147"/>
      <c r="AU121" s="147"/>
      <c r="AV121" s="147"/>
      <c r="AW121" s="147"/>
      <c r="AX121" s="147"/>
      <c r="AY121" s="147"/>
      <c r="AZ121" s="147"/>
      <c r="BA121" s="147"/>
      <c r="BB121" s="147"/>
      <c r="BC121" s="147"/>
      <c r="BD121" s="147"/>
      <c r="BE121" s="147"/>
      <c r="BF121" s="147"/>
      <c r="BG121" s="147"/>
      <c r="BH121" s="147"/>
      <c r="BI121" s="147"/>
      <c r="BJ121" s="147"/>
      <c r="BK121" s="147"/>
      <c r="BL121" s="147"/>
      <c r="BM121" s="147"/>
      <c r="BN121" s="147"/>
      <c r="BO121" s="147"/>
      <c r="BP121" s="147"/>
      <c r="BQ121" s="147"/>
      <c r="BR121" s="147"/>
      <c r="BS121" s="147"/>
      <c r="BT121" s="147"/>
      <c r="BU121" s="147"/>
      <c r="BV121" s="147"/>
      <c r="BW121" s="147"/>
      <c r="BX121" s="147"/>
      <c r="BY121" s="147"/>
      <c r="BZ121" s="147"/>
      <c r="CA121" s="147"/>
      <c r="CB121" s="147"/>
      <c r="CC121" s="147"/>
      <c r="CD121" s="147"/>
      <c r="CE121" s="147"/>
      <c r="CF121" s="147"/>
      <c r="CG121" s="147"/>
      <c r="CH121" s="147"/>
      <c r="CI121" s="147"/>
      <c r="CJ121" s="147"/>
      <c r="CK121" s="147"/>
      <c r="CL121" s="147"/>
      <c r="CM121" s="147"/>
      <c r="CN121" s="147"/>
      <c r="CO121" s="147"/>
      <c r="CP121" s="147"/>
      <c r="CQ121" s="147"/>
      <c r="CR121" s="147"/>
      <c r="CS121" s="147"/>
      <c r="CT121" s="147"/>
      <c r="CU121" s="147"/>
      <c r="CV121" s="147"/>
      <c r="CW121" s="147"/>
      <c r="CX121" s="147"/>
      <c r="CY121" s="147"/>
      <c r="CZ121" s="147"/>
      <c r="DA121" s="147"/>
      <c r="DB121" s="147"/>
      <c r="DC121" s="147"/>
      <c r="DD121" s="147"/>
      <c r="DE121" s="147"/>
      <c r="DF121" s="147"/>
      <c r="DG121" s="147"/>
      <c r="DH121" s="147"/>
      <c r="DI121" s="147"/>
      <c r="DJ121" s="147"/>
      <c r="DK121" s="147"/>
      <c r="DL121" s="147"/>
      <c r="DM121" s="147"/>
      <c r="DN121" s="147"/>
      <c r="DO121" s="147"/>
      <c r="DP121" s="147"/>
      <c r="DQ121" s="147"/>
      <c r="DR121" s="147"/>
      <c r="DS121" s="147"/>
      <c r="DT121" s="147"/>
      <c r="DU121" s="147"/>
      <c r="DV121" s="147"/>
      <c r="DW121" s="147"/>
      <c r="DX121" s="147"/>
      <c r="DY121" s="147"/>
      <c r="DZ121" s="147"/>
      <c r="EA121" s="147"/>
      <c r="EB121" s="147"/>
      <c r="EC121" s="147"/>
      <c r="ED121" s="147"/>
      <c r="EE121" s="147"/>
      <c r="EF121" s="147"/>
      <c r="EG121" s="147"/>
      <c r="EH121" s="147"/>
      <c r="EI121" s="147"/>
      <c r="EJ121" s="147"/>
      <c r="EK121" s="147"/>
      <c r="EL121" s="147"/>
      <c r="EM121" s="147"/>
      <c r="EN121" s="147"/>
      <c r="EO121" s="147"/>
      <c r="EP121" s="147"/>
      <c r="EQ121" s="147"/>
      <c r="ER121" s="147"/>
      <c r="ES121" s="147"/>
      <c r="ET121" s="147"/>
      <c r="EU121" s="147"/>
      <c r="EV121" s="147"/>
      <c r="EW121" s="147"/>
      <c r="EX121" s="147"/>
      <c r="EY121" s="147"/>
      <c r="EZ121" s="147"/>
      <c r="FA121" s="147"/>
      <c r="FB121" s="147"/>
      <c r="FC121" s="147"/>
      <c r="FD121" s="147"/>
      <c r="FE121" s="147"/>
      <c r="FF121" s="147"/>
      <c r="FG121" s="147"/>
      <c r="FH121" s="147"/>
      <c r="FI121" s="147"/>
      <c r="FJ121" s="147"/>
      <c r="FK121" s="147"/>
      <c r="FL121" s="147"/>
      <c r="FM121" s="147"/>
      <c r="FN121" s="147"/>
      <c r="FO121" s="147"/>
      <c r="FP121" s="147"/>
      <c r="FQ121" s="147"/>
      <c r="FR121" s="147"/>
      <c r="FS121" s="147"/>
      <c r="FT121" s="147"/>
      <c r="FU121" s="147"/>
      <c r="FV121" s="147"/>
      <c r="FW121" s="147"/>
      <c r="FX121" s="147"/>
      <c r="FY121" s="147"/>
      <c r="FZ121" s="147"/>
      <c r="GA121" s="147"/>
      <c r="GB121" s="147"/>
      <c r="GC121" s="147"/>
      <c r="GD121" s="147"/>
      <c r="GE121" s="147"/>
      <c r="GF121" s="147"/>
      <c r="GG121" s="147"/>
      <c r="GH121" s="147"/>
      <c r="GI121" s="147"/>
      <c r="GJ121" s="147"/>
      <c r="GK121" s="147"/>
      <c r="GL121" s="147"/>
      <c r="GM121" s="147"/>
      <c r="GN121" s="147"/>
      <c r="GO121" s="147"/>
      <c r="GP121" s="147"/>
      <c r="GQ121" s="147"/>
      <c r="GR121" s="147"/>
      <c r="GS121" s="147"/>
      <c r="GT121" s="147"/>
      <c r="GU121" s="147"/>
      <c r="GV121" s="147"/>
      <c r="GW121" s="147"/>
      <c r="GX121" s="147"/>
      <c r="GY121" s="147"/>
      <c r="GZ121" s="147"/>
      <c r="HA121" s="147"/>
      <c r="HB121" s="147"/>
      <c r="HC121" s="147"/>
      <c r="HD121" s="147"/>
      <c r="HE121" s="147"/>
      <c r="HF121" s="147"/>
      <c r="HG121" s="147"/>
      <c r="HH121" s="147"/>
      <c r="HI121" s="147"/>
      <c r="HJ121" s="147"/>
      <c r="HK121" s="147"/>
      <c r="HL121" s="147"/>
      <c r="HM121" s="147"/>
      <c r="HN121" s="147"/>
      <c r="HO121" s="147"/>
      <c r="HP121" s="147"/>
      <c r="HQ121" s="147"/>
      <c r="HR121" s="147"/>
      <c r="HS121" s="147"/>
      <c r="HT121" s="147"/>
      <c r="HU121" s="147"/>
      <c r="HV121" s="147"/>
      <c r="HW121" s="147"/>
      <c r="HX121" s="147"/>
      <c r="HY121" s="147"/>
      <c r="HZ121" s="147"/>
      <c r="IA121" s="147"/>
      <c r="IB121" s="147"/>
      <c r="IC121" s="147"/>
      <c r="ID121" s="147"/>
      <c r="IE121" s="147"/>
      <c r="IF121" s="147"/>
      <c r="IG121" s="147"/>
      <c r="IH121" s="147"/>
      <c r="II121" s="147"/>
      <c r="IJ121" s="147"/>
      <c r="IK121" s="147"/>
      <c r="IL121" s="147"/>
      <c r="IM121" s="147"/>
      <c r="IN121" s="147"/>
      <c r="IO121" s="147"/>
      <c r="IP121" s="147"/>
      <c r="IQ121" s="147"/>
      <c r="IR121" s="147"/>
      <c r="IS121" s="147"/>
      <c r="IT121" s="147"/>
      <c r="IU121" s="147"/>
      <c r="IV121" s="147"/>
    </row>
    <row r="122" spans="1:256" ht="18" customHeight="1" x14ac:dyDescent="0.35">
      <c r="A122" s="1600">
        <v>116</v>
      </c>
      <c r="B122" s="147"/>
      <c r="C122" s="1639"/>
      <c r="D122" s="1667" t="s">
        <v>1266</v>
      </c>
      <c r="E122" s="1637">
        <v>20000</v>
      </c>
      <c r="F122" s="147"/>
      <c r="G122" s="2083"/>
      <c r="H122" s="147"/>
      <c r="I122" s="147"/>
      <c r="J122" s="2"/>
      <c r="K122" s="147"/>
      <c r="L122" s="2"/>
      <c r="M122" s="147"/>
      <c r="N122" s="147"/>
      <c r="O122" s="147"/>
      <c r="P122" s="147"/>
      <c r="Q122" s="147"/>
      <c r="R122" s="147"/>
      <c r="S122" s="147"/>
      <c r="T122" s="147"/>
      <c r="U122" s="147"/>
      <c r="V122" s="147"/>
      <c r="W122" s="147"/>
      <c r="X122" s="147"/>
      <c r="Y122" s="147"/>
      <c r="Z122" s="147"/>
      <c r="AA122" s="147"/>
      <c r="AB122" s="147"/>
      <c r="AC122" s="147"/>
      <c r="AD122" s="147"/>
      <c r="AE122" s="147"/>
      <c r="AF122" s="147"/>
      <c r="AG122" s="147"/>
      <c r="AH122" s="147"/>
      <c r="AI122" s="147"/>
      <c r="AJ122" s="147"/>
      <c r="AK122" s="147"/>
      <c r="AL122" s="147"/>
      <c r="AM122" s="147"/>
      <c r="AN122" s="147"/>
      <c r="AO122" s="147"/>
      <c r="AP122" s="147"/>
      <c r="AQ122" s="147"/>
      <c r="AR122" s="147"/>
      <c r="AS122" s="147"/>
      <c r="AT122" s="147"/>
      <c r="AU122" s="147"/>
      <c r="AV122" s="147"/>
      <c r="AW122" s="147"/>
      <c r="AX122" s="147"/>
      <c r="AY122" s="147"/>
      <c r="AZ122" s="147"/>
      <c r="BA122" s="147"/>
      <c r="BB122" s="147"/>
      <c r="BC122" s="147"/>
      <c r="BD122" s="147"/>
      <c r="BE122" s="147"/>
      <c r="BF122" s="147"/>
      <c r="BG122" s="147"/>
      <c r="BH122" s="147"/>
      <c r="BI122" s="147"/>
      <c r="BJ122" s="147"/>
      <c r="BK122" s="147"/>
      <c r="BL122" s="147"/>
      <c r="BM122" s="147"/>
      <c r="BN122" s="147"/>
      <c r="BO122" s="147"/>
      <c r="BP122" s="147"/>
      <c r="BQ122" s="147"/>
      <c r="BR122" s="147"/>
      <c r="BS122" s="147"/>
      <c r="BT122" s="147"/>
      <c r="BU122" s="147"/>
      <c r="BV122" s="147"/>
      <c r="BW122" s="147"/>
      <c r="BX122" s="147"/>
      <c r="BY122" s="147"/>
      <c r="BZ122" s="147"/>
      <c r="CA122" s="147"/>
      <c r="CB122" s="147"/>
      <c r="CC122" s="147"/>
      <c r="CD122" s="147"/>
      <c r="CE122" s="147"/>
      <c r="CF122" s="147"/>
      <c r="CG122" s="147"/>
      <c r="CH122" s="147"/>
      <c r="CI122" s="147"/>
      <c r="CJ122" s="147"/>
      <c r="CK122" s="147"/>
      <c r="CL122" s="147"/>
      <c r="CM122" s="147"/>
      <c r="CN122" s="147"/>
      <c r="CO122" s="147"/>
      <c r="CP122" s="147"/>
      <c r="CQ122" s="147"/>
      <c r="CR122" s="147"/>
      <c r="CS122" s="147"/>
      <c r="CT122" s="147"/>
      <c r="CU122" s="147"/>
      <c r="CV122" s="147"/>
      <c r="CW122" s="147"/>
      <c r="CX122" s="147"/>
      <c r="CY122" s="147"/>
      <c r="CZ122" s="147"/>
      <c r="DA122" s="147"/>
      <c r="DB122" s="147"/>
      <c r="DC122" s="147"/>
      <c r="DD122" s="147"/>
      <c r="DE122" s="147"/>
      <c r="DF122" s="147"/>
      <c r="DG122" s="147"/>
      <c r="DH122" s="147"/>
      <c r="DI122" s="147"/>
      <c r="DJ122" s="147"/>
      <c r="DK122" s="147"/>
      <c r="DL122" s="147"/>
      <c r="DM122" s="147"/>
      <c r="DN122" s="147"/>
      <c r="DO122" s="147"/>
      <c r="DP122" s="147"/>
      <c r="DQ122" s="147"/>
      <c r="DR122" s="147"/>
      <c r="DS122" s="147"/>
      <c r="DT122" s="147"/>
      <c r="DU122" s="147"/>
      <c r="DV122" s="147"/>
      <c r="DW122" s="147"/>
      <c r="DX122" s="147"/>
      <c r="DY122" s="147"/>
      <c r="DZ122" s="147"/>
      <c r="EA122" s="147"/>
      <c r="EB122" s="147"/>
      <c r="EC122" s="147"/>
      <c r="ED122" s="147"/>
      <c r="EE122" s="147"/>
      <c r="EF122" s="147"/>
      <c r="EG122" s="147"/>
      <c r="EH122" s="147"/>
      <c r="EI122" s="147"/>
      <c r="EJ122" s="147"/>
      <c r="EK122" s="147"/>
      <c r="EL122" s="147"/>
      <c r="EM122" s="147"/>
      <c r="EN122" s="147"/>
      <c r="EO122" s="147"/>
      <c r="EP122" s="147"/>
      <c r="EQ122" s="147"/>
      <c r="ER122" s="147"/>
      <c r="ES122" s="147"/>
      <c r="ET122" s="147"/>
      <c r="EU122" s="147"/>
      <c r="EV122" s="147"/>
      <c r="EW122" s="147"/>
      <c r="EX122" s="147"/>
      <c r="EY122" s="147"/>
      <c r="EZ122" s="147"/>
      <c r="FA122" s="147"/>
      <c r="FB122" s="147"/>
      <c r="FC122" s="147"/>
      <c r="FD122" s="147"/>
      <c r="FE122" s="147"/>
      <c r="FF122" s="147"/>
      <c r="FG122" s="147"/>
      <c r="FH122" s="147"/>
      <c r="FI122" s="147"/>
      <c r="FJ122" s="147"/>
      <c r="FK122" s="147"/>
      <c r="FL122" s="147"/>
      <c r="FM122" s="147"/>
      <c r="FN122" s="147"/>
      <c r="FO122" s="147"/>
      <c r="FP122" s="147"/>
      <c r="FQ122" s="147"/>
      <c r="FR122" s="147"/>
      <c r="FS122" s="147"/>
      <c r="FT122" s="147"/>
      <c r="FU122" s="147"/>
      <c r="FV122" s="147"/>
      <c r="FW122" s="147"/>
      <c r="FX122" s="147"/>
      <c r="FY122" s="147"/>
      <c r="FZ122" s="147"/>
      <c r="GA122" s="147"/>
      <c r="GB122" s="147"/>
      <c r="GC122" s="147"/>
      <c r="GD122" s="147"/>
      <c r="GE122" s="147"/>
      <c r="GF122" s="147"/>
      <c r="GG122" s="147"/>
      <c r="GH122" s="147"/>
      <c r="GI122" s="147"/>
      <c r="GJ122" s="147"/>
      <c r="GK122" s="147"/>
      <c r="GL122" s="147"/>
      <c r="GM122" s="147"/>
      <c r="GN122" s="147"/>
      <c r="GO122" s="147"/>
      <c r="GP122" s="147"/>
      <c r="GQ122" s="147"/>
      <c r="GR122" s="147"/>
      <c r="GS122" s="147"/>
      <c r="GT122" s="147"/>
      <c r="GU122" s="147"/>
      <c r="GV122" s="147"/>
      <c r="GW122" s="147"/>
      <c r="GX122" s="147"/>
      <c r="GY122" s="147"/>
      <c r="GZ122" s="147"/>
      <c r="HA122" s="147"/>
      <c r="HB122" s="147"/>
      <c r="HC122" s="147"/>
      <c r="HD122" s="147"/>
      <c r="HE122" s="147"/>
      <c r="HF122" s="147"/>
      <c r="HG122" s="147"/>
      <c r="HH122" s="147"/>
      <c r="HI122" s="147"/>
      <c r="HJ122" s="147"/>
      <c r="HK122" s="147"/>
      <c r="HL122" s="147"/>
      <c r="HM122" s="147"/>
      <c r="HN122" s="147"/>
      <c r="HO122" s="147"/>
      <c r="HP122" s="147"/>
      <c r="HQ122" s="147"/>
      <c r="HR122" s="147"/>
      <c r="HS122" s="147"/>
      <c r="HT122" s="147"/>
      <c r="HU122" s="147"/>
      <c r="HV122" s="147"/>
      <c r="HW122" s="147"/>
      <c r="HX122" s="147"/>
      <c r="HY122" s="147"/>
      <c r="HZ122" s="147"/>
      <c r="IA122" s="147"/>
      <c r="IB122" s="147"/>
      <c r="IC122" s="147"/>
      <c r="ID122" s="147"/>
      <c r="IE122" s="147"/>
      <c r="IF122" s="147"/>
      <c r="IG122" s="147"/>
      <c r="IH122" s="147"/>
      <c r="II122" s="147"/>
      <c r="IJ122" s="147"/>
      <c r="IK122" s="147"/>
      <c r="IL122" s="147"/>
      <c r="IM122" s="147"/>
      <c r="IN122" s="147"/>
      <c r="IO122" s="147"/>
      <c r="IP122" s="147"/>
      <c r="IQ122" s="147"/>
      <c r="IR122" s="147"/>
      <c r="IS122" s="147"/>
      <c r="IT122" s="147"/>
      <c r="IU122" s="147"/>
      <c r="IV122" s="147"/>
    </row>
    <row r="123" spans="1:256" ht="18" customHeight="1" x14ac:dyDescent="0.35">
      <c r="A123" s="1600">
        <v>117</v>
      </c>
      <c r="B123" s="147"/>
      <c r="C123" s="1639"/>
      <c r="D123" s="1667" t="s">
        <v>1275</v>
      </c>
      <c r="E123" s="1637">
        <f>71464-21464</f>
        <v>50000</v>
      </c>
      <c r="F123" s="147"/>
      <c r="G123" s="2083"/>
      <c r="H123" s="147"/>
      <c r="I123" s="147"/>
      <c r="J123" s="2"/>
      <c r="K123" s="147"/>
      <c r="L123" s="2"/>
      <c r="M123" s="147"/>
      <c r="N123" s="147"/>
      <c r="O123" s="147"/>
      <c r="P123" s="147"/>
      <c r="Q123" s="147"/>
      <c r="R123" s="147"/>
      <c r="S123" s="147"/>
      <c r="T123" s="147"/>
      <c r="U123" s="147"/>
      <c r="V123" s="147"/>
      <c r="W123" s="147"/>
      <c r="X123" s="147"/>
      <c r="Y123" s="147"/>
      <c r="Z123" s="147"/>
      <c r="AA123" s="147"/>
      <c r="AB123" s="147"/>
      <c r="AC123" s="147"/>
      <c r="AD123" s="147"/>
      <c r="AE123" s="147"/>
      <c r="AF123" s="147"/>
      <c r="AG123" s="147"/>
      <c r="AH123" s="147"/>
      <c r="AI123" s="147"/>
      <c r="AJ123" s="147"/>
      <c r="AK123" s="147"/>
      <c r="AL123" s="147"/>
      <c r="AM123" s="147"/>
      <c r="AN123" s="147"/>
      <c r="AO123" s="147"/>
      <c r="AP123" s="147"/>
      <c r="AQ123" s="147"/>
      <c r="AR123" s="147"/>
      <c r="AS123" s="147"/>
      <c r="AT123" s="147"/>
      <c r="AU123" s="147"/>
      <c r="AV123" s="147"/>
      <c r="AW123" s="147"/>
      <c r="AX123" s="147"/>
      <c r="AY123" s="147"/>
      <c r="AZ123" s="147"/>
      <c r="BA123" s="147"/>
      <c r="BB123" s="147"/>
      <c r="BC123" s="147"/>
      <c r="BD123" s="147"/>
      <c r="BE123" s="147"/>
      <c r="BF123" s="147"/>
      <c r="BG123" s="147"/>
      <c r="BH123" s="147"/>
      <c r="BI123" s="147"/>
      <c r="BJ123" s="147"/>
      <c r="BK123" s="147"/>
      <c r="BL123" s="147"/>
      <c r="BM123" s="147"/>
      <c r="BN123" s="147"/>
      <c r="BO123" s="147"/>
      <c r="BP123" s="147"/>
      <c r="BQ123" s="147"/>
      <c r="BR123" s="147"/>
      <c r="BS123" s="147"/>
      <c r="BT123" s="147"/>
      <c r="BU123" s="147"/>
      <c r="BV123" s="147"/>
      <c r="BW123" s="147"/>
      <c r="BX123" s="147"/>
      <c r="BY123" s="147"/>
      <c r="BZ123" s="147"/>
      <c r="CA123" s="147"/>
      <c r="CB123" s="147"/>
      <c r="CC123" s="147"/>
      <c r="CD123" s="147"/>
      <c r="CE123" s="147"/>
      <c r="CF123" s="147"/>
      <c r="CG123" s="147"/>
      <c r="CH123" s="147"/>
      <c r="CI123" s="147"/>
      <c r="CJ123" s="147"/>
      <c r="CK123" s="147"/>
      <c r="CL123" s="147"/>
      <c r="CM123" s="147"/>
      <c r="CN123" s="147"/>
      <c r="CO123" s="147"/>
      <c r="CP123" s="147"/>
      <c r="CQ123" s="147"/>
      <c r="CR123" s="147"/>
      <c r="CS123" s="147"/>
      <c r="CT123" s="147"/>
      <c r="CU123" s="147"/>
      <c r="CV123" s="147"/>
      <c r="CW123" s="147"/>
      <c r="CX123" s="147"/>
      <c r="CY123" s="147"/>
      <c r="CZ123" s="147"/>
      <c r="DA123" s="147"/>
      <c r="DB123" s="147"/>
      <c r="DC123" s="147"/>
      <c r="DD123" s="147"/>
      <c r="DE123" s="147"/>
      <c r="DF123" s="147"/>
      <c r="DG123" s="147"/>
      <c r="DH123" s="147"/>
      <c r="DI123" s="147"/>
      <c r="DJ123" s="147"/>
      <c r="DK123" s="147"/>
      <c r="DL123" s="147"/>
      <c r="DM123" s="147"/>
      <c r="DN123" s="147"/>
      <c r="DO123" s="147"/>
      <c r="DP123" s="147"/>
      <c r="DQ123" s="147"/>
      <c r="DR123" s="147"/>
      <c r="DS123" s="147"/>
      <c r="DT123" s="147"/>
      <c r="DU123" s="147"/>
      <c r="DV123" s="147"/>
      <c r="DW123" s="147"/>
      <c r="DX123" s="147"/>
      <c r="DY123" s="147"/>
      <c r="DZ123" s="147"/>
      <c r="EA123" s="147"/>
      <c r="EB123" s="147"/>
      <c r="EC123" s="147"/>
      <c r="ED123" s="147"/>
      <c r="EE123" s="147"/>
      <c r="EF123" s="147"/>
      <c r="EG123" s="147"/>
      <c r="EH123" s="147"/>
      <c r="EI123" s="147"/>
      <c r="EJ123" s="147"/>
      <c r="EK123" s="147"/>
      <c r="EL123" s="147"/>
      <c r="EM123" s="147"/>
      <c r="EN123" s="147"/>
      <c r="EO123" s="147"/>
      <c r="EP123" s="147"/>
      <c r="EQ123" s="147"/>
      <c r="ER123" s="147"/>
      <c r="ES123" s="147"/>
      <c r="ET123" s="147"/>
      <c r="EU123" s="147"/>
      <c r="EV123" s="147"/>
      <c r="EW123" s="147"/>
      <c r="EX123" s="147"/>
      <c r="EY123" s="147"/>
      <c r="EZ123" s="147"/>
      <c r="FA123" s="147"/>
      <c r="FB123" s="147"/>
      <c r="FC123" s="147"/>
      <c r="FD123" s="147"/>
      <c r="FE123" s="147"/>
      <c r="FF123" s="147"/>
      <c r="FG123" s="147"/>
      <c r="FH123" s="147"/>
      <c r="FI123" s="147"/>
      <c r="FJ123" s="147"/>
      <c r="FK123" s="147"/>
      <c r="FL123" s="147"/>
      <c r="FM123" s="147"/>
      <c r="FN123" s="147"/>
      <c r="FO123" s="147"/>
      <c r="FP123" s="147"/>
      <c r="FQ123" s="147"/>
      <c r="FR123" s="147"/>
      <c r="FS123" s="147"/>
      <c r="FT123" s="147"/>
      <c r="FU123" s="147"/>
      <c r="FV123" s="147"/>
      <c r="FW123" s="147"/>
      <c r="FX123" s="147"/>
      <c r="FY123" s="147"/>
      <c r="FZ123" s="147"/>
      <c r="GA123" s="147"/>
      <c r="GB123" s="147"/>
      <c r="GC123" s="147"/>
      <c r="GD123" s="147"/>
      <c r="GE123" s="147"/>
      <c r="GF123" s="147"/>
      <c r="GG123" s="147"/>
      <c r="GH123" s="147"/>
      <c r="GI123" s="147"/>
      <c r="GJ123" s="147"/>
      <c r="GK123" s="147"/>
      <c r="GL123" s="147"/>
      <c r="GM123" s="147"/>
      <c r="GN123" s="147"/>
      <c r="GO123" s="147"/>
      <c r="GP123" s="147"/>
      <c r="GQ123" s="147"/>
      <c r="GR123" s="147"/>
      <c r="GS123" s="147"/>
      <c r="GT123" s="147"/>
      <c r="GU123" s="147"/>
      <c r="GV123" s="147"/>
      <c r="GW123" s="147"/>
      <c r="GX123" s="147"/>
      <c r="GY123" s="147"/>
      <c r="GZ123" s="147"/>
      <c r="HA123" s="147"/>
      <c r="HB123" s="147"/>
      <c r="HC123" s="147"/>
      <c r="HD123" s="147"/>
      <c r="HE123" s="147"/>
      <c r="HF123" s="147"/>
      <c r="HG123" s="147"/>
      <c r="HH123" s="147"/>
      <c r="HI123" s="147"/>
      <c r="HJ123" s="147"/>
      <c r="HK123" s="147"/>
      <c r="HL123" s="147"/>
      <c r="HM123" s="147"/>
      <c r="HN123" s="147"/>
      <c r="HO123" s="147"/>
      <c r="HP123" s="147"/>
      <c r="HQ123" s="147"/>
      <c r="HR123" s="147"/>
      <c r="HS123" s="147"/>
      <c r="HT123" s="147"/>
      <c r="HU123" s="147"/>
      <c r="HV123" s="147"/>
      <c r="HW123" s="147"/>
      <c r="HX123" s="147"/>
      <c r="HY123" s="147"/>
      <c r="HZ123" s="147"/>
      <c r="IA123" s="147"/>
      <c r="IB123" s="147"/>
      <c r="IC123" s="147"/>
      <c r="ID123" s="147"/>
      <c r="IE123" s="147"/>
      <c r="IF123" s="147"/>
      <c r="IG123" s="147"/>
      <c r="IH123" s="147"/>
      <c r="II123" s="147"/>
      <c r="IJ123" s="147"/>
      <c r="IK123" s="147"/>
      <c r="IL123" s="147"/>
      <c r="IM123" s="147"/>
      <c r="IN123" s="147"/>
      <c r="IO123" s="147"/>
      <c r="IP123" s="147"/>
      <c r="IQ123" s="147"/>
      <c r="IR123" s="147"/>
      <c r="IS123" s="147"/>
      <c r="IT123" s="147"/>
      <c r="IU123" s="147"/>
      <c r="IV123" s="147"/>
    </row>
    <row r="124" spans="1:256" ht="18" customHeight="1" x14ac:dyDescent="0.35">
      <c r="A124" s="1600">
        <v>118</v>
      </c>
      <c r="B124" s="147"/>
      <c r="C124" s="1639"/>
      <c r="D124" s="1667" t="s">
        <v>1267</v>
      </c>
      <c r="E124" s="2030">
        <v>200436</v>
      </c>
      <c r="F124" s="147"/>
      <c r="G124" s="2083"/>
      <c r="H124" s="147"/>
      <c r="I124" s="147"/>
      <c r="J124" s="2"/>
      <c r="K124" s="147"/>
      <c r="L124" s="2"/>
      <c r="M124" s="147"/>
      <c r="N124" s="147"/>
      <c r="O124" s="147"/>
      <c r="P124" s="147"/>
      <c r="Q124" s="147"/>
      <c r="R124" s="147"/>
      <c r="S124" s="147"/>
      <c r="T124" s="147"/>
      <c r="U124" s="147"/>
      <c r="V124" s="147"/>
      <c r="W124" s="147"/>
      <c r="X124" s="147"/>
      <c r="Y124" s="147"/>
      <c r="Z124" s="147"/>
      <c r="AA124" s="147"/>
      <c r="AB124" s="147"/>
      <c r="AC124" s="147"/>
      <c r="AD124" s="147"/>
      <c r="AE124" s="147"/>
      <c r="AF124" s="147"/>
      <c r="AG124" s="147"/>
      <c r="AH124" s="147"/>
      <c r="AI124" s="147"/>
      <c r="AJ124" s="147"/>
      <c r="AK124" s="147"/>
      <c r="AL124" s="147"/>
      <c r="AM124" s="147"/>
      <c r="AN124" s="147"/>
      <c r="AO124" s="147"/>
      <c r="AP124" s="147"/>
      <c r="AQ124" s="147"/>
      <c r="AR124" s="147"/>
      <c r="AS124" s="147"/>
      <c r="AT124" s="147"/>
      <c r="AU124" s="147"/>
      <c r="AV124" s="147"/>
      <c r="AW124" s="147"/>
      <c r="AX124" s="147"/>
      <c r="AY124" s="147"/>
      <c r="AZ124" s="147"/>
      <c r="BA124" s="147"/>
      <c r="BB124" s="147"/>
      <c r="BC124" s="147"/>
      <c r="BD124" s="147"/>
      <c r="BE124" s="147"/>
      <c r="BF124" s="147"/>
      <c r="BG124" s="147"/>
      <c r="BH124" s="147"/>
      <c r="BI124" s="147"/>
      <c r="BJ124" s="147"/>
      <c r="BK124" s="147"/>
      <c r="BL124" s="147"/>
      <c r="BM124" s="147"/>
      <c r="BN124" s="147"/>
      <c r="BO124" s="147"/>
      <c r="BP124" s="147"/>
      <c r="BQ124" s="147"/>
      <c r="BR124" s="147"/>
      <c r="BS124" s="147"/>
      <c r="BT124" s="147"/>
      <c r="BU124" s="147"/>
      <c r="BV124" s="147"/>
      <c r="BW124" s="147"/>
      <c r="BX124" s="147"/>
      <c r="BY124" s="147"/>
      <c r="BZ124" s="147"/>
      <c r="CA124" s="147"/>
      <c r="CB124" s="147"/>
      <c r="CC124" s="147"/>
      <c r="CD124" s="147"/>
      <c r="CE124" s="147"/>
      <c r="CF124" s="147"/>
      <c r="CG124" s="147"/>
      <c r="CH124" s="147"/>
      <c r="CI124" s="147"/>
      <c r="CJ124" s="147"/>
      <c r="CK124" s="147"/>
      <c r="CL124" s="147"/>
      <c r="CM124" s="147"/>
      <c r="CN124" s="147"/>
      <c r="CO124" s="147"/>
      <c r="CP124" s="147"/>
      <c r="CQ124" s="147"/>
      <c r="CR124" s="147"/>
      <c r="CS124" s="147"/>
      <c r="CT124" s="147"/>
      <c r="CU124" s="147"/>
      <c r="CV124" s="147"/>
      <c r="CW124" s="147"/>
      <c r="CX124" s="147"/>
      <c r="CY124" s="147"/>
      <c r="CZ124" s="147"/>
      <c r="DA124" s="147"/>
      <c r="DB124" s="147"/>
      <c r="DC124" s="147"/>
      <c r="DD124" s="147"/>
      <c r="DE124" s="147"/>
      <c r="DF124" s="147"/>
      <c r="DG124" s="147"/>
      <c r="DH124" s="147"/>
      <c r="DI124" s="147"/>
      <c r="DJ124" s="147"/>
      <c r="DK124" s="147"/>
      <c r="DL124" s="147"/>
      <c r="DM124" s="147"/>
      <c r="DN124" s="147"/>
      <c r="DO124" s="147"/>
      <c r="DP124" s="147"/>
      <c r="DQ124" s="147"/>
      <c r="DR124" s="147"/>
      <c r="DS124" s="147"/>
      <c r="DT124" s="147"/>
      <c r="DU124" s="147"/>
      <c r="DV124" s="147"/>
      <c r="DW124" s="147"/>
      <c r="DX124" s="147"/>
      <c r="DY124" s="147"/>
      <c r="DZ124" s="147"/>
      <c r="EA124" s="147"/>
      <c r="EB124" s="147"/>
      <c r="EC124" s="147"/>
      <c r="ED124" s="147"/>
      <c r="EE124" s="147"/>
      <c r="EF124" s="147"/>
      <c r="EG124" s="147"/>
      <c r="EH124" s="147"/>
      <c r="EI124" s="147"/>
      <c r="EJ124" s="147"/>
      <c r="EK124" s="147"/>
      <c r="EL124" s="147"/>
      <c r="EM124" s="147"/>
      <c r="EN124" s="147"/>
      <c r="EO124" s="147"/>
      <c r="EP124" s="147"/>
      <c r="EQ124" s="147"/>
      <c r="ER124" s="147"/>
      <c r="ES124" s="147"/>
      <c r="ET124" s="147"/>
      <c r="EU124" s="147"/>
      <c r="EV124" s="147"/>
      <c r="EW124" s="147"/>
      <c r="EX124" s="147"/>
      <c r="EY124" s="147"/>
      <c r="EZ124" s="147"/>
      <c r="FA124" s="147"/>
      <c r="FB124" s="147"/>
      <c r="FC124" s="147"/>
      <c r="FD124" s="147"/>
      <c r="FE124" s="147"/>
      <c r="FF124" s="147"/>
      <c r="FG124" s="147"/>
      <c r="FH124" s="147"/>
      <c r="FI124" s="147"/>
      <c r="FJ124" s="147"/>
      <c r="FK124" s="147"/>
      <c r="FL124" s="147"/>
      <c r="FM124" s="147"/>
      <c r="FN124" s="147"/>
      <c r="FO124" s="147"/>
      <c r="FP124" s="147"/>
      <c r="FQ124" s="147"/>
      <c r="FR124" s="147"/>
      <c r="FS124" s="147"/>
      <c r="FT124" s="147"/>
      <c r="FU124" s="147"/>
      <c r="FV124" s="147"/>
      <c r="FW124" s="147"/>
      <c r="FX124" s="147"/>
      <c r="FY124" s="147"/>
      <c r="FZ124" s="147"/>
      <c r="GA124" s="147"/>
      <c r="GB124" s="147"/>
      <c r="GC124" s="147"/>
      <c r="GD124" s="147"/>
      <c r="GE124" s="147"/>
      <c r="GF124" s="147"/>
      <c r="GG124" s="147"/>
      <c r="GH124" s="147"/>
      <c r="GI124" s="147"/>
      <c r="GJ124" s="147"/>
      <c r="GK124" s="147"/>
      <c r="GL124" s="147"/>
      <c r="GM124" s="147"/>
      <c r="GN124" s="147"/>
      <c r="GO124" s="147"/>
      <c r="GP124" s="147"/>
      <c r="GQ124" s="147"/>
      <c r="GR124" s="147"/>
      <c r="GS124" s="147"/>
      <c r="GT124" s="147"/>
      <c r="GU124" s="147"/>
      <c r="GV124" s="147"/>
      <c r="GW124" s="147"/>
      <c r="GX124" s="147"/>
      <c r="GY124" s="147"/>
      <c r="GZ124" s="147"/>
      <c r="HA124" s="147"/>
      <c r="HB124" s="147"/>
      <c r="HC124" s="147"/>
      <c r="HD124" s="147"/>
      <c r="HE124" s="147"/>
      <c r="HF124" s="147"/>
      <c r="HG124" s="147"/>
      <c r="HH124" s="147"/>
      <c r="HI124" s="147"/>
      <c r="HJ124" s="147"/>
      <c r="HK124" s="147"/>
      <c r="HL124" s="147"/>
      <c r="HM124" s="147"/>
      <c r="HN124" s="147"/>
      <c r="HO124" s="147"/>
      <c r="HP124" s="147"/>
      <c r="HQ124" s="147"/>
      <c r="HR124" s="147"/>
      <c r="HS124" s="147"/>
      <c r="HT124" s="147"/>
      <c r="HU124" s="147"/>
      <c r="HV124" s="147"/>
      <c r="HW124" s="147"/>
      <c r="HX124" s="147"/>
      <c r="HY124" s="147"/>
      <c r="HZ124" s="147"/>
      <c r="IA124" s="147"/>
      <c r="IB124" s="147"/>
      <c r="IC124" s="147"/>
      <c r="ID124" s="147"/>
      <c r="IE124" s="147"/>
      <c r="IF124" s="147"/>
      <c r="IG124" s="147"/>
      <c r="IH124" s="147"/>
      <c r="II124" s="147"/>
      <c r="IJ124" s="147"/>
      <c r="IK124" s="147"/>
      <c r="IL124" s="147"/>
      <c r="IM124" s="147"/>
      <c r="IN124" s="147"/>
      <c r="IO124" s="147"/>
      <c r="IP124" s="147"/>
      <c r="IQ124" s="147"/>
      <c r="IR124" s="147"/>
      <c r="IS124" s="147"/>
      <c r="IT124" s="147"/>
      <c r="IU124" s="147"/>
      <c r="IV124" s="147"/>
    </row>
    <row r="125" spans="1:256" ht="18" customHeight="1" x14ac:dyDescent="0.35">
      <c r="A125" s="1600">
        <v>119</v>
      </c>
      <c r="B125" s="147"/>
      <c r="C125" s="1639"/>
      <c r="D125" s="2022" t="s">
        <v>129</v>
      </c>
      <c r="E125" s="1637">
        <f>SUM(E110:E124)</f>
        <v>1384683</v>
      </c>
      <c r="F125" s="147"/>
      <c r="G125" s="2083"/>
      <c r="H125" s="147"/>
      <c r="I125" s="147"/>
      <c r="J125" s="2"/>
      <c r="K125" s="147"/>
      <c r="L125" s="2"/>
      <c r="M125" s="147"/>
      <c r="N125" s="147"/>
      <c r="O125" s="147"/>
      <c r="P125" s="147"/>
      <c r="Q125" s="147"/>
      <c r="R125" s="147"/>
      <c r="S125" s="147"/>
      <c r="T125" s="147"/>
      <c r="U125" s="147"/>
      <c r="V125" s="147"/>
      <c r="W125" s="147"/>
      <c r="X125" s="147"/>
      <c r="Y125" s="147"/>
      <c r="Z125" s="147"/>
      <c r="AA125" s="147"/>
      <c r="AB125" s="147"/>
      <c r="AC125" s="147"/>
      <c r="AD125" s="147"/>
      <c r="AE125" s="147"/>
      <c r="AF125" s="147"/>
      <c r="AG125" s="147"/>
      <c r="AH125" s="147"/>
      <c r="AI125" s="147"/>
      <c r="AJ125" s="147"/>
      <c r="AK125" s="147"/>
      <c r="AL125" s="147"/>
      <c r="AM125" s="147"/>
      <c r="AN125" s="147"/>
      <c r="AO125" s="147"/>
      <c r="AP125" s="147"/>
      <c r="AQ125" s="147"/>
      <c r="AR125" s="147"/>
      <c r="AS125" s="147"/>
      <c r="AT125" s="147"/>
      <c r="AU125" s="147"/>
      <c r="AV125" s="147"/>
      <c r="AW125" s="147"/>
      <c r="AX125" s="147"/>
      <c r="AY125" s="147"/>
      <c r="AZ125" s="147"/>
      <c r="BA125" s="147"/>
      <c r="BB125" s="147"/>
      <c r="BC125" s="147"/>
      <c r="BD125" s="147"/>
      <c r="BE125" s="147"/>
      <c r="BF125" s="147"/>
      <c r="BG125" s="147"/>
      <c r="BH125" s="147"/>
      <c r="BI125" s="147"/>
      <c r="BJ125" s="147"/>
      <c r="BK125" s="147"/>
      <c r="BL125" s="147"/>
      <c r="BM125" s="147"/>
      <c r="BN125" s="147"/>
      <c r="BO125" s="147"/>
      <c r="BP125" s="147"/>
      <c r="BQ125" s="147"/>
      <c r="BR125" s="147"/>
      <c r="BS125" s="147"/>
      <c r="BT125" s="147"/>
      <c r="BU125" s="147"/>
      <c r="BV125" s="147"/>
      <c r="BW125" s="147"/>
      <c r="BX125" s="147"/>
      <c r="BY125" s="147"/>
      <c r="BZ125" s="147"/>
      <c r="CA125" s="147"/>
      <c r="CB125" s="147"/>
      <c r="CC125" s="147"/>
      <c r="CD125" s="147"/>
      <c r="CE125" s="147"/>
      <c r="CF125" s="147"/>
      <c r="CG125" s="147"/>
      <c r="CH125" s="147"/>
      <c r="CI125" s="147"/>
      <c r="CJ125" s="147"/>
      <c r="CK125" s="147"/>
      <c r="CL125" s="147"/>
      <c r="CM125" s="147"/>
      <c r="CN125" s="147"/>
      <c r="CO125" s="147"/>
      <c r="CP125" s="147"/>
      <c r="CQ125" s="147"/>
      <c r="CR125" s="147"/>
      <c r="CS125" s="147"/>
      <c r="CT125" s="147"/>
      <c r="CU125" s="147"/>
      <c r="CV125" s="147"/>
      <c r="CW125" s="147"/>
      <c r="CX125" s="147"/>
      <c r="CY125" s="147"/>
      <c r="CZ125" s="147"/>
      <c r="DA125" s="147"/>
      <c r="DB125" s="147"/>
      <c r="DC125" s="147"/>
      <c r="DD125" s="147"/>
      <c r="DE125" s="147"/>
      <c r="DF125" s="147"/>
      <c r="DG125" s="147"/>
      <c r="DH125" s="147"/>
      <c r="DI125" s="147"/>
      <c r="DJ125" s="147"/>
      <c r="DK125" s="147"/>
      <c r="DL125" s="147"/>
      <c r="DM125" s="147"/>
      <c r="DN125" s="147"/>
      <c r="DO125" s="147"/>
      <c r="DP125" s="147"/>
      <c r="DQ125" s="147"/>
      <c r="DR125" s="147"/>
      <c r="DS125" s="147"/>
      <c r="DT125" s="147"/>
      <c r="DU125" s="147"/>
      <c r="DV125" s="147"/>
      <c r="DW125" s="147"/>
      <c r="DX125" s="147"/>
      <c r="DY125" s="147"/>
      <c r="DZ125" s="147"/>
      <c r="EA125" s="147"/>
      <c r="EB125" s="147"/>
      <c r="EC125" s="147"/>
      <c r="ED125" s="147"/>
      <c r="EE125" s="147"/>
      <c r="EF125" s="147"/>
      <c r="EG125" s="147"/>
      <c r="EH125" s="147"/>
      <c r="EI125" s="147"/>
      <c r="EJ125" s="147"/>
      <c r="EK125" s="147"/>
      <c r="EL125" s="147"/>
      <c r="EM125" s="147"/>
      <c r="EN125" s="147"/>
      <c r="EO125" s="147"/>
      <c r="EP125" s="147"/>
      <c r="EQ125" s="147"/>
      <c r="ER125" s="147"/>
      <c r="ES125" s="147"/>
      <c r="ET125" s="147"/>
      <c r="EU125" s="147"/>
      <c r="EV125" s="147"/>
      <c r="EW125" s="147"/>
      <c r="EX125" s="147"/>
      <c r="EY125" s="147"/>
      <c r="EZ125" s="147"/>
      <c r="FA125" s="147"/>
      <c r="FB125" s="147"/>
      <c r="FC125" s="147"/>
      <c r="FD125" s="147"/>
      <c r="FE125" s="147"/>
      <c r="FF125" s="147"/>
      <c r="FG125" s="147"/>
      <c r="FH125" s="147"/>
      <c r="FI125" s="147"/>
      <c r="FJ125" s="147"/>
      <c r="FK125" s="147"/>
      <c r="FL125" s="147"/>
      <c r="FM125" s="147"/>
      <c r="FN125" s="147"/>
      <c r="FO125" s="147"/>
      <c r="FP125" s="147"/>
      <c r="FQ125" s="147"/>
      <c r="FR125" s="147"/>
      <c r="FS125" s="147"/>
      <c r="FT125" s="147"/>
      <c r="FU125" s="147"/>
      <c r="FV125" s="147"/>
      <c r="FW125" s="147"/>
      <c r="FX125" s="147"/>
      <c r="FY125" s="147"/>
      <c r="FZ125" s="147"/>
      <c r="GA125" s="147"/>
      <c r="GB125" s="147"/>
      <c r="GC125" s="147"/>
      <c r="GD125" s="147"/>
      <c r="GE125" s="147"/>
      <c r="GF125" s="147"/>
      <c r="GG125" s="147"/>
      <c r="GH125" s="147"/>
      <c r="GI125" s="147"/>
      <c r="GJ125" s="147"/>
      <c r="GK125" s="147"/>
      <c r="GL125" s="147"/>
      <c r="GM125" s="147"/>
      <c r="GN125" s="147"/>
      <c r="GO125" s="147"/>
      <c r="GP125" s="147"/>
      <c r="GQ125" s="147"/>
      <c r="GR125" s="147"/>
      <c r="GS125" s="147"/>
      <c r="GT125" s="147"/>
      <c r="GU125" s="147"/>
      <c r="GV125" s="147"/>
      <c r="GW125" s="147"/>
      <c r="GX125" s="147"/>
      <c r="GY125" s="147"/>
      <c r="GZ125" s="147"/>
      <c r="HA125" s="147"/>
      <c r="HB125" s="147"/>
      <c r="HC125" s="147"/>
      <c r="HD125" s="147"/>
      <c r="HE125" s="147"/>
      <c r="HF125" s="147"/>
      <c r="HG125" s="147"/>
      <c r="HH125" s="147"/>
      <c r="HI125" s="147"/>
      <c r="HJ125" s="147"/>
      <c r="HK125" s="147"/>
      <c r="HL125" s="147"/>
      <c r="HM125" s="147"/>
      <c r="HN125" s="147"/>
      <c r="HO125" s="147"/>
      <c r="HP125" s="147"/>
      <c r="HQ125" s="147"/>
      <c r="HR125" s="147"/>
      <c r="HS125" s="147"/>
      <c r="HT125" s="147"/>
      <c r="HU125" s="147"/>
      <c r="HV125" s="147"/>
      <c r="HW125" s="147"/>
      <c r="HX125" s="147"/>
      <c r="HY125" s="147"/>
      <c r="HZ125" s="147"/>
      <c r="IA125" s="147"/>
      <c r="IB125" s="147"/>
      <c r="IC125" s="147"/>
      <c r="ID125" s="147"/>
      <c r="IE125" s="147"/>
      <c r="IF125" s="147"/>
      <c r="IG125" s="147"/>
      <c r="IH125" s="147"/>
      <c r="II125" s="147"/>
      <c r="IJ125" s="147"/>
      <c r="IK125" s="147"/>
      <c r="IL125" s="147"/>
      <c r="IM125" s="147"/>
      <c r="IN125" s="147"/>
      <c r="IO125" s="147"/>
      <c r="IP125" s="147"/>
      <c r="IQ125" s="147"/>
      <c r="IR125" s="147"/>
      <c r="IS125" s="147"/>
      <c r="IT125" s="147"/>
      <c r="IU125" s="147"/>
      <c r="IV125" s="147"/>
    </row>
    <row r="126" spans="1:256" ht="24.95" customHeight="1" thickBot="1" x14ac:dyDescent="0.35">
      <c r="A126" s="1600">
        <v>120</v>
      </c>
      <c r="B126" s="1646"/>
      <c r="C126" s="1646"/>
      <c r="D126" s="2022" t="s">
        <v>1009</v>
      </c>
      <c r="E126" s="2023">
        <f>E108+E125+E101</f>
        <v>4685386</v>
      </c>
      <c r="F126" s="1634"/>
      <c r="G126" s="2082"/>
      <c r="H126" s="2104"/>
      <c r="I126" s="1634"/>
      <c r="J126" s="705"/>
      <c r="K126" s="1634"/>
      <c r="L126" s="1640"/>
      <c r="M126" s="1634"/>
      <c r="N126" s="1634"/>
      <c r="O126" s="1634"/>
      <c r="P126" s="1634"/>
      <c r="Q126" s="1634"/>
      <c r="R126" s="1634"/>
      <c r="S126" s="1634"/>
      <c r="T126" s="1634"/>
      <c r="U126" s="1634"/>
      <c r="V126" s="1634"/>
      <c r="W126" s="1634"/>
      <c r="X126" s="1634"/>
      <c r="Y126" s="1634"/>
      <c r="Z126" s="1634"/>
      <c r="AA126" s="1634"/>
      <c r="AB126" s="1634"/>
      <c r="AC126" s="1634"/>
      <c r="AD126" s="1634"/>
      <c r="AE126" s="1634"/>
      <c r="AF126" s="1634"/>
      <c r="AG126" s="1634"/>
      <c r="AH126" s="1634"/>
      <c r="AI126" s="1634"/>
      <c r="AJ126" s="1634"/>
      <c r="AK126" s="1634"/>
      <c r="AL126" s="1634"/>
      <c r="AM126" s="1634"/>
      <c r="AN126" s="1634"/>
      <c r="AO126" s="1634"/>
      <c r="AP126" s="1634"/>
      <c r="AQ126" s="1634"/>
      <c r="AR126" s="1634"/>
      <c r="AS126" s="1634"/>
      <c r="AT126" s="1634"/>
      <c r="AU126" s="1634"/>
      <c r="AV126" s="1634"/>
      <c r="AW126" s="1634"/>
      <c r="AX126" s="1634"/>
      <c r="AY126" s="1634"/>
      <c r="AZ126" s="1634"/>
      <c r="BA126" s="1634"/>
      <c r="BB126" s="1634"/>
      <c r="BC126" s="1634"/>
      <c r="BD126" s="1634"/>
      <c r="BE126" s="1634"/>
      <c r="BF126" s="1634"/>
      <c r="BG126" s="1634"/>
      <c r="BH126" s="1634"/>
      <c r="BI126" s="1634"/>
      <c r="BJ126" s="1634"/>
      <c r="BK126" s="1634"/>
      <c r="BL126" s="1634"/>
      <c r="BM126" s="1634"/>
      <c r="BN126" s="1634"/>
      <c r="BO126" s="1634"/>
      <c r="BP126" s="1634"/>
      <c r="BQ126" s="1634"/>
      <c r="BR126" s="1634"/>
      <c r="BS126" s="1634"/>
      <c r="BT126" s="1634"/>
      <c r="BU126" s="1634"/>
      <c r="BV126" s="1634"/>
      <c r="BW126" s="1634"/>
      <c r="BX126" s="1634"/>
      <c r="BY126" s="1634"/>
      <c r="BZ126" s="1634"/>
      <c r="CA126" s="1634"/>
      <c r="CB126" s="1634"/>
      <c r="CC126" s="1634"/>
      <c r="CD126" s="1634"/>
      <c r="CE126" s="1634"/>
      <c r="CF126" s="1634"/>
      <c r="CG126" s="1634"/>
      <c r="CH126" s="1634"/>
      <c r="CI126" s="1634"/>
      <c r="CJ126" s="1634"/>
      <c r="CK126" s="1634"/>
      <c r="CL126" s="1634"/>
      <c r="CM126" s="1634"/>
      <c r="CN126" s="1634"/>
      <c r="CO126" s="1634"/>
      <c r="CP126" s="1634"/>
      <c r="CQ126" s="1634"/>
      <c r="CR126" s="1634"/>
      <c r="CS126" s="1634"/>
      <c r="CT126" s="1634"/>
      <c r="CU126" s="1634"/>
      <c r="CV126" s="1634"/>
      <c r="CW126" s="1634"/>
      <c r="CX126" s="1634"/>
      <c r="CY126" s="1634"/>
      <c r="CZ126" s="1634"/>
      <c r="DA126" s="1634"/>
      <c r="DB126" s="1634"/>
      <c r="DC126" s="1634"/>
      <c r="DD126" s="1634"/>
      <c r="DE126" s="1634"/>
      <c r="DF126" s="1634"/>
      <c r="DG126" s="1634"/>
      <c r="DH126" s="1634"/>
      <c r="DI126" s="1634"/>
      <c r="DJ126" s="1634"/>
      <c r="DK126" s="1634"/>
      <c r="DL126" s="1634"/>
      <c r="DM126" s="1634"/>
      <c r="DN126" s="1634"/>
      <c r="DO126" s="1634"/>
      <c r="DP126" s="1634"/>
      <c r="DQ126" s="1634"/>
      <c r="DR126" s="1634"/>
      <c r="DS126" s="1634"/>
      <c r="DT126" s="1634"/>
      <c r="DU126" s="1634"/>
      <c r="DV126" s="1634"/>
      <c r="DW126" s="1634"/>
      <c r="DX126" s="1634"/>
      <c r="DY126" s="1634"/>
      <c r="DZ126" s="1634"/>
      <c r="EA126" s="1634"/>
      <c r="EB126" s="1634"/>
      <c r="EC126" s="1634"/>
      <c r="ED126" s="1634"/>
      <c r="EE126" s="1634"/>
      <c r="EF126" s="1634"/>
      <c r="EG126" s="1634"/>
      <c r="EH126" s="1634"/>
      <c r="EI126" s="1634"/>
      <c r="EJ126" s="1634"/>
      <c r="EK126" s="1634"/>
      <c r="EL126" s="1634"/>
      <c r="EM126" s="1634"/>
      <c r="EN126" s="1634"/>
      <c r="EO126" s="1634"/>
      <c r="EP126" s="1634"/>
      <c r="EQ126" s="1634"/>
      <c r="ER126" s="1634"/>
      <c r="ES126" s="1634"/>
      <c r="ET126" s="1634"/>
      <c r="EU126" s="1634"/>
      <c r="EV126" s="1634"/>
      <c r="EW126" s="1634"/>
      <c r="EX126" s="1634"/>
      <c r="EY126" s="1634"/>
      <c r="EZ126" s="1634"/>
      <c r="FA126" s="1634"/>
      <c r="FB126" s="1634"/>
      <c r="FC126" s="1634"/>
      <c r="FD126" s="1634"/>
      <c r="FE126" s="1634"/>
      <c r="FF126" s="1634"/>
      <c r="FG126" s="1634"/>
      <c r="FH126" s="1634"/>
      <c r="FI126" s="1634"/>
      <c r="FJ126" s="1634"/>
      <c r="FK126" s="1634"/>
      <c r="FL126" s="1634"/>
      <c r="FM126" s="1634"/>
      <c r="FN126" s="1634"/>
      <c r="FO126" s="1634"/>
      <c r="FP126" s="1634"/>
      <c r="FQ126" s="1634"/>
      <c r="FR126" s="1634"/>
      <c r="FS126" s="1634"/>
      <c r="FT126" s="1634"/>
      <c r="FU126" s="1634"/>
      <c r="FV126" s="1634"/>
      <c r="FW126" s="1634"/>
      <c r="FX126" s="1634"/>
      <c r="FY126" s="1634"/>
      <c r="FZ126" s="1634"/>
      <c r="GA126" s="1634"/>
      <c r="GB126" s="1634"/>
      <c r="GC126" s="1634"/>
      <c r="GD126" s="1634"/>
      <c r="GE126" s="1634"/>
      <c r="GF126" s="1634"/>
      <c r="GG126" s="1634"/>
      <c r="GH126" s="1634"/>
      <c r="GI126" s="1634"/>
      <c r="GJ126" s="1634"/>
      <c r="GK126" s="1634"/>
      <c r="GL126" s="1634"/>
      <c r="GM126" s="1634"/>
      <c r="GN126" s="1634"/>
      <c r="GO126" s="1634"/>
      <c r="GP126" s="1634"/>
      <c r="GQ126" s="1634"/>
      <c r="GR126" s="1634"/>
      <c r="GS126" s="1634"/>
      <c r="GT126" s="1634"/>
      <c r="GU126" s="1634"/>
      <c r="GV126" s="1634"/>
      <c r="GW126" s="1634"/>
      <c r="GX126" s="1634"/>
      <c r="GY126" s="1634"/>
      <c r="GZ126" s="1634"/>
      <c r="HA126" s="1634"/>
      <c r="HB126" s="1634"/>
      <c r="HC126" s="1634"/>
      <c r="HD126" s="1634"/>
      <c r="HE126" s="1634"/>
      <c r="HF126" s="1634"/>
      <c r="HG126" s="1634"/>
      <c r="HH126" s="1634"/>
      <c r="HI126" s="1634"/>
      <c r="HJ126" s="1634"/>
      <c r="HK126" s="1634"/>
      <c r="HL126" s="1634"/>
      <c r="HM126" s="1634"/>
      <c r="HN126" s="1634"/>
      <c r="HO126" s="1634"/>
      <c r="HP126" s="1634"/>
      <c r="HQ126" s="1634"/>
      <c r="HR126" s="1634"/>
      <c r="HS126" s="1634"/>
      <c r="HT126" s="1634"/>
      <c r="HU126" s="1634"/>
      <c r="HV126" s="1634"/>
      <c r="HW126" s="1634"/>
      <c r="HX126" s="1634"/>
      <c r="HY126" s="1634"/>
      <c r="HZ126" s="1634"/>
      <c r="IA126" s="1634"/>
      <c r="IB126" s="1634"/>
      <c r="IC126" s="1634"/>
      <c r="ID126" s="1634"/>
      <c r="IE126" s="1634"/>
      <c r="IF126" s="1634"/>
      <c r="IG126" s="1634"/>
      <c r="IH126" s="1634"/>
      <c r="II126" s="1634"/>
      <c r="IJ126" s="1634"/>
      <c r="IK126" s="1634"/>
      <c r="IL126" s="1634"/>
      <c r="IM126" s="1634"/>
      <c r="IN126" s="1634"/>
      <c r="IO126" s="1634"/>
      <c r="IP126" s="1634"/>
      <c r="IQ126" s="1634"/>
      <c r="IR126" s="1634"/>
      <c r="IS126" s="1634"/>
      <c r="IT126" s="1634"/>
      <c r="IU126" s="1634"/>
      <c r="IV126" s="1634"/>
    </row>
    <row r="127" spans="1:256" ht="20.100000000000001" customHeight="1" thickTop="1" thickBot="1" x14ac:dyDescent="0.35">
      <c r="A127" s="1600">
        <v>121</v>
      </c>
      <c r="B127" s="2032"/>
      <c r="C127" s="2032"/>
      <c r="D127" s="2033" t="s">
        <v>961</v>
      </c>
      <c r="E127" s="2034">
        <f>E126</f>
        <v>4685386</v>
      </c>
      <c r="F127" s="23"/>
      <c r="G127" s="1923"/>
      <c r="H127" s="23"/>
      <c r="I127" s="23"/>
      <c r="J127" s="704"/>
      <c r="K127" s="23"/>
      <c r="L127" s="704"/>
      <c r="M127" s="23"/>
      <c r="N127" s="23"/>
      <c r="O127" s="23"/>
      <c r="P127" s="23"/>
      <c r="Q127" s="23"/>
      <c r="R127" s="23"/>
      <c r="S127" s="23"/>
      <c r="T127" s="23"/>
      <c r="U127" s="23"/>
      <c r="V127" s="23"/>
      <c r="W127" s="23"/>
      <c r="X127" s="23"/>
      <c r="Y127" s="23"/>
      <c r="Z127" s="23"/>
      <c r="AA127" s="23"/>
      <c r="AB127" s="23"/>
      <c r="AC127" s="23"/>
      <c r="AD127" s="23"/>
      <c r="AE127" s="23"/>
      <c r="AF127" s="23"/>
      <c r="AG127" s="23"/>
      <c r="AH127" s="23"/>
      <c r="AI127" s="23"/>
      <c r="AJ127" s="23"/>
      <c r="AK127" s="23"/>
      <c r="AL127" s="23"/>
      <c r="AM127" s="23"/>
      <c r="AN127" s="23"/>
      <c r="AO127" s="23"/>
      <c r="AP127" s="23"/>
      <c r="AQ127" s="23"/>
      <c r="AR127" s="23"/>
      <c r="AS127" s="23"/>
      <c r="AT127" s="23"/>
      <c r="AU127" s="23"/>
      <c r="AV127" s="23"/>
      <c r="AW127" s="23"/>
      <c r="AX127" s="23"/>
      <c r="AY127" s="23"/>
      <c r="AZ127" s="23"/>
      <c r="BA127" s="23"/>
      <c r="BB127" s="23"/>
      <c r="BC127" s="23"/>
      <c r="BD127" s="23"/>
      <c r="BE127" s="23"/>
      <c r="BF127" s="23"/>
      <c r="BG127" s="23"/>
      <c r="BH127" s="23"/>
      <c r="BI127" s="23"/>
      <c r="BJ127" s="23"/>
      <c r="BK127" s="23"/>
      <c r="BL127" s="23"/>
      <c r="BM127" s="23"/>
      <c r="BN127" s="23"/>
      <c r="BO127" s="23"/>
      <c r="BP127" s="23"/>
      <c r="BQ127" s="23"/>
      <c r="BR127" s="23"/>
      <c r="BS127" s="23"/>
      <c r="BT127" s="23"/>
      <c r="BU127" s="23"/>
      <c r="BV127" s="23"/>
      <c r="BW127" s="23"/>
      <c r="BX127" s="23"/>
      <c r="BY127" s="23"/>
      <c r="BZ127" s="23"/>
      <c r="CA127" s="23"/>
      <c r="CB127" s="23"/>
      <c r="CC127" s="23"/>
      <c r="CD127" s="23"/>
      <c r="CE127" s="23"/>
      <c r="CF127" s="23"/>
      <c r="CG127" s="23"/>
      <c r="CH127" s="23"/>
      <c r="CI127" s="23"/>
      <c r="CJ127" s="23"/>
      <c r="CK127" s="23"/>
      <c r="CL127" s="23"/>
      <c r="CM127" s="23"/>
      <c r="CN127" s="23"/>
      <c r="CO127" s="23"/>
      <c r="CP127" s="23"/>
      <c r="CQ127" s="23"/>
      <c r="CR127" s="23"/>
      <c r="CS127" s="23"/>
      <c r="CT127" s="23"/>
      <c r="CU127" s="23"/>
      <c r="CV127" s="23"/>
      <c r="CW127" s="23"/>
      <c r="CX127" s="23"/>
      <c r="CY127" s="23"/>
      <c r="CZ127" s="23"/>
      <c r="DA127" s="23"/>
      <c r="DB127" s="23"/>
      <c r="DC127" s="23"/>
      <c r="DD127" s="23"/>
      <c r="DE127" s="23"/>
      <c r="DF127" s="23"/>
      <c r="DG127" s="23"/>
      <c r="DH127" s="23"/>
      <c r="DI127" s="23"/>
      <c r="DJ127" s="23"/>
      <c r="DK127" s="23"/>
      <c r="DL127" s="23"/>
      <c r="DM127" s="23"/>
      <c r="DN127" s="23"/>
      <c r="DO127" s="23"/>
      <c r="DP127" s="23"/>
      <c r="DQ127" s="23"/>
      <c r="DR127" s="23"/>
      <c r="DS127" s="23"/>
      <c r="DT127" s="23"/>
      <c r="DU127" s="23"/>
      <c r="DV127" s="23"/>
      <c r="DW127" s="23"/>
      <c r="DX127" s="23"/>
      <c r="DY127" s="23"/>
      <c r="DZ127" s="23"/>
      <c r="EA127" s="23"/>
      <c r="EB127" s="23"/>
      <c r="EC127" s="23"/>
      <c r="ED127" s="23"/>
      <c r="EE127" s="23"/>
      <c r="EF127" s="23"/>
      <c r="EG127" s="23"/>
      <c r="EH127" s="23"/>
      <c r="EI127" s="23"/>
      <c r="EJ127" s="23"/>
      <c r="EK127" s="23"/>
      <c r="EL127" s="23"/>
      <c r="EM127" s="23"/>
      <c r="EN127" s="23"/>
      <c r="EO127" s="23"/>
      <c r="EP127" s="23"/>
      <c r="EQ127" s="23"/>
      <c r="ER127" s="23"/>
      <c r="ES127" s="23"/>
      <c r="ET127" s="23"/>
      <c r="EU127" s="23"/>
      <c r="EV127" s="23"/>
      <c r="EW127" s="23"/>
      <c r="EX127" s="23"/>
      <c r="EY127" s="23"/>
      <c r="EZ127" s="23"/>
      <c r="FA127" s="23"/>
      <c r="FB127" s="23"/>
      <c r="FC127" s="23"/>
      <c r="FD127" s="23"/>
      <c r="FE127" s="23"/>
      <c r="FF127" s="23"/>
      <c r="FG127" s="23"/>
      <c r="FH127" s="23"/>
      <c r="FI127" s="23"/>
      <c r="FJ127" s="23"/>
      <c r="FK127" s="23"/>
      <c r="FL127" s="23"/>
      <c r="FM127" s="23"/>
      <c r="FN127" s="23"/>
      <c r="FO127" s="23"/>
      <c r="FP127" s="23"/>
      <c r="FQ127" s="23"/>
      <c r="FR127" s="23"/>
      <c r="FS127" s="23"/>
      <c r="FT127" s="23"/>
      <c r="FU127" s="23"/>
      <c r="FV127" s="23"/>
      <c r="FW127" s="23"/>
      <c r="FX127" s="23"/>
      <c r="FY127" s="23"/>
      <c r="FZ127" s="23"/>
      <c r="GA127" s="23"/>
      <c r="GB127" s="23"/>
      <c r="GC127" s="23"/>
      <c r="GD127" s="23"/>
      <c r="GE127" s="23"/>
      <c r="GF127" s="23"/>
      <c r="GG127" s="23"/>
      <c r="GH127" s="23"/>
      <c r="GI127" s="23"/>
      <c r="GJ127" s="23"/>
      <c r="GK127" s="23"/>
      <c r="GL127" s="23"/>
      <c r="GM127" s="23"/>
      <c r="GN127" s="23"/>
      <c r="GO127" s="23"/>
      <c r="GP127" s="23"/>
      <c r="GQ127" s="23"/>
      <c r="GR127" s="23"/>
      <c r="GS127" s="23"/>
      <c r="GT127" s="23"/>
      <c r="GU127" s="23"/>
      <c r="GV127" s="23"/>
      <c r="GW127" s="23"/>
      <c r="GX127" s="23"/>
      <c r="GY127" s="23"/>
      <c r="GZ127" s="23"/>
      <c r="HA127" s="23"/>
      <c r="HB127" s="23"/>
      <c r="HC127" s="23"/>
      <c r="HD127" s="23"/>
      <c r="HE127" s="23"/>
      <c r="HF127" s="23"/>
      <c r="HG127" s="23"/>
      <c r="HH127" s="23"/>
      <c r="HI127" s="23"/>
      <c r="HJ127" s="23"/>
      <c r="HK127" s="23"/>
      <c r="HL127" s="23"/>
      <c r="HM127" s="23"/>
      <c r="HN127" s="23"/>
      <c r="HO127" s="23"/>
      <c r="HP127" s="23"/>
      <c r="HQ127" s="23"/>
      <c r="HR127" s="23"/>
      <c r="HS127" s="23"/>
      <c r="HT127" s="23"/>
      <c r="HU127" s="23"/>
      <c r="HV127" s="23"/>
      <c r="HW127" s="23"/>
      <c r="HX127" s="23"/>
      <c r="HY127" s="23"/>
      <c r="HZ127" s="23"/>
      <c r="IA127" s="23"/>
      <c r="IB127" s="23"/>
      <c r="IC127" s="23"/>
      <c r="ID127" s="23"/>
      <c r="IE127" s="23"/>
      <c r="IF127" s="23"/>
      <c r="IG127" s="23"/>
      <c r="IH127" s="23"/>
      <c r="II127" s="23"/>
      <c r="IJ127" s="23"/>
      <c r="IK127" s="23"/>
      <c r="IL127" s="23"/>
      <c r="IM127" s="23"/>
      <c r="IN127" s="23"/>
      <c r="IO127" s="23"/>
      <c r="IP127" s="23"/>
      <c r="IQ127" s="23"/>
      <c r="IR127" s="23"/>
      <c r="IS127" s="23"/>
      <c r="IT127" s="23"/>
      <c r="IU127" s="23"/>
      <c r="IV127" s="23"/>
    </row>
    <row r="128" spans="1:256" ht="24.95" customHeight="1" thickTop="1" x14ac:dyDescent="0.35">
      <c r="A128" s="1600">
        <v>122</v>
      </c>
      <c r="B128" s="148"/>
      <c r="C128" s="1293" t="s">
        <v>138</v>
      </c>
      <c r="D128" s="1642" t="s">
        <v>962</v>
      </c>
      <c r="E128" s="68"/>
      <c r="F128" s="148"/>
      <c r="G128" s="2084"/>
      <c r="H128" s="148"/>
      <c r="I128" s="148"/>
      <c r="J128" s="1925"/>
      <c r="K128" s="148"/>
      <c r="L128" s="1925"/>
      <c r="M128" s="148"/>
      <c r="N128" s="148"/>
      <c r="O128" s="148"/>
      <c r="P128" s="148"/>
      <c r="Q128" s="148"/>
      <c r="R128" s="148"/>
      <c r="S128" s="148"/>
      <c r="T128" s="148"/>
      <c r="U128" s="148"/>
      <c r="V128" s="148"/>
      <c r="W128" s="148"/>
      <c r="X128" s="148"/>
      <c r="Y128" s="148"/>
      <c r="Z128" s="148"/>
      <c r="AA128" s="148"/>
      <c r="AB128" s="148"/>
      <c r="AC128" s="148"/>
      <c r="AD128" s="148"/>
      <c r="AE128" s="148"/>
      <c r="AF128" s="148"/>
      <c r="AG128" s="148"/>
      <c r="AH128" s="148"/>
      <c r="AI128" s="148"/>
      <c r="AJ128" s="148"/>
      <c r="AK128" s="148"/>
      <c r="AL128" s="148"/>
      <c r="AM128" s="148"/>
      <c r="AN128" s="148"/>
      <c r="AO128" s="148"/>
      <c r="AP128" s="148"/>
      <c r="AQ128" s="148"/>
      <c r="AR128" s="148"/>
      <c r="AS128" s="148"/>
      <c r="AT128" s="148"/>
      <c r="AU128" s="148"/>
      <c r="AV128" s="148"/>
      <c r="AW128" s="148"/>
      <c r="AX128" s="148"/>
      <c r="AY128" s="148"/>
      <c r="AZ128" s="148"/>
      <c r="BA128" s="148"/>
      <c r="BB128" s="148"/>
      <c r="BC128" s="148"/>
      <c r="BD128" s="148"/>
      <c r="BE128" s="148"/>
      <c r="BF128" s="148"/>
      <c r="BG128" s="148"/>
      <c r="BH128" s="148"/>
      <c r="BI128" s="148"/>
      <c r="BJ128" s="148"/>
      <c r="BK128" s="148"/>
      <c r="BL128" s="148"/>
      <c r="BM128" s="148"/>
      <c r="BN128" s="148"/>
      <c r="BO128" s="148"/>
      <c r="BP128" s="148"/>
      <c r="BQ128" s="148"/>
      <c r="BR128" s="148"/>
      <c r="BS128" s="148"/>
      <c r="BT128" s="148"/>
      <c r="BU128" s="148"/>
      <c r="BV128" s="148"/>
      <c r="BW128" s="148"/>
      <c r="BX128" s="148"/>
      <c r="BY128" s="148"/>
      <c r="BZ128" s="148"/>
      <c r="CA128" s="148"/>
      <c r="CB128" s="148"/>
      <c r="CC128" s="148"/>
      <c r="CD128" s="148"/>
      <c r="CE128" s="148"/>
      <c r="CF128" s="148"/>
      <c r="CG128" s="148"/>
      <c r="CH128" s="148"/>
      <c r="CI128" s="148"/>
      <c r="CJ128" s="148"/>
      <c r="CK128" s="148"/>
      <c r="CL128" s="148"/>
      <c r="CM128" s="148"/>
      <c r="CN128" s="148"/>
      <c r="CO128" s="148"/>
      <c r="CP128" s="148"/>
      <c r="CQ128" s="148"/>
      <c r="CR128" s="148"/>
      <c r="CS128" s="148"/>
      <c r="CT128" s="148"/>
      <c r="CU128" s="148"/>
      <c r="CV128" s="148"/>
      <c r="CW128" s="148"/>
      <c r="CX128" s="148"/>
      <c r="CY128" s="148"/>
      <c r="CZ128" s="148"/>
      <c r="DA128" s="148"/>
      <c r="DB128" s="148"/>
      <c r="DC128" s="148"/>
      <c r="DD128" s="148"/>
      <c r="DE128" s="148"/>
      <c r="DF128" s="148"/>
      <c r="DG128" s="148"/>
      <c r="DH128" s="148"/>
      <c r="DI128" s="148"/>
      <c r="DJ128" s="148"/>
      <c r="DK128" s="148"/>
      <c r="DL128" s="148"/>
      <c r="DM128" s="148"/>
      <c r="DN128" s="148"/>
      <c r="DO128" s="148"/>
      <c r="DP128" s="148"/>
      <c r="DQ128" s="148"/>
      <c r="DR128" s="148"/>
      <c r="DS128" s="148"/>
      <c r="DT128" s="148"/>
      <c r="DU128" s="148"/>
      <c r="DV128" s="148"/>
      <c r="DW128" s="148"/>
      <c r="DX128" s="148"/>
      <c r="DY128" s="148"/>
      <c r="DZ128" s="148"/>
      <c r="EA128" s="148"/>
      <c r="EB128" s="148"/>
      <c r="EC128" s="148"/>
      <c r="ED128" s="148"/>
      <c r="EE128" s="148"/>
      <c r="EF128" s="148"/>
      <c r="EG128" s="148"/>
      <c r="EH128" s="148"/>
      <c r="EI128" s="148"/>
      <c r="EJ128" s="148"/>
      <c r="EK128" s="148"/>
      <c r="EL128" s="148"/>
      <c r="EM128" s="148"/>
      <c r="EN128" s="148"/>
      <c r="EO128" s="148"/>
      <c r="EP128" s="148"/>
      <c r="EQ128" s="148"/>
      <c r="ER128" s="148"/>
      <c r="ES128" s="148"/>
      <c r="ET128" s="148"/>
      <c r="EU128" s="148"/>
      <c r="EV128" s="148"/>
      <c r="EW128" s="148"/>
      <c r="EX128" s="148"/>
      <c r="EY128" s="148"/>
      <c r="EZ128" s="148"/>
      <c r="FA128" s="148"/>
      <c r="FB128" s="148"/>
      <c r="FC128" s="148"/>
      <c r="FD128" s="148"/>
      <c r="FE128" s="148"/>
      <c r="FF128" s="148"/>
      <c r="FG128" s="148"/>
      <c r="FH128" s="148"/>
      <c r="FI128" s="148"/>
      <c r="FJ128" s="148"/>
      <c r="FK128" s="148"/>
      <c r="FL128" s="148"/>
      <c r="FM128" s="148"/>
      <c r="FN128" s="148"/>
      <c r="FO128" s="148"/>
      <c r="FP128" s="148"/>
      <c r="FQ128" s="148"/>
      <c r="FR128" s="148"/>
      <c r="FS128" s="148"/>
      <c r="FT128" s="148"/>
      <c r="FU128" s="148"/>
      <c r="FV128" s="148"/>
      <c r="FW128" s="148"/>
      <c r="FX128" s="148"/>
      <c r="FY128" s="148"/>
      <c r="FZ128" s="148"/>
      <c r="GA128" s="148"/>
      <c r="GB128" s="148"/>
      <c r="GC128" s="148"/>
      <c r="GD128" s="148"/>
      <c r="GE128" s="148"/>
      <c r="GF128" s="148"/>
      <c r="GG128" s="148"/>
      <c r="GH128" s="148"/>
      <c r="GI128" s="148"/>
      <c r="GJ128" s="148"/>
      <c r="GK128" s="148"/>
      <c r="GL128" s="148"/>
      <c r="GM128" s="148"/>
      <c r="GN128" s="148"/>
      <c r="GO128" s="148"/>
      <c r="GP128" s="148"/>
      <c r="GQ128" s="148"/>
      <c r="GR128" s="148"/>
      <c r="GS128" s="148"/>
      <c r="GT128" s="148"/>
      <c r="GU128" s="148"/>
      <c r="GV128" s="148"/>
      <c r="GW128" s="148"/>
      <c r="GX128" s="148"/>
      <c r="GY128" s="148"/>
      <c r="GZ128" s="148"/>
      <c r="HA128" s="148"/>
      <c r="HB128" s="148"/>
      <c r="HC128" s="148"/>
      <c r="HD128" s="148"/>
      <c r="HE128" s="148"/>
      <c r="HF128" s="148"/>
      <c r="HG128" s="148"/>
      <c r="HH128" s="148"/>
      <c r="HI128" s="148"/>
      <c r="HJ128" s="148"/>
      <c r="HK128" s="148"/>
      <c r="HL128" s="148"/>
      <c r="HM128" s="148"/>
      <c r="HN128" s="148"/>
      <c r="HO128" s="148"/>
      <c r="HP128" s="148"/>
      <c r="HQ128" s="148"/>
      <c r="HR128" s="148"/>
      <c r="HS128" s="148"/>
      <c r="HT128" s="148"/>
      <c r="HU128" s="148"/>
      <c r="HV128" s="148"/>
      <c r="HW128" s="148"/>
      <c r="HX128" s="148"/>
      <c r="HY128" s="148"/>
      <c r="HZ128" s="148"/>
      <c r="IA128" s="148"/>
      <c r="IB128" s="148"/>
      <c r="IC128" s="148"/>
      <c r="ID128" s="148"/>
      <c r="IE128" s="148"/>
      <c r="IF128" s="148"/>
      <c r="IG128" s="148"/>
      <c r="IH128" s="148"/>
      <c r="II128" s="148"/>
      <c r="IJ128" s="148"/>
      <c r="IK128" s="148"/>
      <c r="IL128" s="148"/>
      <c r="IM128" s="148"/>
      <c r="IN128" s="148"/>
      <c r="IO128" s="148"/>
      <c r="IP128" s="148"/>
      <c r="IQ128" s="148"/>
      <c r="IR128" s="148"/>
      <c r="IS128" s="148"/>
      <c r="IT128" s="148"/>
      <c r="IU128" s="148"/>
      <c r="IV128" s="148"/>
    </row>
    <row r="129" spans="1:256" ht="24.95" customHeight="1" x14ac:dyDescent="0.35">
      <c r="A129" s="1600">
        <v>123</v>
      </c>
      <c r="B129" s="148"/>
      <c r="C129" s="1293"/>
      <c r="D129" s="1642" t="s">
        <v>39</v>
      </c>
      <c r="E129" s="68"/>
      <c r="F129" s="148"/>
      <c r="G129" s="2084"/>
      <c r="H129" s="148"/>
      <c r="I129" s="148"/>
      <c r="J129" s="1925"/>
      <c r="K129" s="148"/>
      <c r="L129" s="1925"/>
      <c r="M129" s="148"/>
      <c r="N129" s="148"/>
      <c r="O129" s="148"/>
      <c r="P129" s="148"/>
      <c r="Q129" s="148"/>
      <c r="R129" s="148"/>
      <c r="S129" s="148"/>
      <c r="T129" s="148"/>
      <c r="U129" s="148"/>
      <c r="V129" s="148"/>
      <c r="W129" s="148"/>
      <c r="X129" s="148"/>
      <c r="Y129" s="148"/>
      <c r="Z129" s="148"/>
      <c r="AA129" s="148"/>
      <c r="AB129" s="148"/>
      <c r="AC129" s="148"/>
      <c r="AD129" s="148"/>
      <c r="AE129" s="148"/>
      <c r="AF129" s="148"/>
      <c r="AG129" s="148"/>
      <c r="AH129" s="148"/>
      <c r="AI129" s="148"/>
      <c r="AJ129" s="148"/>
      <c r="AK129" s="148"/>
      <c r="AL129" s="148"/>
      <c r="AM129" s="148"/>
      <c r="AN129" s="148"/>
      <c r="AO129" s="148"/>
      <c r="AP129" s="148"/>
      <c r="AQ129" s="148"/>
      <c r="AR129" s="148"/>
      <c r="AS129" s="148"/>
      <c r="AT129" s="148"/>
      <c r="AU129" s="148"/>
      <c r="AV129" s="148"/>
      <c r="AW129" s="148"/>
      <c r="AX129" s="148"/>
      <c r="AY129" s="148"/>
      <c r="AZ129" s="148"/>
      <c r="BA129" s="148"/>
      <c r="BB129" s="148"/>
      <c r="BC129" s="148"/>
      <c r="BD129" s="148"/>
      <c r="BE129" s="148"/>
      <c r="BF129" s="148"/>
      <c r="BG129" s="148"/>
      <c r="BH129" s="148"/>
      <c r="BI129" s="148"/>
      <c r="BJ129" s="148"/>
      <c r="BK129" s="148"/>
      <c r="BL129" s="148"/>
      <c r="BM129" s="148"/>
      <c r="BN129" s="148"/>
      <c r="BO129" s="148"/>
      <c r="BP129" s="148"/>
      <c r="BQ129" s="148"/>
      <c r="BR129" s="148"/>
      <c r="BS129" s="148"/>
      <c r="BT129" s="148"/>
      <c r="BU129" s="148"/>
      <c r="BV129" s="148"/>
      <c r="BW129" s="148"/>
      <c r="BX129" s="148"/>
      <c r="BY129" s="148"/>
      <c r="BZ129" s="148"/>
      <c r="CA129" s="148"/>
      <c r="CB129" s="148"/>
      <c r="CC129" s="148"/>
      <c r="CD129" s="148"/>
      <c r="CE129" s="148"/>
      <c r="CF129" s="148"/>
      <c r="CG129" s="148"/>
      <c r="CH129" s="148"/>
      <c r="CI129" s="148"/>
      <c r="CJ129" s="148"/>
      <c r="CK129" s="148"/>
      <c r="CL129" s="148"/>
      <c r="CM129" s="148"/>
      <c r="CN129" s="148"/>
      <c r="CO129" s="148"/>
      <c r="CP129" s="148"/>
      <c r="CQ129" s="148"/>
      <c r="CR129" s="148"/>
      <c r="CS129" s="148"/>
      <c r="CT129" s="148"/>
      <c r="CU129" s="148"/>
      <c r="CV129" s="148"/>
      <c r="CW129" s="148"/>
      <c r="CX129" s="148"/>
      <c r="CY129" s="148"/>
      <c r="CZ129" s="148"/>
      <c r="DA129" s="148"/>
      <c r="DB129" s="148"/>
      <c r="DC129" s="148"/>
      <c r="DD129" s="148"/>
      <c r="DE129" s="148"/>
      <c r="DF129" s="148"/>
      <c r="DG129" s="148"/>
      <c r="DH129" s="148"/>
      <c r="DI129" s="148"/>
      <c r="DJ129" s="148"/>
      <c r="DK129" s="148"/>
      <c r="DL129" s="148"/>
      <c r="DM129" s="148"/>
      <c r="DN129" s="148"/>
      <c r="DO129" s="148"/>
      <c r="DP129" s="148"/>
      <c r="DQ129" s="148"/>
      <c r="DR129" s="148"/>
      <c r="DS129" s="148"/>
      <c r="DT129" s="148"/>
      <c r="DU129" s="148"/>
      <c r="DV129" s="148"/>
      <c r="DW129" s="148"/>
      <c r="DX129" s="148"/>
      <c r="DY129" s="148"/>
      <c r="DZ129" s="148"/>
      <c r="EA129" s="148"/>
      <c r="EB129" s="148"/>
      <c r="EC129" s="148"/>
      <c r="ED129" s="148"/>
      <c r="EE129" s="148"/>
      <c r="EF129" s="148"/>
      <c r="EG129" s="148"/>
      <c r="EH129" s="148"/>
      <c r="EI129" s="148"/>
      <c r="EJ129" s="148"/>
      <c r="EK129" s="148"/>
      <c r="EL129" s="148"/>
      <c r="EM129" s="148"/>
      <c r="EN129" s="148"/>
      <c r="EO129" s="148"/>
      <c r="EP129" s="148"/>
      <c r="EQ129" s="148"/>
      <c r="ER129" s="148"/>
      <c r="ES129" s="148"/>
      <c r="ET129" s="148"/>
      <c r="EU129" s="148"/>
      <c r="EV129" s="148"/>
      <c r="EW129" s="148"/>
      <c r="EX129" s="148"/>
      <c r="EY129" s="148"/>
      <c r="EZ129" s="148"/>
      <c r="FA129" s="148"/>
      <c r="FB129" s="148"/>
      <c r="FC129" s="148"/>
      <c r="FD129" s="148"/>
      <c r="FE129" s="148"/>
      <c r="FF129" s="148"/>
      <c r="FG129" s="148"/>
      <c r="FH129" s="148"/>
      <c r="FI129" s="148"/>
      <c r="FJ129" s="148"/>
      <c r="FK129" s="148"/>
      <c r="FL129" s="148"/>
      <c r="FM129" s="148"/>
      <c r="FN129" s="148"/>
      <c r="FO129" s="148"/>
      <c r="FP129" s="148"/>
      <c r="FQ129" s="148"/>
      <c r="FR129" s="148"/>
      <c r="FS129" s="148"/>
      <c r="FT129" s="148"/>
      <c r="FU129" s="148"/>
      <c r="FV129" s="148"/>
      <c r="FW129" s="148"/>
      <c r="FX129" s="148"/>
      <c r="FY129" s="148"/>
      <c r="FZ129" s="148"/>
      <c r="GA129" s="148"/>
      <c r="GB129" s="148"/>
      <c r="GC129" s="148"/>
      <c r="GD129" s="148"/>
      <c r="GE129" s="148"/>
      <c r="GF129" s="148"/>
      <c r="GG129" s="148"/>
      <c r="GH129" s="148"/>
      <c r="GI129" s="148"/>
      <c r="GJ129" s="148"/>
      <c r="GK129" s="148"/>
      <c r="GL129" s="148"/>
      <c r="GM129" s="148"/>
      <c r="GN129" s="148"/>
      <c r="GO129" s="148"/>
      <c r="GP129" s="148"/>
      <c r="GQ129" s="148"/>
      <c r="GR129" s="148"/>
      <c r="GS129" s="148"/>
      <c r="GT129" s="148"/>
      <c r="GU129" s="148"/>
      <c r="GV129" s="148"/>
      <c r="GW129" s="148"/>
      <c r="GX129" s="148"/>
      <c r="GY129" s="148"/>
      <c r="GZ129" s="148"/>
      <c r="HA129" s="148"/>
      <c r="HB129" s="148"/>
      <c r="HC129" s="148"/>
      <c r="HD129" s="148"/>
      <c r="HE129" s="148"/>
      <c r="HF129" s="148"/>
      <c r="HG129" s="148"/>
      <c r="HH129" s="148"/>
      <c r="HI129" s="148"/>
      <c r="HJ129" s="148"/>
      <c r="HK129" s="148"/>
      <c r="HL129" s="148"/>
      <c r="HM129" s="148"/>
      <c r="HN129" s="148"/>
      <c r="HO129" s="148"/>
      <c r="HP129" s="148"/>
      <c r="HQ129" s="148"/>
      <c r="HR129" s="148"/>
      <c r="HS129" s="148"/>
      <c r="HT129" s="148"/>
      <c r="HU129" s="148"/>
      <c r="HV129" s="148"/>
      <c r="HW129" s="148"/>
      <c r="HX129" s="148"/>
      <c r="HY129" s="148"/>
      <c r="HZ129" s="148"/>
      <c r="IA129" s="148"/>
      <c r="IB129" s="148"/>
      <c r="IC129" s="148"/>
      <c r="ID129" s="148"/>
      <c r="IE129" s="148"/>
      <c r="IF129" s="148"/>
      <c r="IG129" s="148"/>
      <c r="IH129" s="148"/>
      <c r="II129" s="148"/>
      <c r="IJ129" s="148"/>
      <c r="IK129" s="148"/>
      <c r="IL129" s="148"/>
      <c r="IM129" s="148"/>
      <c r="IN129" s="148"/>
      <c r="IO129" s="148"/>
      <c r="IP129" s="148"/>
      <c r="IQ129" s="148"/>
      <c r="IR129" s="148"/>
      <c r="IS129" s="148"/>
      <c r="IT129" s="148"/>
      <c r="IU129" s="148"/>
      <c r="IV129" s="148"/>
    </row>
    <row r="130" spans="1:256" ht="22.5" customHeight="1" x14ac:dyDescent="0.35">
      <c r="A130" s="1600">
        <v>124</v>
      </c>
      <c r="C130" s="1641"/>
      <c r="D130" s="1606" t="s">
        <v>311</v>
      </c>
      <c r="E130" s="2"/>
      <c r="G130" s="1921"/>
    </row>
    <row r="131" spans="1:256" ht="18" customHeight="1" x14ac:dyDescent="0.3">
      <c r="A131" s="1600">
        <v>125</v>
      </c>
      <c r="C131" s="1641"/>
      <c r="D131" s="1610" t="s">
        <v>1327</v>
      </c>
      <c r="E131" s="1611">
        <v>-122</v>
      </c>
      <c r="G131" s="1921"/>
    </row>
    <row r="132" spans="1:256" ht="22.5" customHeight="1" x14ac:dyDescent="0.35">
      <c r="A132" s="1600">
        <v>126</v>
      </c>
      <c r="C132" s="1641"/>
      <c r="D132" s="1606" t="s">
        <v>310</v>
      </c>
      <c r="E132" s="2"/>
      <c r="G132" s="1921"/>
    </row>
    <row r="133" spans="1:256" ht="18" customHeight="1" x14ac:dyDescent="0.3">
      <c r="A133" s="1600">
        <v>127</v>
      </c>
      <c r="C133" s="1641"/>
      <c r="D133" s="1610" t="s">
        <v>1327</v>
      </c>
      <c r="E133" s="2">
        <v>-185</v>
      </c>
      <c r="G133" s="1921"/>
    </row>
    <row r="134" spans="1:256" ht="22.5" customHeight="1" x14ac:dyDescent="0.35">
      <c r="A134" s="1600">
        <v>128</v>
      </c>
      <c r="C134" s="1641"/>
      <c r="D134" s="1606" t="s">
        <v>265</v>
      </c>
      <c r="E134" s="2"/>
      <c r="G134" s="1921"/>
    </row>
    <row r="135" spans="1:256" ht="18" customHeight="1" x14ac:dyDescent="0.3">
      <c r="A135" s="1600">
        <v>129</v>
      </c>
      <c r="C135" s="1641"/>
      <c r="D135" s="1610" t="s">
        <v>1327</v>
      </c>
      <c r="E135" s="1611">
        <v>252</v>
      </c>
      <c r="G135" s="1921"/>
    </row>
    <row r="136" spans="1:256" ht="22.5" customHeight="1" x14ac:dyDescent="0.35">
      <c r="A136" s="1600">
        <v>130</v>
      </c>
      <c r="C136" s="1641"/>
      <c r="D136" s="1606" t="s">
        <v>266</v>
      </c>
      <c r="E136" s="2"/>
      <c r="G136" s="1921"/>
    </row>
    <row r="137" spans="1:256" ht="18" customHeight="1" x14ac:dyDescent="0.3">
      <c r="A137" s="1600">
        <v>131</v>
      </c>
      <c r="C137" s="1641"/>
      <c r="D137" s="1610" t="s">
        <v>1327</v>
      </c>
      <c r="E137" s="2">
        <v>-167</v>
      </c>
      <c r="G137" s="1921"/>
    </row>
    <row r="138" spans="1:256" ht="18" customHeight="1" x14ac:dyDescent="0.35">
      <c r="A138" s="1600">
        <v>132</v>
      </c>
      <c r="C138" s="1641"/>
      <c r="D138" s="1606" t="s">
        <v>730</v>
      </c>
      <c r="E138" s="2"/>
      <c r="G138" s="1921"/>
    </row>
    <row r="139" spans="1:256" ht="18" customHeight="1" x14ac:dyDescent="0.3">
      <c r="A139" s="1600">
        <v>133</v>
      </c>
      <c r="C139" s="1641"/>
      <c r="D139" s="1610" t="s">
        <v>1345</v>
      </c>
      <c r="E139" s="2">
        <v>-600</v>
      </c>
      <c r="G139" s="1921"/>
    </row>
    <row r="140" spans="1:256" ht="18" customHeight="1" x14ac:dyDescent="0.3">
      <c r="A140" s="1600">
        <v>134</v>
      </c>
      <c r="C140" s="1641"/>
      <c r="D140" s="1610" t="s">
        <v>1269</v>
      </c>
      <c r="E140" s="2">
        <v>-4700</v>
      </c>
      <c r="G140" s="1921"/>
    </row>
    <row r="141" spans="1:256" ht="18" customHeight="1" x14ac:dyDescent="0.3">
      <c r="A141" s="1600">
        <v>135</v>
      </c>
      <c r="C141" s="1641"/>
      <c r="D141" s="1610" t="s">
        <v>1270</v>
      </c>
      <c r="E141" s="2">
        <v>4700</v>
      </c>
      <c r="G141" s="1921"/>
    </row>
    <row r="142" spans="1:256" ht="18" customHeight="1" x14ac:dyDescent="0.3">
      <c r="A142" s="1600">
        <v>136</v>
      </c>
      <c r="C142" s="1641"/>
      <c r="D142" s="1610" t="s">
        <v>1327</v>
      </c>
      <c r="E142" s="2">
        <v>-150</v>
      </c>
      <c r="G142" s="1921"/>
    </row>
    <row r="143" spans="1:256" ht="22.5" customHeight="1" x14ac:dyDescent="0.35">
      <c r="A143" s="1600">
        <v>137</v>
      </c>
      <c r="C143" s="1641"/>
      <c r="D143" s="1606" t="s">
        <v>268</v>
      </c>
      <c r="E143" s="2"/>
      <c r="G143" s="1921"/>
    </row>
    <row r="144" spans="1:256" ht="18" customHeight="1" x14ac:dyDescent="0.3">
      <c r="A144" s="1600">
        <v>138</v>
      </c>
      <c r="C144" s="1641"/>
      <c r="D144" s="1610" t="s">
        <v>1327</v>
      </c>
      <c r="E144" s="2">
        <v>-324</v>
      </c>
      <c r="G144" s="1921"/>
    </row>
    <row r="145" spans="1:7" ht="22.5" customHeight="1" x14ac:dyDescent="0.35">
      <c r="A145" s="1600">
        <v>139</v>
      </c>
      <c r="C145" s="1641"/>
      <c r="D145" s="1606" t="s">
        <v>386</v>
      </c>
      <c r="E145" s="2"/>
      <c r="G145" s="1921"/>
    </row>
    <row r="146" spans="1:7" ht="18" customHeight="1" x14ac:dyDescent="0.3">
      <c r="A146" s="1600">
        <v>140</v>
      </c>
      <c r="C146" s="1641"/>
      <c r="D146" s="1610" t="s">
        <v>1327</v>
      </c>
      <c r="E146" s="2">
        <v>-1213</v>
      </c>
      <c r="G146" s="1921"/>
    </row>
    <row r="147" spans="1:7" ht="22.5" customHeight="1" x14ac:dyDescent="0.35">
      <c r="A147" s="1600">
        <v>141</v>
      </c>
      <c r="C147" s="1641"/>
      <c r="D147" s="1606" t="s">
        <v>125</v>
      </c>
      <c r="E147" s="2"/>
      <c r="G147" s="1921"/>
    </row>
    <row r="148" spans="1:7" ht="18" customHeight="1" x14ac:dyDescent="0.3">
      <c r="A148" s="1600">
        <v>142</v>
      </c>
      <c r="C148" s="1641"/>
      <c r="D148" s="1610" t="s">
        <v>1327</v>
      </c>
      <c r="E148" s="2">
        <v>-1</v>
      </c>
      <c r="G148" s="1921"/>
    </row>
    <row r="149" spans="1:7" ht="18" customHeight="1" x14ac:dyDescent="0.35">
      <c r="A149" s="1600">
        <v>143</v>
      </c>
      <c r="C149" s="1641"/>
      <c r="D149" s="1606" t="s">
        <v>541</v>
      </c>
      <c r="E149" s="2"/>
      <c r="G149" s="1921"/>
    </row>
    <row r="150" spans="1:7" ht="18" customHeight="1" x14ac:dyDescent="0.3">
      <c r="A150" s="1600">
        <v>144</v>
      </c>
      <c r="C150" s="1641"/>
      <c r="D150" s="1610" t="s">
        <v>1327</v>
      </c>
      <c r="E150" s="2">
        <v>-1119</v>
      </c>
      <c r="G150" s="1921"/>
    </row>
    <row r="151" spans="1:7" ht="22.5" customHeight="1" x14ac:dyDescent="0.35">
      <c r="A151" s="1600">
        <v>145</v>
      </c>
      <c r="C151" s="1641"/>
      <c r="D151" s="1606" t="s">
        <v>542</v>
      </c>
      <c r="E151" s="2"/>
      <c r="G151" s="1921"/>
    </row>
    <row r="152" spans="1:7" ht="18" customHeight="1" x14ac:dyDescent="0.3">
      <c r="A152" s="1600">
        <v>146</v>
      </c>
      <c r="C152" s="1641"/>
      <c r="D152" s="1610" t="s">
        <v>1309</v>
      </c>
      <c r="E152" s="2">
        <v>5963</v>
      </c>
      <c r="G152" s="1921"/>
    </row>
    <row r="153" spans="1:7" ht="18" customHeight="1" x14ac:dyDescent="0.3">
      <c r="A153" s="1600">
        <v>147</v>
      </c>
      <c r="C153" s="1641"/>
      <c r="D153" s="1610" t="s">
        <v>1327</v>
      </c>
      <c r="E153" s="2">
        <v>1</v>
      </c>
      <c r="G153" s="1921"/>
    </row>
    <row r="154" spans="1:7" ht="22.5" customHeight="1" x14ac:dyDescent="0.35">
      <c r="A154" s="1600">
        <v>148</v>
      </c>
      <c r="C154" s="1641"/>
      <c r="D154" s="1606" t="s">
        <v>525</v>
      </c>
      <c r="E154" s="2"/>
      <c r="G154" s="1921"/>
    </row>
    <row r="155" spans="1:7" ht="18" customHeight="1" x14ac:dyDescent="0.3">
      <c r="A155" s="1600">
        <v>149</v>
      </c>
      <c r="C155" s="1641"/>
      <c r="D155" s="1610" t="s">
        <v>1346</v>
      </c>
      <c r="E155" s="2">
        <v>4918</v>
      </c>
      <c r="G155" s="1921"/>
    </row>
    <row r="156" spans="1:7" ht="18" customHeight="1" x14ac:dyDescent="0.3">
      <c r="A156" s="1600">
        <v>150</v>
      </c>
      <c r="C156" s="1641"/>
      <c r="D156" s="1610" t="s">
        <v>1327</v>
      </c>
      <c r="E156" s="2">
        <v>1</v>
      </c>
      <c r="G156" s="1921"/>
    </row>
    <row r="157" spans="1:7" ht="22.5" customHeight="1" x14ac:dyDescent="0.35">
      <c r="A157" s="1600">
        <v>151</v>
      </c>
      <c r="C157" s="1641"/>
      <c r="D157" s="1606" t="s">
        <v>25</v>
      </c>
      <c r="E157" s="2"/>
      <c r="G157" s="1921"/>
    </row>
    <row r="158" spans="1:7" ht="18" customHeight="1" x14ac:dyDescent="0.3">
      <c r="A158" s="1600">
        <v>152</v>
      </c>
      <c r="C158" s="1641"/>
      <c r="D158" s="1610" t="s">
        <v>1322</v>
      </c>
      <c r="E158" s="2">
        <v>-3863</v>
      </c>
      <c r="G158" s="1921"/>
    </row>
    <row r="159" spans="1:7" ht="18" customHeight="1" x14ac:dyDescent="0.3">
      <c r="A159" s="1600">
        <v>153</v>
      </c>
      <c r="C159" s="1641"/>
      <c r="D159" s="1617" t="s">
        <v>1323</v>
      </c>
      <c r="E159" s="1611">
        <v>-692</v>
      </c>
      <c r="G159" s="1921"/>
    </row>
    <row r="160" spans="1:7" ht="18" customHeight="1" x14ac:dyDescent="0.3">
      <c r="A160" s="1600">
        <v>154</v>
      </c>
      <c r="C160" s="1641"/>
      <c r="D160" s="1617" t="s">
        <v>1324</v>
      </c>
      <c r="E160" s="1611">
        <v>6369</v>
      </c>
      <c r="G160" s="1921"/>
    </row>
    <row r="161" spans="1:13" ht="18" customHeight="1" x14ac:dyDescent="0.3">
      <c r="A161" s="1600">
        <v>155</v>
      </c>
      <c r="C161" s="1641"/>
      <c r="D161" s="1610" t="s">
        <v>1327</v>
      </c>
      <c r="E161" s="1611">
        <v>1</v>
      </c>
      <c r="G161" s="1921"/>
    </row>
    <row r="162" spans="1:13" ht="22.5" customHeight="1" x14ac:dyDescent="0.35">
      <c r="A162" s="1600">
        <v>156</v>
      </c>
      <c r="C162" s="1641"/>
      <c r="D162" s="1606" t="s">
        <v>34</v>
      </c>
      <c r="E162" s="2"/>
      <c r="G162" s="1921"/>
    </row>
    <row r="163" spans="1:13" ht="18" customHeight="1" x14ac:dyDescent="0.3">
      <c r="A163" s="1600">
        <v>157</v>
      </c>
      <c r="C163" s="1641"/>
      <c r="D163" s="1610" t="s">
        <v>1311</v>
      </c>
      <c r="E163" s="2">
        <v>8944</v>
      </c>
      <c r="G163" s="1921"/>
    </row>
    <row r="164" spans="1:13" ht="22.5" customHeight="1" x14ac:dyDescent="0.35">
      <c r="A164" s="1600">
        <v>158</v>
      </c>
      <c r="C164" s="1641"/>
      <c r="D164" s="1606" t="s">
        <v>526</v>
      </c>
      <c r="E164" s="2"/>
      <c r="G164" s="1921"/>
    </row>
    <row r="165" spans="1:13" ht="18" customHeight="1" x14ac:dyDescent="0.3">
      <c r="A165" s="1600">
        <v>159</v>
      </c>
      <c r="C165" s="1641"/>
      <c r="D165" s="1610" t="s">
        <v>1311</v>
      </c>
      <c r="E165" s="2">
        <v>2602</v>
      </c>
      <c r="G165" s="1921"/>
    </row>
    <row r="166" spans="1:13" ht="18" customHeight="1" x14ac:dyDescent="0.3">
      <c r="A166" s="1600">
        <v>160</v>
      </c>
      <c r="C166" s="1641"/>
      <c r="D166" s="1610" t="s">
        <v>1327</v>
      </c>
      <c r="E166" s="2">
        <v>1</v>
      </c>
      <c r="G166" s="1921"/>
    </row>
    <row r="167" spans="1:13" ht="22.5" customHeight="1" x14ac:dyDescent="0.35">
      <c r="A167" s="1600">
        <v>161</v>
      </c>
      <c r="C167" s="1641"/>
      <c r="D167" s="1606" t="s">
        <v>157</v>
      </c>
      <c r="E167" s="2"/>
      <c r="G167" s="1921"/>
    </row>
    <row r="168" spans="1:13" ht="18" customHeight="1" x14ac:dyDescent="0.3">
      <c r="A168" s="1600">
        <v>162</v>
      </c>
      <c r="C168" s="1641"/>
      <c r="D168" s="1610" t="s">
        <v>1318</v>
      </c>
      <c r="E168" s="2">
        <v>34042</v>
      </c>
      <c r="G168" s="1921"/>
    </row>
    <row r="169" spans="1:13" ht="18" customHeight="1" x14ac:dyDescent="0.3">
      <c r="A169" s="1600">
        <v>163</v>
      </c>
      <c r="C169" s="1641"/>
      <c r="D169" s="1610" t="s">
        <v>1327</v>
      </c>
      <c r="E169" s="2">
        <v>-1347</v>
      </c>
      <c r="G169" s="1921"/>
    </row>
    <row r="170" spans="1:13" ht="20.100000000000001" customHeight="1" x14ac:dyDescent="0.35">
      <c r="A170" s="1600">
        <v>164</v>
      </c>
      <c r="C170" s="1641"/>
      <c r="D170" s="1606" t="s">
        <v>1127</v>
      </c>
      <c r="E170" s="2"/>
      <c r="G170" s="1921"/>
    </row>
    <row r="171" spans="1:13" ht="18" customHeight="1" x14ac:dyDescent="0.3">
      <c r="A171" s="1600">
        <v>165</v>
      </c>
      <c r="C171" s="1641"/>
      <c r="D171" s="1610" t="s">
        <v>1327</v>
      </c>
      <c r="E171" s="2">
        <v>3863</v>
      </c>
      <c r="G171" s="1921"/>
    </row>
    <row r="172" spans="1:13" ht="22.5" customHeight="1" x14ac:dyDescent="0.35">
      <c r="A172" s="1600">
        <v>166</v>
      </c>
      <c r="C172" s="1641"/>
      <c r="D172" s="1643" t="s">
        <v>955</v>
      </c>
      <c r="E172" s="1637"/>
      <c r="G172" s="1921"/>
    </row>
    <row r="173" spans="1:13" ht="18" customHeight="1" x14ac:dyDescent="0.3">
      <c r="A173" s="1600">
        <v>167</v>
      </c>
      <c r="C173" s="1641"/>
      <c r="D173" s="1610" t="s">
        <v>1327</v>
      </c>
      <c r="E173" s="2030">
        <v>61</v>
      </c>
      <c r="G173" s="1921"/>
    </row>
    <row r="174" spans="1:13" ht="24.95" customHeight="1" x14ac:dyDescent="0.3">
      <c r="A174" s="1600">
        <v>168</v>
      </c>
      <c r="C174" s="1641"/>
      <c r="D174" s="1629" t="s">
        <v>963</v>
      </c>
      <c r="E174" s="1613">
        <f>SUM(E131:E173)</f>
        <v>57235</v>
      </c>
      <c r="G174" s="1921"/>
    </row>
    <row r="175" spans="1:13" ht="23.1" customHeight="1" x14ac:dyDescent="0.35">
      <c r="A175" s="1600">
        <v>169</v>
      </c>
      <c r="C175" s="1641"/>
      <c r="D175" s="1643" t="s">
        <v>964</v>
      </c>
      <c r="G175" s="1921"/>
    </row>
    <row r="176" spans="1:13" ht="20.100000000000001" customHeight="1" x14ac:dyDescent="0.35">
      <c r="A176" s="1600">
        <v>170</v>
      </c>
      <c r="C176" s="1641"/>
      <c r="D176" s="1606" t="s">
        <v>25</v>
      </c>
      <c r="E176" s="1611"/>
      <c r="G176" s="1921"/>
      <c r="M176" s="1617"/>
    </row>
    <row r="177" spans="1:256" ht="35.25" customHeight="1" x14ac:dyDescent="0.3">
      <c r="A177" s="1600">
        <v>171</v>
      </c>
      <c r="C177" s="1641"/>
      <c r="D177" s="1667" t="s">
        <v>434</v>
      </c>
      <c r="E177" s="1611">
        <v>-684</v>
      </c>
      <c r="G177" s="1921"/>
      <c r="M177" s="1617"/>
    </row>
    <row r="178" spans="1:256" ht="20.100000000000001" customHeight="1" x14ac:dyDescent="0.3">
      <c r="A178" s="1600">
        <v>172</v>
      </c>
      <c r="C178" s="1641"/>
      <c r="D178" s="1667" t="s">
        <v>974</v>
      </c>
      <c r="E178" s="1611">
        <v>-202</v>
      </c>
      <c r="G178" s="1921"/>
      <c r="M178" s="1617"/>
    </row>
    <row r="179" spans="1:256" ht="32.25" customHeight="1" x14ac:dyDescent="0.3">
      <c r="A179" s="1600">
        <v>173</v>
      </c>
      <c r="C179" s="1641"/>
      <c r="D179" s="1667" t="s">
        <v>1175</v>
      </c>
      <c r="E179" s="1611">
        <v>-414</v>
      </c>
      <c r="G179" s="1921"/>
      <c r="M179" s="1617"/>
    </row>
    <row r="180" spans="1:256" ht="37.5" customHeight="1" x14ac:dyDescent="0.3">
      <c r="A180" s="1600">
        <v>174</v>
      </c>
      <c r="C180" s="1641"/>
      <c r="D180" s="1667" t="s">
        <v>1089</v>
      </c>
      <c r="E180" s="1611">
        <v>-105</v>
      </c>
      <c r="G180" s="1921"/>
      <c r="M180" s="1617"/>
    </row>
    <row r="181" spans="1:256" ht="20.100000000000001" customHeight="1" x14ac:dyDescent="0.3">
      <c r="A181" s="1600">
        <v>175</v>
      </c>
      <c r="C181" s="1641"/>
      <c r="D181" s="1623" t="s">
        <v>1116</v>
      </c>
      <c r="E181" s="2108">
        <f>SUM(E176:E180)</f>
        <v>-1405</v>
      </c>
      <c r="G181" s="1921"/>
      <c r="M181" s="1617"/>
    </row>
    <row r="182" spans="1:256" ht="24.95" customHeight="1" x14ac:dyDescent="0.3">
      <c r="A182" s="1600">
        <v>176</v>
      </c>
      <c r="C182" s="1641"/>
      <c r="D182" s="1623" t="s">
        <v>1106</v>
      </c>
      <c r="E182" s="1640">
        <f>E181</f>
        <v>-1405</v>
      </c>
      <c r="G182" s="1921"/>
      <c r="M182" s="1617"/>
    </row>
    <row r="183" spans="1:256" ht="24.95" customHeight="1" thickBot="1" x14ac:dyDescent="0.35">
      <c r="A183" s="1600">
        <v>177</v>
      </c>
      <c r="B183" s="1644"/>
      <c r="C183" s="1644"/>
      <c r="D183" s="1645" t="s">
        <v>1230</v>
      </c>
      <c r="E183" s="1633">
        <f>E174+E182</f>
        <v>55830</v>
      </c>
      <c r="F183" s="23"/>
      <c r="G183" s="1923"/>
      <c r="H183" s="23"/>
      <c r="I183" s="23"/>
      <c r="J183" s="704"/>
      <c r="K183" s="23"/>
      <c r="L183" s="704"/>
      <c r="M183" s="23"/>
      <c r="N183" s="23"/>
      <c r="O183" s="23"/>
      <c r="P183" s="23"/>
      <c r="Q183" s="23"/>
      <c r="R183" s="23"/>
      <c r="S183" s="23"/>
      <c r="T183" s="23"/>
      <c r="U183" s="23"/>
      <c r="V183" s="23"/>
      <c r="W183" s="23"/>
      <c r="X183" s="23"/>
      <c r="Y183" s="23"/>
      <c r="Z183" s="23"/>
      <c r="AA183" s="23"/>
      <c r="AB183" s="23"/>
      <c r="AC183" s="23"/>
      <c r="AD183" s="23"/>
      <c r="AE183" s="23"/>
      <c r="AF183" s="23"/>
      <c r="AG183" s="23"/>
      <c r="AH183" s="23"/>
      <c r="AI183" s="23"/>
      <c r="AJ183" s="23"/>
      <c r="AK183" s="23"/>
      <c r="AL183" s="23"/>
      <c r="AM183" s="23"/>
      <c r="AN183" s="23"/>
      <c r="AO183" s="23"/>
      <c r="AP183" s="23"/>
      <c r="AQ183" s="23"/>
      <c r="AR183" s="23"/>
      <c r="AS183" s="23"/>
      <c r="AT183" s="23"/>
      <c r="AU183" s="23"/>
      <c r="AV183" s="23"/>
      <c r="AW183" s="23"/>
      <c r="AX183" s="23"/>
      <c r="AY183" s="23"/>
      <c r="AZ183" s="23"/>
      <c r="BA183" s="23"/>
      <c r="BB183" s="23"/>
      <c r="BC183" s="23"/>
      <c r="BD183" s="23"/>
      <c r="BE183" s="23"/>
      <c r="BF183" s="23"/>
      <c r="BG183" s="23"/>
      <c r="BH183" s="23"/>
      <c r="BI183" s="23"/>
      <c r="BJ183" s="23"/>
      <c r="BK183" s="23"/>
      <c r="BL183" s="23"/>
      <c r="BM183" s="23"/>
      <c r="BN183" s="23"/>
      <c r="BO183" s="23"/>
      <c r="BP183" s="23"/>
      <c r="BQ183" s="23"/>
      <c r="BR183" s="23"/>
      <c r="BS183" s="23"/>
      <c r="BT183" s="23"/>
      <c r="BU183" s="23"/>
      <c r="BV183" s="23"/>
      <c r="BW183" s="23"/>
      <c r="BX183" s="23"/>
      <c r="BY183" s="23"/>
      <c r="BZ183" s="23"/>
      <c r="CA183" s="23"/>
      <c r="CB183" s="23"/>
      <c r="CC183" s="23"/>
      <c r="CD183" s="23"/>
      <c r="CE183" s="23"/>
      <c r="CF183" s="23"/>
      <c r="CG183" s="23"/>
      <c r="CH183" s="23"/>
      <c r="CI183" s="23"/>
      <c r="CJ183" s="23"/>
      <c r="CK183" s="23"/>
      <c r="CL183" s="23"/>
      <c r="CM183" s="23"/>
      <c r="CN183" s="23"/>
      <c r="CO183" s="23"/>
      <c r="CP183" s="23"/>
      <c r="CQ183" s="23"/>
      <c r="CR183" s="23"/>
      <c r="CS183" s="23"/>
      <c r="CT183" s="23"/>
      <c r="CU183" s="23"/>
      <c r="CV183" s="23"/>
      <c r="CW183" s="23"/>
      <c r="CX183" s="23"/>
      <c r="CY183" s="23"/>
      <c r="CZ183" s="23"/>
      <c r="DA183" s="23"/>
      <c r="DB183" s="23"/>
      <c r="DC183" s="23"/>
      <c r="DD183" s="23"/>
      <c r="DE183" s="23"/>
      <c r="DF183" s="23"/>
      <c r="DG183" s="23"/>
      <c r="DH183" s="23"/>
      <c r="DI183" s="23"/>
      <c r="DJ183" s="23"/>
      <c r="DK183" s="23"/>
      <c r="DL183" s="23"/>
      <c r="DM183" s="23"/>
      <c r="DN183" s="23"/>
      <c r="DO183" s="23"/>
      <c r="DP183" s="23"/>
      <c r="DQ183" s="23"/>
      <c r="DR183" s="23"/>
      <c r="DS183" s="23"/>
      <c r="DT183" s="23"/>
      <c r="DU183" s="23"/>
      <c r="DV183" s="23"/>
      <c r="DW183" s="23"/>
      <c r="DX183" s="23"/>
      <c r="DY183" s="23"/>
      <c r="DZ183" s="23"/>
      <c r="EA183" s="23"/>
      <c r="EB183" s="23"/>
      <c r="EC183" s="23"/>
      <c r="ED183" s="23"/>
      <c r="EE183" s="23"/>
      <c r="EF183" s="23"/>
      <c r="EG183" s="23"/>
      <c r="EH183" s="23"/>
      <c r="EI183" s="23"/>
      <c r="EJ183" s="23"/>
      <c r="EK183" s="23"/>
      <c r="EL183" s="23"/>
      <c r="EM183" s="23"/>
      <c r="EN183" s="23"/>
      <c r="EO183" s="23"/>
      <c r="EP183" s="23"/>
      <c r="EQ183" s="23"/>
      <c r="ER183" s="23"/>
      <c r="ES183" s="23"/>
      <c r="ET183" s="23"/>
      <c r="EU183" s="23"/>
      <c r="EV183" s="23"/>
      <c r="EW183" s="23"/>
      <c r="EX183" s="23"/>
      <c r="EY183" s="23"/>
      <c r="EZ183" s="23"/>
      <c r="FA183" s="23"/>
      <c r="FB183" s="23"/>
      <c r="FC183" s="23"/>
      <c r="FD183" s="23"/>
      <c r="FE183" s="23"/>
      <c r="FF183" s="23"/>
      <c r="FG183" s="23"/>
      <c r="FH183" s="23"/>
      <c r="FI183" s="23"/>
      <c r="FJ183" s="23"/>
      <c r="FK183" s="23"/>
      <c r="FL183" s="23"/>
      <c r="FM183" s="23"/>
      <c r="FN183" s="23"/>
      <c r="FO183" s="23"/>
      <c r="FP183" s="23"/>
      <c r="FQ183" s="23"/>
      <c r="FR183" s="23"/>
      <c r="FS183" s="23"/>
      <c r="FT183" s="23"/>
      <c r="FU183" s="23"/>
      <c r="FV183" s="23"/>
      <c r="FW183" s="23"/>
      <c r="FX183" s="23"/>
      <c r="FY183" s="23"/>
      <c r="FZ183" s="23"/>
      <c r="GA183" s="23"/>
      <c r="GB183" s="23"/>
      <c r="GC183" s="23"/>
      <c r="GD183" s="23"/>
      <c r="GE183" s="23"/>
      <c r="GF183" s="23"/>
      <c r="GG183" s="23"/>
      <c r="GH183" s="23"/>
      <c r="GI183" s="23"/>
      <c r="GJ183" s="23"/>
      <c r="GK183" s="23"/>
      <c r="GL183" s="23"/>
      <c r="GM183" s="23"/>
      <c r="GN183" s="23"/>
      <c r="GO183" s="23"/>
      <c r="GP183" s="23"/>
      <c r="GQ183" s="23"/>
      <c r="GR183" s="23"/>
      <c r="GS183" s="23"/>
      <c r="GT183" s="23"/>
      <c r="GU183" s="23"/>
      <c r="GV183" s="23"/>
      <c r="GW183" s="23"/>
      <c r="GX183" s="23"/>
      <c r="GY183" s="23"/>
      <c r="GZ183" s="23"/>
      <c r="HA183" s="23"/>
      <c r="HB183" s="23"/>
      <c r="HC183" s="23"/>
      <c r="HD183" s="23"/>
      <c r="HE183" s="23"/>
      <c r="HF183" s="23"/>
      <c r="HG183" s="23"/>
      <c r="HH183" s="23"/>
      <c r="HI183" s="23"/>
      <c r="HJ183" s="23"/>
      <c r="HK183" s="23"/>
      <c r="HL183" s="23"/>
      <c r="HM183" s="23"/>
      <c r="HN183" s="23"/>
      <c r="HO183" s="23"/>
      <c r="HP183" s="23"/>
      <c r="HQ183" s="23"/>
      <c r="HR183" s="23"/>
      <c r="HS183" s="23"/>
      <c r="HT183" s="23"/>
      <c r="HU183" s="23"/>
      <c r="HV183" s="23"/>
      <c r="HW183" s="23"/>
      <c r="HX183" s="23"/>
      <c r="HY183" s="23"/>
      <c r="HZ183" s="23"/>
      <c r="IA183" s="23"/>
      <c r="IB183" s="23"/>
      <c r="IC183" s="23"/>
      <c r="ID183" s="23"/>
      <c r="IE183" s="23"/>
      <c r="IF183" s="23"/>
      <c r="IG183" s="23"/>
      <c r="IH183" s="23"/>
      <c r="II183" s="23"/>
      <c r="IJ183" s="23"/>
      <c r="IK183" s="23"/>
      <c r="IL183" s="23"/>
      <c r="IM183" s="23"/>
      <c r="IN183" s="23"/>
      <c r="IO183" s="23"/>
      <c r="IP183" s="23"/>
      <c r="IQ183" s="23"/>
      <c r="IR183" s="23"/>
      <c r="IS183" s="23"/>
      <c r="IT183" s="23"/>
      <c r="IU183" s="23"/>
      <c r="IV183" s="23"/>
    </row>
    <row r="184" spans="1:256" ht="24.95" customHeight="1" thickTop="1" x14ac:dyDescent="0.35">
      <c r="A184" s="1600">
        <v>178</v>
      </c>
      <c r="B184" s="1941"/>
      <c r="C184" s="1293" t="s">
        <v>139</v>
      </c>
      <c r="D184" s="257" t="s">
        <v>1144</v>
      </c>
      <c r="E184" s="1734"/>
      <c r="F184" s="23"/>
      <c r="G184" s="1923"/>
      <c r="H184" s="23"/>
      <c r="I184" s="23"/>
      <c r="J184" s="704"/>
      <c r="K184" s="23"/>
      <c r="L184" s="704"/>
      <c r="M184" s="23"/>
      <c r="N184" s="23"/>
      <c r="O184" s="23"/>
      <c r="P184" s="23"/>
      <c r="Q184" s="23"/>
      <c r="R184" s="23"/>
      <c r="S184" s="23"/>
      <c r="T184" s="23"/>
      <c r="U184" s="23"/>
      <c r="V184" s="23"/>
      <c r="W184" s="23"/>
      <c r="X184" s="23"/>
      <c r="Y184" s="23"/>
      <c r="Z184" s="23"/>
      <c r="AA184" s="23"/>
      <c r="AB184" s="23"/>
      <c r="AC184" s="23"/>
      <c r="AD184" s="23"/>
      <c r="AE184" s="23"/>
      <c r="AF184" s="23"/>
      <c r="AG184" s="23"/>
      <c r="AH184" s="23"/>
      <c r="AI184" s="23"/>
      <c r="AJ184" s="23"/>
      <c r="AK184" s="23"/>
      <c r="AL184" s="23"/>
      <c r="AM184" s="23"/>
      <c r="AN184" s="23"/>
      <c r="AO184" s="23"/>
      <c r="AP184" s="23"/>
      <c r="AQ184" s="23"/>
      <c r="AR184" s="23"/>
      <c r="AS184" s="23"/>
      <c r="AT184" s="23"/>
      <c r="AU184" s="23"/>
      <c r="AV184" s="23"/>
      <c r="AW184" s="23"/>
      <c r="AX184" s="23"/>
      <c r="AY184" s="23"/>
      <c r="AZ184" s="23"/>
      <c r="BA184" s="23"/>
      <c r="BB184" s="23"/>
      <c r="BC184" s="23"/>
      <c r="BD184" s="23"/>
      <c r="BE184" s="23"/>
      <c r="BF184" s="23"/>
      <c r="BG184" s="23"/>
      <c r="BH184" s="23"/>
      <c r="BI184" s="23"/>
      <c r="BJ184" s="23"/>
      <c r="BK184" s="23"/>
      <c r="BL184" s="23"/>
      <c r="BM184" s="23"/>
      <c r="BN184" s="23"/>
      <c r="BO184" s="23"/>
      <c r="BP184" s="23"/>
      <c r="BQ184" s="23"/>
      <c r="BR184" s="23"/>
      <c r="BS184" s="23"/>
      <c r="BT184" s="23"/>
      <c r="BU184" s="23"/>
      <c r="BV184" s="23"/>
      <c r="BW184" s="23"/>
      <c r="BX184" s="23"/>
      <c r="BY184" s="23"/>
      <c r="BZ184" s="23"/>
      <c r="CA184" s="23"/>
      <c r="CB184" s="23"/>
      <c r="CC184" s="23"/>
      <c r="CD184" s="23"/>
      <c r="CE184" s="23"/>
      <c r="CF184" s="23"/>
      <c r="CG184" s="23"/>
      <c r="CH184" s="23"/>
      <c r="CI184" s="23"/>
      <c r="CJ184" s="23"/>
      <c r="CK184" s="23"/>
      <c r="CL184" s="23"/>
      <c r="CM184" s="23"/>
      <c r="CN184" s="23"/>
      <c r="CO184" s="23"/>
      <c r="CP184" s="23"/>
      <c r="CQ184" s="23"/>
      <c r="CR184" s="23"/>
      <c r="CS184" s="23"/>
      <c r="CT184" s="23"/>
      <c r="CU184" s="23"/>
      <c r="CV184" s="23"/>
      <c r="CW184" s="23"/>
      <c r="CX184" s="23"/>
      <c r="CY184" s="23"/>
      <c r="CZ184" s="23"/>
      <c r="DA184" s="23"/>
      <c r="DB184" s="23"/>
      <c r="DC184" s="23"/>
      <c r="DD184" s="23"/>
      <c r="DE184" s="23"/>
      <c r="DF184" s="23"/>
      <c r="DG184" s="23"/>
      <c r="DH184" s="23"/>
      <c r="DI184" s="23"/>
      <c r="DJ184" s="23"/>
      <c r="DK184" s="23"/>
      <c r="DL184" s="23"/>
      <c r="DM184" s="23"/>
      <c r="DN184" s="23"/>
      <c r="DO184" s="23"/>
      <c r="DP184" s="23"/>
      <c r="DQ184" s="23"/>
      <c r="DR184" s="23"/>
      <c r="DS184" s="23"/>
      <c r="DT184" s="23"/>
      <c r="DU184" s="23"/>
      <c r="DV184" s="23"/>
      <c r="DW184" s="23"/>
      <c r="DX184" s="23"/>
      <c r="DY184" s="23"/>
      <c r="DZ184" s="23"/>
      <c r="EA184" s="23"/>
      <c r="EB184" s="23"/>
      <c r="EC184" s="23"/>
      <c r="ED184" s="23"/>
      <c r="EE184" s="23"/>
      <c r="EF184" s="23"/>
      <c r="EG184" s="23"/>
      <c r="EH184" s="23"/>
      <c r="EI184" s="23"/>
      <c r="EJ184" s="23"/>
      <c r="EK184" s="23"/>
      <c r="EL184" s="23"/>
      <c r="EM184" s="23"/>
      <c r="EN184" s="23"/>
      <c r="EO184" s="23"/>
      <c r="EP184" s="23"/>
      <c r="EQ184" s="23"/>
      <c r="ER184" s="23"/>
      <c r="ES184" s="23"/>
      <c r="ET184" s="23"/>
      <c r="EU184" s="23"/>
      <c r="EV184" s="23"/>
      <c r="EW184" s="23"/>
      <c r="EX184" s="23"/>
      <c r="EY184" s="23"/>
      <c r="EZ184" s="23"/>
      <c r="FA184" s="23"/>
      <c r="FB184" s="23"/>
      <c r="FC184" s="23"/>
      <c r="FD184" s="23"/>
      <c r="FE184" s="23"/>
      <c r="FF184" s="23"/>
      <c r="FG184" s="23"/>
      <c r="FH184" s="23"/>
      <c r="FI184" s="23"/>
      <c r="FJ184" s="23"/>
      <c r="FK184" s="23"/>
      <c r="FL184" s="23"/>
      <c r="FM184" s="23"/>
      <c r="FN184" s="23"/>
      <c r="FO184" s="23"/>
      <c r="FP184" s="23"/>
      <c r="FQ184" s="23"/>
      <c r="FR184" s="23"/>
      <c r="FS184" s="23"/>
      <c r="FT184" s="23"/>
      <c r="FU184" s="23"/>
      <c r="FV184" s="23"/>
      <c r="FW184" s="23"/>
      <c r="FX184" s="23"/>
      <c r="FY184" s="23"/>
      <c r="FZ184" s="23"/>
      <c r="GA184" s="23"/>
      <c r="GB184" s="23"/>
      <c r="GC184" s="23"/>
      <c r="GD184" s="23"/>
      <c r="GE184" s="23"/>
      <c r="GF184" s="23"/>
      <c r="GG184" s="23"/>
      <c r="GH184" s="23"/>
      <c r="GI184" s="23"/>
      <c r="GJ184" s="23"/>
      <c r="GK184" s="23"/>
      <c r="GL184" s="23"/>
      <c r="GM184" s="23"/>
      <c r="GN184" s="23"/>
      <c r="GO184" s="23"/>
      <c r="GP184" s="23"/>
      <c r="GQ184" s="23"/>
      <c r="GR184" s="23"/>
      <c r="GS184" s="23"/>
      <c r="GT184" s="23"/>
      <c r="GU184" s="23"/>
      <c r="GV184" s="23"/>
      <c r="GW184" s="23"/>
      <c r="GX184" s="23"/>
      <c r="GY184" s="23"/>
      <c r="GZ184" s="23"/>
      <c r="HA184" s="23"/>
      <c r="HB184" s="23"/>
      <c r="HC184" s="23"/>
      <c r="HD184" s="23"/>
      <c r="HE184" s="23"/>
      <c r="HF184" s="23"/>
      <c r="HG184" s="23"/>
      <c r="HH184" s="23"/>
      <c r="HI184" s="23"/>
      <c r="HJ184" s="23"/>
      <c r="HK184" s="23"/>
      <c r="HL184" s="23"/>
      <c r="HM184" s="23"/>
      <c r="HN184" s="23"/>
      <c r="HO184" s="23"/>
      <c r="HP184" s="23"/>
      <c r="HQ184" s="23"/>
      <c r="HR184" s="23"/>
      <c r="HS184" s="23"/>
      <c r="HT184" s="23"/>
      <c r="HU184" s="23"/>
      <c r="HV184" s="23"/>
      <c r="HW184" s="23"/>
      <c r="HX184" s="23"/>
      <c r="HY184" s="23"/>
      <c r="HZ184" s="23"/>
      <c r="IA184" s="23"/>
      <c r="IB184" s="23"/>
      <c r="IC184" s="23"/>
      <c r="ID184" s="23"/>
      <c r="IE184" s="23"/>
      <c r="IF184" s="23"/>
      <c r="IG184" s="23"/>
      <c r="IH184" s="23"/>
      <c r="II184" s="23"/>
      <c r="IJ184" s="23"/>
      <c r="IK184" s="23"/>
      <c r="IL184" s="23"/>
      <c r="IM184" s="23"/>
      <c r="IN184" s="23"/>
      <c r="IO184" s="23"/>
      <c r="IP184" s="23"/>
      <c r="IQ184" s="23"/>
      <c r="IR184" s="23"/>
      <c r="IS184" s="23"/>
      <c r="IT184" s="23"/>
      <c r="IU184" s="23"/>
      <c r="IV184" s="23"/>
    </row>
    <row r="185" spans="1:256" ht="20.100000000000001" customHeight="1" x14ac:dyDescent="0.3">
      <c r="A185" s="1600">
        <v>179</v>
      </c>
      <c r="B185" s="1941"/>
      <c r="D185" s="1638" t="s">
        <v>1113</v>
      </c>
      <c r="E185" s="1734"/>
      <c r="F185" s="23"/>
      <c r="G185" s="1923"/>
      <c r="H185" s="23"/>
      <c r="I185" s="23"/>
      <c r="J185" s="704"/>
      <c r="K185" s="23"/>
      <c r="L185" s="704"/>
      <c r="M185" s="23"/>
      <c r="N185" s="23"/>
      <c r="O185" s="23"/>
      <c r="P185" s="23"/>
      <c r="Q185" s="23"/>
      <c r="R185" s="23"/>
      <c r="S185" s="23"/>
      <c r="T185" s="23"/>
      <c r="U185" s="23"/>
      <c r="V185" s="23"/>
      <c r="W185" s="23"/>
      <c r="X185" s="23"/>
      <c r="Y185" s="23"/>
      <c r="Z185" s="23"/>
      <c r="AA185" s="23"/>
      <c r="AB185" s="23"/>
      <c r="AC185" s="23"/>
      <c r="AD185" s="23"/>
      <c r="AE185" s="23"/>
      <c r="AF185" s="23"/>
      <c r="AG185" s="23"/>
      <c r="AH185" s="23"/>
      <c r="AI185" s="23"/>
      <c r="AJ185" s="23"/>
      <c r="AK185" s="23"/>
      <c r="AL185" s="23"/>
      <c r="AM185" s="23"/>
      <c r="AN185" s="23"/>
      <c r="AO185" s="23"/>
      <c r="AP185" s="23"/>
      <c r="AQ185" s="23"/>
      <c r="AR185" s="23"/>
      <c r="AS185" s="23"/>
      <c r="AT185" s="23"/>
      <c r="AU185" s="23"/>
      <c r="AV185" s="23"/>
      <c r="AW185" s="23"/>
      <c r="AX185" s="23"/>
      <c r="AY185" s="23"/>
      <c r="AZ185" s="23"/>
      <c r="BA185" s="23"/>
      <c r="BB185" s="23"/>
      <c r="BC185" s="23"/>
      <c r="BD185" s="23"/>
      <c r="BE185" s="23"/>
      <c r="BF185" s="23"/>
      <c r="BG185" s="23"/>
      <c r="BH185" s="23"/>
      <c r="BI185" s="23"/>
      <c r="BJ185" s="23"/>
      <c r="BK185" s="23"/>
      <c r="BL185" s="23"/>
      <c r="BM185" s="23"/>
      <c r="BN185" s="23"/>
      <c r="BO185" s="23"/>
      <c r="BP185" s="23"/>
      <c r="BQ185" s="23"/>
      <c r="BR185" s="23"/>
      <c r="BS185" s="23"/>
      <c r="BT185" s="23"/>
      <c r="BU185" s="23"/>
      <c r="BV185" s="23"/>
      <c r="BW185" s="23"/>
      <c r="BX185" s="23"/>
      <c r="BY185" s="23"/>
      <c r="BZ185" s="23"/>
      <c r="CA185" s="23"/>
      <c r="CB185" s="23"/>
      <c r="CC185" s="23"/>
      <c r="CD185" s="23"/>
      <c r="CE185" s="23"/>
      <c r="CF185" s="23"/>
      <c r="CG185" s="23"/>
      <c r="CH185" s="23"/>
      <c r="CI185" s="23"/>
      <c r="CJ185" s="23"/>
      <c r="CK185" s="23"/>
      <c r="CL185" s="23"/>
      <c r="CM185" s="23"/>
      <c r="CN185" s="23"/>
      <c r="CO185" s="23"/>
      <c r="CP185" s="23"/>
      <c r="CQ185" s="23"/>
      <c r="CR185" s="23"/>
      <c r="CS185" s="23"/>
      <c r="CT185" s="23"/>
      <c r="CU185" s="23"/>
      <c r="CV185" s="23"/>
      <c r="CW185" s="23"/>
      <c r="CX185" s="23"/>
      <c r="CY185" s="23"/>
      <c r="CZ185" s="23"/>
      <c r="DA185" s="23"/>
      <c r="DB185" s="23"/>
      <c r="DC185" s="23"/>
      <c r="DD185" s="23"/>
      <c r="DE185" s="23"/>
      <c r="DF185" s="23"/>
      <c r="DG185" s="23"/>
      <c r="DH185" s="23"/>
      <c r="DI185" s="23"/>
      <c r="DJ185" s="23"/>
      <c r="DK185" s="23"/>
      <c r="DL185" s="23"/>
      <c r="DM185" s="23"/>
      <c r="DN185" s="23"/>
      <c r="DO185" s="23"/>
      <c r="DP185" s="23"/>
      <c r="DQ185" s="23"/>
      <c r="DR185" s="23"/>
      <c r="DS185" s="23"/>
      <c r="DT185" s="23"/>
      <c r="DU185" s="23"/>
      <c r="DV185" s="23"/>
      <c r="DW185" s="23"/>
      <c r="DX185" s="23"/>
      <c r="DY185" s="23"/>
      <c r="DZ185" s="23"/>
      <c r="EA185" s="23"/>
      <c r="EB185" s="23"/>
      <c r="EC185" s="23"/>
      <c r="ED185" s="23"/>
      <c r="EE185" s="23"/>
      <c r="EF185" s="23"/>
      <c r="EG185" s="23"/>
      <c r="EH185" s="23"/>
      <c r="EI185" s="23"/>
      <c r="EJ185" s="23"/>
      <c r="EK185" s="23"/>
      <c r="EL185" s="23"/>
      <c r="EM185" s="23"/>
      <c r="EN185" s="23"/>
      <c r="EO185" s="23"/>
      <c r="EP185" s="23"/>
      <c r="EQ185" s="23"/>
      <c r="ER185" s="23"/>
      <c r="ES185" s="23"/>
      <c r="ET185" s="23"/>
      <c r="EU185" s="23"/>
      <c r="EV185" s="23"/>
      <c r="EW185" s="23"/>
      <c r="EX185" s="23"/>
      <c r="EY185" s="23"/>
      <c r="EZ185" s="23"/>
      <c r="FA185" s="23"/>
      <c r="FB185" s="23"/>
      <c r="FC185" s="23"/>
      <c r="FD185" s="23"/>
      <c r="FE185" s="23"/>
      <c r="FF185" s="23"/>
      <c r="FG185" s="23"/>
      <c r="FH185" s="23"/>
      <c r="FI185" s="23"/>
      <c r="FJ185" s="23"/>
      <c r="FK185" s="23"/>
      <c r="FL185" s="23"/>
      <c r="FM185" s="23"/>
      <c r="FN185" s="23"/>
      <c r="FO185" s="23"/>
      <c r="FP185" s="23"/>
      <c r="FQ185" s="23"/>
      <c r="FR185" s="23"/>
      <c r="FS185" s="23"/>
      <c r="FT185" s="23"/>
      <c r="FU185" s="23"/>
      <c r="FV185" s="23"/>
      <c r="FW185" s="23"/>
      <c r="FX185" s="23"/>
      <c r="FY185" s="23"/>
      <c r="FZ185" s="23"/>
      <c r="GA185" s="23"/>
      <c r="GB185" s="23"/>
      <c r="GC185" s="23"/>
      <c r="GD185" s="23"/>
      <c r="GE185" s="23"/>
      <c r="GF185" s="23"/>
      <c r="GG185" s="23"/>
      <c r="GH185" s="23"/>
      <c r="GI185" s="23"/>
      <c r="GJ185" s="23"/>
      <c r="GK185" s="23"/>
      <c r="GL185" s="23"/>
      <c r="GM185" s="23"/>
      <c r="GN185" s="23"/>
      <c r="GO185" s="23"/>
      <c r="GP185" s="23"/>
      <c r="GQ185" s="23"/>
      <c r="GR185" s="23"/>
      <c r="GS185" s="23"/>
      <c r="GT185" s="23"/>
      <c r="GU185" s="23"/>
      <c r="GV185" s="23"/>
      <c r="GW185" s="23"/>
      <c r="GX185" s="23"/>
      <c r="GY185" s="23"/>
      <c r="GZ185" s="23"/>
      <c r="HA185" s="23"/>
      <c r="HB185" s="23"/>
      <c r="HC185" s="23"/>
      <c r="HD185" s="23"/>
      <c r="HE185" s="23"/>
      <c r="HF185" s="23"/>
      <c r="HG185" s="23"/>
      <c r="HH185" s="23"/>
      <c r="HI185" s="23"/>
      <c r="HJ185" s="23"/>
      <c r="HK185" s="23"/>
      <c r="HL185" s="23"/>
      <c r="HM185" s="23"/>
      <c r="HN185" s="23"/>
      <c r="HO185" s="23"/>
      <c r="HP185" s="23"/>
      <c r="HQ185" s="23"/>
      <c r="HR185" s="23"/>
      <c r="HS185" s="23"/>
      <c r="HT185" s="23"/>
      <c r="HU185" s="23"/>
      <c r="HV185" s="23"/>
      <c r="HW185" s="23"/>
      <c r="HX185" s="23"/>
      <c r="HY185" s="23"/>
      <c r="HZ185" s="23"/>
      <c r="IA185" s="23"/>
      <c r="IB185" s="23"/>
      <c r="IC185" s="23"/>
      <c r="ID185" s="23"/>
      <c r="IE185" s="23"/>
      <c r="IF185" s="23"/>
      <c r="IG185" s="23"/>
      <c r="IH185" s="23"/>
      <c r="II185" s="23"/>
      <c r="IJ185" s="23"/>
      <c r="IK185" s="23"/>
      <c r="IL185" s="23"/>
      <c r="IM185" s="23"/>
      <c r="IN185" s="23"/>
      <c r="IO185" s="23"/>
      <c r="IP185" s="23"/>
      <c r="IQ185" s="23"/>
      <c r="IR185" s="23"/>
      <c r="IS185" s="23"/>
      <c r="IT185" s="23"/>
      <c r="IU185" s="23"/>
      <c r="IV185" s="23"/>
    </row>
    <row r="186" spans="1:256" ht="18" customHeight="1" x14ac:dyDescent="0.35">
      <c r="A186" s="1600">
        <v>180</v>
      </c>
      <c r="B186" s="1941"/>
      <c r="C186" s="1639"/>
      <c r="D186" s="1667" t="s">
        <v>1268</v>
      </c>
      <c r="E186" s="1611">
        <v>51626</v>
      </c>
      <c r="F186" s="23"/>
      <c r="G186" s="1923"/>
      <c r="H186" s="23"/>
      <c r="I186" s="23"/>
      <c r="J186" s="704"/>
      <c r="K186" s="23"/>
      <c r="L186" s="704"/>
      <c r="M186" s="23"/>
      <c r="N186" s="23"/>
      <c r="O186" s="23"/>
      <c r="P186" s="23"/>
      <c r="Q186" s="23"/>
      <c r="R186" s="23"/>
      <c r="S186" s="23"/>
      <c r="T186" s="23"/>
      <c r="U186" s="23"/>
      <c r="V186" s="23"/>
      <c r="W186" s="23"/>
      <c r="X186" s="23"/>
      <c r="Y186" s="23"/>
      <c r="Z186" s="23"/>
      <c r="AA186" s="23"/>
      <c r="AB186" s="23"/>
      <c r="AC186" s="23"/>
      <c r="AD186" s="23"/>
      <c r="AE186" s="23"/>
      <c r="AF186" s="23"/>
      <c r="AG186" s="23"/>
      <c r="AH186" s="23"/>
      <c r="AI186" s="23"/>
      <c r="AJ186" s="23"/>
      <c r="AK186" s="23"/>
      <c r="AL186" s="23"/>
      <c r="AM186" s="23"/>
      <c r="AN186" s="23"/>
      <c r="AO186" s="23"/>
      <c r="AP186" s="23"/>
      <c r="AQ186" s="23"/>
      <c r="AR186" s="23"/>
      <c r="AS186" s="23"/>
      <c r="AT186" s="23"/>
      <c r="AU186" s="23"/>
      <c r="AV186" s="23"/>
      <c r="AW186" s="23"/>
      <c r="AX186" s="23"/>
      <c r="AY186" s="23"/>
      <c r="AZ186" s="23"/>
      <c r="BA186" s="23"/>
      <c r="BB186" s="23"/>
      <c r="BC186" s="23"/>
      <c r="BD186" s="23"/>
      <c r="BE186" s="23"/>
      <c r="BF186" s="23"/>
      <c r="BG186" s="23"/>
      <c r="BH186" s="23"/>
      <c r="BI186" s="23"/>
      <c r="BJ186" s="23"/>
      <c r="BK186" s="23"/>
      <c r="BL186" s="23"/>
      <c r="BM186" s="23"/>
      <c r="BN186" s="23"/>
      <c r="BO186" s="23"/>
      <c r="BP186" s="23"/>
      <c r="BQ186" s="23"/>
      <c r="BR186" s="23"/>
      <c r="BS186" s="23"/>
      <c r="BT186" s="23"/>
      <c r="BU186" s="23"/>
      <c r="BV186" s="23"/>
      <c r="BW186" s="23"/>
      <c r="BX186" s="23"/>
      <c r="BY186" s="23"/>
      <c r="BZ186" s="23"/>
      <c r="CA186" s="23"/>
      <c r="CB186" s="23"/>
      <c r="CC186" s="23"/>
      <c r="CD186" s="23"/>
      <c r="CE186" s="23"/>
      <c r="CF186" s="23"/>
      <c r="CG186" s="23"/>
      <c r="CH186" s="23"/>
      <c r="CI186" s="23"/>
      <c r="CJ186" s="23"/>
      <c r="CK186" s="23"/>
      <c r="CL186" s="23"/>
      <c r="CM186" s="23"/>
      <c r="CN186" s="23"/>
      <c r="CO186" s="23"/>
      <c r="CP186" s="23"/>
      <c r="CQ186" s="23"/>
      <c r="CR186" s="23"/>
      <c r="CS186" s="23"/>
      <c r="CT186" s="23"/>
      <c r="CU186" s="23"/>
      <c r="CV186" s="23"/>
      <c r="CW186" s="23"/>
      <c r="CX186" s="23"/>
      <c r="CY186" s="23"/>
      <c r="CZ186" s="23"/>
      <c r="DA186" s="23"/>
      <c r="DB186" s="23"/>
      <c r="DC186" s="23"/>
      <c r="DD186" s="23"/>
      <c r="DE186" s="23"/>
      <c r="DF186" s="23"/>
      <c r="DG186" s="23"/>
      <c r="DH186" s="23"/>
      <c r="DI186" s="23"/>
      <c r="DJ186" s="23"/>
      <c r="DK186" s="23"/>
      <c r="DL186" s="23"/>
      <c r="DM186" s="23"/>
      <c r="DN186" s="23"/>
      <c r="DO186" s="23"/>
      <c r="DP186" s="23"/>
      <c r="DQ186" s="23"/>
      <c r="DR186" s="23"/>
      <c r="DS186" s="23"/>
      <c r="DT186" s="23"/>
      <c r="DU186" s="23"/>
      <c r="DV186" s="23"/>
      <c r="DW186" s="23"/>
      <c r="DX186" s="23"/>
      <c r="DY186" s="23"/>
      <c r="DZ186" s="23"/>
      <c r="EA186" s="23"/>
      <c r="EB186" s="23"/>
      <c r="EC186" s="23"/>
      <c r="ED186" s="23"/>
      <c r="EE186" s="23"/>
      <c r="EF186" s="23"/>
      <c r="EG186" s="23"/>
      <c r="EH186" s="23"/>
      <c r="EI186" s="23"/>
      <c r="EJ186" s="23"/>
      <c r="EK186" s="23"/>
      <c r="EL186" s="23"/>
      <c r="EM186" s="23"/>
      <c r="EN186" s="23"/>
      <c r="EO186" s="23"/>
      <c r="EP186" s="23"/>
      <c r="EQ186" s="23"/>
      <c r="ER186" s="23"/>
      <c r="ES186" s="23"/>
      <c r="ET186" s="23"/>
      <c r="EU186" s="23"/>
      <c r="EV186" s="23"/>
      <c r="EW186" s="23"/>
      <c r="EX186" s="23"/>
      <c r="EY186" s="23"/>
      <c r="EZ186" s="23"/>
      <c r="FA186" s="23"/>
      <c r="FB186" s="23"/>
      <c r="FC186" s="23"/>
      <c r="FD186" s="23"/>
      <c r="FE186" s="23"/>
      <c r="FF186" s="23"/>
      <c r="FG186" s="23"/>
      <c r="FH186" s="23"/>
      <c r="FI186" s="23"/>
      <c r="FJ186" s="23"/>
      <c r="FK186" s="23"/>
      <c r="FL186" s="23"/>
      <c r="FM186" s="23"/>
      <c r="FN186" s="23"/>
      <c r="FO186" s="23"/>
      <c r="FP186" s="23"/>
      <c r="FQ186" s="23"/>
      <c r="FR186" s="23"/>
      <c r="FS186" s="23"/>
      <c r="FT186" s="23"/>
      <c r="FU186" s="23"/>
      <c r="FV186" s="23"/>
      <c r="FW186" s="23"/>
      <c r="FX186" s="23"/>
      <c r="FY186" s="23"/>
      <c r="FZ186" s="23"/>
      <c r="GA186" s="23"/>
      <c r="GB186" s="23"/>
      <c r="GC186" s="23"/>
      <c r="GD186" s="23"/>
      <c r="GE186" s="23"/>
      <c r="GF186" s="23"/>
      <c r="GG186" s="23"/>
      <c r="GH186" s="23"/>
      <c r="GI186" s="23"/>
      <c r="GJ186" s="23"/>
      <c r="GK186" s="23"/>
      <c r="GL186" s="23"/>
      <c r="GM186" s="23"/>
      <c r="GN186" s="23"/>
      <c r="GO186" s="23"/>
      <c r="GP186" s="23"/>
      <c r="GQ186" s="23"/>
      <c r="GR186" s="23"/>
      <c r="GS186" s="23"/>
      <c r="GT186" s="23"/>
      <c r="GU186" s="23"/>
      <c r="GV186" s="23"/>
      <c r="GW186" s="23"/>
      <c r="GX186" s="23"/>
      <c r="GY186" s="23"/>
      <c r="GZ186" s="23"/>
      <c r="HA186" s="23"/>
      <c r="HB186" s="23"/>
      <c r="HC186" s="23"/>
      <c r="HD186" s="23"/>
      <c r="HE186" s="23"/>
      <c r="HF186" s="23"/>
      <c r="HG186" s="23"/>
      <c r="HH186" s="23"/>
      <c r="HI186" s="23"/>
      <c r="HJ186" s="23"/>
      <c r="HK186" s="23"/>
      <c r="HL186" s="23"/>
      <c r="HM186" s="23"/>
      <c r="HN186" s="23"/>
      <c r="HO186" s="23"/>
      <c r="HP186" s="23"/>
      <c r="HQ186" s="23"/>
      <c r="HR186" s="23"/>
      <c r="HS186" s="23"/>
      <c r="HT186" s="23"/>
      <c r="HU186" s="23"/>
      <c r="HV186" s="23"/>
      <c r="HW186" s="23"/>
      <c r="HX186" s="23"/>
      <c r="HY186" s="23"/>
      <c r="HZ186" s="23"/>
      <c r="IA186" s="23"/>
      <c r="IB186" s="23"/>
      <c r="IC186" s="23"/>
      <c r="ID186" s="23"/>
      <c r="IE186" s="23"/>
      <c r="IF186" s="23"/>
      <c r="IG186" s="23"/>
      <c r="IH186" s="23"/>
      <c r="II186" s="23"/>
      <c r="IJ186" s="23"/>
      <c r="IK186" s="23"/>
      <c r="IL186" s="23"/>
      <c r="IM186" s="23"/>
      <c r="IN186" s="23"/>
      <c r="IO186" s="23"/>
      <c r="IP186" s="23"/>
      <c r="IQ186" s="23"/>
      <c r="IR186" s="23"/>
      <c r="IS186" s="23"/>
      <c r="IT186" s="23"/>
      <c r="IU186" s="23"/>
      <c r="IV186" s="23"/>
    </row>
    <row r="187" spans="1:256" ht="18" customHeight="1" x14ac:dyDescent="0.35">
      <c r="A187" s="1600">
        <v>181</v>
      </c>
      <c r="B187" s="1941"/>
      <c r="C187" s="1639"/>
      <c r="D187" s="1667" t="s">
        <v>1339</v>
      </c>
      <c r="E187" s="1611">
        <f>600000+52951</f>
        <v>652951</v>
      </c>
      <c r="F187" s="23"/>
      <c r="G187" s="1923"/>
      <c r="H187" s="23"/>
      <c r="I187" s="23"/>
      <c r="J187" s="704"/>
      <c r="K187" s="23"/>
      <c r="L187" s="704"/>
      <c r="M187" s="23"/>
      <c r="N187" s="23"/>
      <c r="O187" s="23"/>
      <c r="P187" s="23"/>
      <c r="Q187" s="23"/>
      <c r="R187" s="23"/>
      <c r="S187" s="23"/>
      <c r="T187" s="23"/>
      <c r="U187" s="23"/>
      <c r="V187" s="23"/>
      <c r="W187" s="23"/>
      <c r="X187" s="23"/>
      <c r="Y187" s="23"/>
      <c r="Z187" s="23"/>
      <c r="AA187" s="23"/>
      <c r="AB187" s="23"/>
      <c r="AC187" s="23"/>
      <c r="AD187" s="23"/>
      <c r="AE187" s="23"/>
      <c r="AF187" s="23"/>
      <c r="AG187" s="23"/>
      <c r="AH187" s="23"/>
      <c r="AI187" s="23"/>
      <c r="AJ187" s="23"/>
      <c r="AK187" s="23"/>
      <c r="AL187" s="23"/>
      <c r="AM187" s="23"/>
      <c r="AN187" s="23"/>
      <c r="AO187" s="23"/>
      <c r="AP187" s="23"/>
      <c r="AQ187" s="23"/>
      <c r="AR187" s="23"/>
      <c r="AS187" s="23"/>
      <c r="AT187" s="23"/>
      <c r="AU187" s="23"/>
      <c r="AV187" s="23"/>
      <c r="AW187" s="23"/>
      <c r="AX187" s="23"/>
      <c r="AY187" s="23"/>
      <c r="AZ187" s="23"/>
      <c r="BA187" s="23"/>
      <c r="BB187" s="23"/>
      <c r="BC187" s="23"/>
      <c r="BD187" s="23"/>
      <c r="BE187" s="23"/>
      <c r="BF187" s="23"/>
      <c r="BG187" s="23"/>
      <c r="BH187" s="23"/>
      <c r="BI187" s="23"/>
      <c r="BJ187" s="23"/>
      <c r="BK187" s="23"/>
      <c r="BL187" s="23"/>
      <c r="BM187" s="23"/>
      <c r="BN187" s="23"/>
      <c r="BO187" s="23"/>
      <c r="BP187" s="23"/>
      <c r="BQ187" s="23"/>
      <c r="BR187" s="23"/>
      <c r="BS187" s="23"/>
      <c r="BT187" s="23"/>
      <c r="BU187" s="23"/>
      <c r="BV187" s="23"/>
      <c r="BW187" s="23"/>
      <c r="BX187" s="23"/>
      <c r="BY187" s="23"/>
      <c r="BZ187" s="23"/>
      <c r="CA187" s="23"/>
      <c r="CB187" s="23"/>
      <c r="CC187" s="23"/>
      <c r="CD187" s="23"/>
      <c r="CE187" s="23"/>
      <c r="CF187" s="23"/>
      <c r="CG187" s="23"/>
      <c r="CH187" s="23"/>
      <c r="CI187" s="23"/>
      <c r="CJ187" s="23"/>
      <c r="CK187" s="23"/>
      <c r="CL187" s="23"/>
      <c r="CM187" s="23"/>
      <c r="CN187" s="23"/>
      <c r="CO187" s="23"/>
      <c r="CP187" s="23"/>
      <c r="CQ187" s="23"/>
      <c r="CR187" s="23"/>
      <c r="CS187" s="23"/>
      <c r="CT187" s="23"/>
      <c r="CU187" s="23"/>
      <c r="CV187" s="23"/>
      <c r="CW187" s="23"/>
      <c r="CX187" s="23"/>
      <c r="CY187" s="23"/>
      <c r="CZ187" s="23"/>
      <c r="DA187" s="23"/>
      <c r="DB187" s="23"/>
      <c r="DC187" s="23"/>
      <c r="DD187" s="23"/>
      <c r="DE187" s="23"/>
      <c r="DF187" s="23"/>
      <c r="DG187" s="23"/>
      <c r="DH187" s="23"/>
      <c r="DI187" s="23"/>
      <c r="DJ187" s="23"/>
      <c r="DK187" s="23"/>
      <c r="DL187" s="23"/>
      <c r="DM187" s="23"/>
      <c r="DN187" s="23"/>
      <c r="DO187" s="23"/>
      <c r="DP187" s="23"/>
      <c r="DQ187" s="23"/>
      <c r="DR187" s="23"/>
      <c r="DS187" s="23"/>
      <c r="DT187" s="23"/>
      <c r="DU187" s="23"/>
      <c r="DV187" s="23"/>
      <c r="DW187" s="23"/>
      <c r="DX187" s="23"/>
      <c r="DY187" s="23"/>
      <c r="DZ187" s="23"/>
      <c r="EA187" s="23"/>
      <c r="EB187" s="23"/>
      <c r="EC187" s="23"/>
      <c r="ED187" s="23"/>
      <c r="EE187" s="23"/>
      <c r="EF187" s="23"/>
      <c r="EG187" s="23"/>
      <c r="EH187" s="23"/>
      <c r="EI187" s="23"/>
      <c r="EJ187" s="23"/>
      <c r="EK187" s="23"/>
      <c r="EL187" s="23"/>
      <c r="EM187" s="23"/>
      <c r="EN187" s="23"/>
      <c r="EO187" s="23"/>
      <c r="EP187" s="23"/>
      <c r="EQ187" s="23"/>
      <c r="ER187" s="23"/>
      <c r="ES187" s="23"/>
      <c r="ET187" s="23"/>
      <c r="EU187" s="23"/>
      <c r="EV187" s="23"/>
      <c r="EW187" s="23"/>
      <c r="EX187" s="23"/>
      <c r="EY187" s="23"/>
      <c r="EZ187" s="23"/>
      <c r="FA187" s="23"/>
      <c r="FB187" s="23"/>
      <c r="FC187" s="23"/>
      <c r="FD187" s="23"/>
      <c r="FE187" s="23"/>
      <c r="FF187" s="23"/>
      <c r="FG187" s="23"/>
      <c r="FH187" s="23"/>
      <c r="FI187" s="23"/>
      <c r="FJ187" s="23"/>
      <c r="FK187" s="23"/>
      <c r="FL187" s="23"/>
      <c r="FM187" s="23"/>
      <c r="FN187" s="23"/>
      <c r="FO187" s="23"/>
      <c r="FP187" s="23"/>
      <c r="FQ187" s="23"/>
      <c r="FR187" s="23"/>
      <c r="FS187" s="23"/>
      <c r="FT187" s="23"/>
      <c r="FU187" s="23"/>
      <c r="FV187" s="23"/>
      <c r="FW187" s="23"/>
      <c r="FX187" s="23"/>
      <c r="FY187" s="23"/>
      <c r="FZ187" s="23"/>
      <c r="GA187" s="23"/>
      <c r="GB187" s="23"/>
      <c r="GC187" s="23"/>
      <c r="GD187" s="23"/>
      <c r="GE187" s="23"/>
      <c r="GF187" s="23"/>
      <c r="GG187" s="23"/>
      <c r="GH187" s="23"/>
      <c r="GI187" s="23"/>
      <c r="GJ187" s="23"/>
      <c r="GK187" s="23"/>
      <c r="GL187" s="23"/>
      <c r="GM187" s="23"/>
      <c r="GN187" s="23"/>
      <c r="GO187" s="23"/>
      <c r="GP187" s="23"/>
      <c r="GQ187" s="23"/>
      <c r="GR187" s="23"/>
      <c r="GS187" s="23"/>
      <c r="GT187" s="23"/>
      <c r="GU187" s="23"/>
      <c r="GV187" s="23"/>
      <c r="GW187" s="23"/>
      <c r="GX187" s="23"/>
      <c r="GY187" s="23"/>
      <c r="GZ187" s="23"/>
      <c r="HA187" s="23"/>
      <c r="HB187" s="23"/>
      <c r="HC187" s="23"/>
      <c r="HD187" s="23"/>
      <c r="HE187" s="23"/>
      <c r="HF187" s="23"/>
      <c r="HG187" s="23"/>
      <c r="HH187" s="23"/>
      <c r="HI187" s="23"/>
      <c r="HJ187" s="23"/>
      <c r="HK187" s="23"/>
      <c r="HL187" s="23"/>
      <c r="HM187" s="23"/>
      <c r="HN187" s="23"/>
      <c r="HO187" s="23"/>
      <c r="HP187" s="23"/>
      <c r="HQ187" s="23"/>
      <c r="HR187" s="23"/>
      <c r="HS187" s="23"/>
      <c r="HT187" s="23"/>
      <c r="HU187" s="23"/>
      <c r="HV187" s="23"/>
      <c r="HW187" s="23"/>
      <c r="HX187" s="23"/>
      <c r="HY187" s="23"/>
      <c r="HZ187" s="23"/>
      <c r="IA187" s="23"/>
      <c r="IB187" s="23"/>
      <c r="IC187" s="23"/>
      <c r="ID187" s="23"/>
      <c r="IE187" s="23"/>
      <c r="IF187" s="23"/>
      <c r="IG187" s="23"/>
      <c r="IH187" s="23"/>
      <c r="II187" s="23"/>
      <c r="IJ187" s="23"/>
      <c r="IK187" s="23"/>
      <c r="IL187" s="23"/>
      <c r="IM187" s="23"/>
      <c r="IN187" s="23"/>
      <c r="IO187" s="23"/>
      <c r="IP187" s="23"/>
      <c r="IQ187" s="23"/>
      <c r="IR187" s="23"/>
      <c r="IS187" s="23"/>
      <c r="IT187" s="23"/>
      <c r="IU187" s="23"/>
      <c r="IV187" s="23"/>
    </row>
    <row r="188" spans="1:256" ht="18" customHeight="1" x14ac:dyDescent="0.35">
      <c r="A188" s="1600">
        <v>182</v>
      </c>
      <c r="B188" s="1941"/>
      <c r="C188" s="1639"/>
      <c r="D188" s="1667" t="s">
        <v>1336</v>
      </c>
      <c r="E188" s="1612">
        <v>240000</v>
      </c>
      <c r="F188" s="23"/>
      <c r="G188" s="1923"/>
      <c r="H188" s="23"/>
      <c r="I188" s="23"/>
      <c r="J188" s="704"/>
      <c r="K188" s="23"/>
      <c r="L188" s="704"/>
      <c r="M188" s="23"/>
      <c r="N188" s="23"/>
      <c r="O188" s="23"/>
      <c r="P188" s="23"/>
      <c r="Q188" s="23"/>
      <c r="R188" s="23"/>
      <c r="S188" s="23"/>
      <c r="T188" s="23"/>
      <c r="U188" s="23"/>
      <c r="V188" s="23"/>
      <c r="W188" s="23"/>
      <c r="X188" s="23"/>
      <c r="Y188" s="23"/>
      <c r="Z188" s="23"/>
      <c r="AA188" s="23"/>
      <c r="AB188" s="23"/>
      <c r="AC188" s="23"/>
      <c r="AD188" s="23"/>
      <c r="AE188" s="23"/>
      <c r="AF188" s="23"/>
      <c r="AG188" s="23"/>
      <c r="AH188" s="23"/>
      <c r="AI188" s="23"/>
      <c r="AJ188" s="23"/>
      <c r="AK188" s="23"/>
      <c r="AL188" s="23"/>
      <c r="AM188" s="23"/>
      <c r="AN188" s="23"/>
      <c r="AO188" s="23"/>
      <c r="AP188" s="23"/>
      <c r="AQ188" s="23"/>
      <c r="AR188" s="23"/>
      <c r="AS188" s="23"/>
      <c r="AT188" s="23"/>
      <c r="AU188" s="23"/>
      <c r="AV188" s="23"/>
      <c r="AW188" s="23"/>
      <c r="AX188" s="23"/>
      <c r="AY188" s="23"/>
      <c r="AZ188" s="23"/>
      <c r="BA188" s="23"/>
      <c r="BB188" s="23"/>
      <c r="BC188" s="23"/>
      <c r="BD188" s="23"/>
      <c r="BE188" s="23"/>
      <c r="BF188" s="23"/>
      <c r="BG188" s="23"/>
      <c r="BH188" s="23"/>
      <c r="BI188" s="23"/>
      <c r="BJ188" s="23"/>
      <c r="BK188" s="23"/>
      <c r="BL188" s="23"/>
      <c r="BM188" s="23"/>
      <c r="BN188" s="23"/>
      <c r="BO188" s="23"/>
      <c r="BP188" s="23"/>
      <c r="BQ188" s="23"/>
      <c r="BR188" s="23"/>
      <c r="BS188" s="23"/>
      <c r="BT188" s="23"/>
      <c r="BU188" s="23"/>
      <c r="BV188" s="23"/>
      <c r="BW188" s="23"/>
      <c r="BX188" s="23"/>
      <c r="BY188" s="23"/>
      <c r="BZ188" s="23"/>
      <c r="CA188" s="23"/>
      <c r="CB188" s="23"/>
      <c r="CC188" s="23"/>
      <c r="CD188" s="23"/>
      <c r="CE188" s="23"/>
      <c r="CF188" s="23"/>
      <c r="CG188" s="23"/>
      <c r="CH188" s="23"/>
      <c r="CI188" s="23"/>
      <c r="CJ188" s="23"/>
      <c r="CK188" s="23"/>
      <c r="CL188" s="23"/>
      <c r="CM188" s="23"/>
      <c r="CN188" s="23"/>
      <c r="CO188" s="23"/>
      <c r="CP188" s="23"/>
      <c r="CQ188" s="23"/>
      <c r="CR188" s="23"/>
      <c r="CS188" s="23"/>
      <c r="CT188" s="23"/>
      <c r="CU188" s="23"/>
      <c r="CV188" s="23"/>
      <c r="CW188" s="23"/>
      <c r="CX188" s="23"/>
      <c r="CY188" s="23"/>
      <c r="CZ188" s="23"/>
      <c r="DA188" s="23"/>
      <c r="DB188" s="23"/>
      <c r="DC188" s="23"/>
      <c r="DD188" s="23"/>
      <c r="DE188" s="23"/>
      <c r="DF188" s="23"/>
      <c r="DG188" s="23"/>
      <c r="DH188" s="23"/>
      <c r="DI188" s="23"/>
      <c r="DJ188" s="23"/>
      <c r="DK188" s="23"/>
      <c r="DL188" s="23"/>
      <c r="DM188" s="23"/>
      <c r="DN188" s="23"/>
      <c r="DO188" s="23"/>
      <c r="DP188" s="23"/>
      <c r="DQ188" s="23"/>
      <c r="DR188" s="23"/>
      <c r="DS188" s="23"/>
      <c r="DT188" s="23"/>
      <c r="DU188" s="23"/>
      <c r="DV188" s="23"/>
      <c r="DW188" s="23"/>
      <c r="DX188" s="23"/>
      <c r="DY188" s="23"/>
      <c r="DZ188" s="23"/>
      <c r="EA188" s="23"/>
      <c r="EB188" s="23"/>
      <c r="EC188" s="23"/>
      <c r="ED188" s="23"/>
      <c r="EE188" s="23"/>
      <c r="EF188" s="23"/>
      <c r="EG188" s="23"/>
      <c r="EH188" s="23"/>
      <c r="EI188" s="23"/>
      <c r="EJ188" s="23"/>
      <c r="EK188" s="23"/>
      <c r="EL188" s="23"/>
      <c r="EM188" s="23"/>
      <c r="EN188" s="23"/>
      <c r="EO188" s="23"/>
      <c r="EP188" s="23"/>
      <c r="EQ188" s="23"/>
      <c r="ER188" s="23"/>
      <c r="ES188" s="23"/>
      <c r="ET188" s="23"/>
      <c r="EU188" s="23"/>
      <c r="EV188" s="23"/>
      <c r="EW188" s="23"/>
      <c r="EX188" s="23"/>
      <c r="EY188" s="23"/>
      <c r="EZ188" s="23"/>
      <c r="FA188" s="23"/>
      <c r="FB188" s="23"/>
      <c r="FC188" s="23"/>
      <c r="FD188" s="23"/>
      <c r="FE188" s="23"/>
      <c r="FF188" s="23"/>
      <c r="FG188" s="23"/>
      <c r="FH188" s="23"/>
      <c r="FI188" s="23"/>
      <c r="FJ188" s="23"/>
      <c r="FK188" s="23"/>
      <c r="FL188" s="23"/>
      <c r="FM188" s="23"/>
      <c r="FN188" s="23"/>
      <c r="FO188" s="23"/>
      <c r="FP188" s="23"/>
      <c r="FQ188" s="23"/>
      <c r="FR188" s="23"/>
      <c r="FS188" s="23"/>
      <c r="FT188" s="23"/>
      <c r="FU188" s="23"/>
      <c r="FV188" s="23"/>
      <c r="FW188" s="23"/>
      <c r="FX188" s="23"/>
      <c r="FY188" s="23"/>
      <c r="FZ188" s="23"/>
      <c r="GA188" s="23"/>
      <c r="GB188" s="23"/>
      <c r="GC188" s="23"/>
      <c r="GD188" s="23"/>
      <c r="GE188" s="23"/>
      <c r="GF188" s="23"/>
      <c r="GG188" s="23"/>
      <c r="GH188" s="23"/>
      <c r="GI188" s="23"/>
      <c r="GJ188" s="23"/>
      <c r="GK188" s="23"/>
      <c r="GL188" s="23"/>
      <c r="GM188" s="23"/>
      <c r="GN188" s="23"/>
      <c r="GO188" s="23"/>
      <c r="GP188" s="23"/>
      <c r="GQ188" s="23"/>
      <c r="GR188" s="23"/>
      <c r="GS188" s="23"/>
      <c r="GT188" s="23"/>
      <c r="GU188" s="23"/>
      <c r="GV188" s="23"/>
      <c r="GW188" s="23"/>
      <c r="GX188" s="23"/>
      <c r="GY188" s="23"/>
      <c r="GZ188" s="23"/>
      <c r="HA188" s="23"/>
      <c r="HB188" s="23"/>
      <c r="HC188" s="23"/>
      <c r="HD188" s="23"/>
      <c r="HE188" s="23"/>
      <c r="HF188" s="23"/>
      <c r="HG188" s="23"/>
      <c r="HH188" s="23"/>
      <c r="HI188" s="23"/>
      <c r="HJ188" s="23"/>
      <c r="HK188" s="23"/>
      <c r="HL188" s="23"/>
      <c r="HM188" s="23"/>
      <c r="HN188" s="23"/>
      <c r="HO188" s="23"/>
      <c r="HP188" s="23"/>
      <c r="HQ188" s="23"/>
      <c r="HR188" s="23"/>
      <c r="HS188" s="23"/>
      <c r="HT188" s="23"/>
      <c r="HU188" s="23"/>
      <c r="HV188" s="23"/>
      <c r="HW188" s="23"/>
      <c r="HX188" s="23"/>
      <c r="HY188" s="23"/>
      <c r="HZ188" s="23"/>
      <c r="IA188" s="23"/>
      <c r="IB188" s="23"/>
      <c r="IC188" s="23"/>
      <c r="ID188" s="23"/>
      <c r="IE188" s="23"/>
      <c r="IF188" s="23"/>
      <c r="IG188" s="23"/>
      <c r="IH188" s="23"/>
      <c r="II188" s="23"/>
      <c r="IJ188" s="23"/>
      <c r="IK188" s="23"/>
      <c r="IL188" s="23"/>
      <c r="IM188" s="23"/>
      <c r="IN188" s="23"/>
      <c r="IO188" s="23"/>
      <c r="IP188" s="23"/>
      <c r="IQ188" s="23"/>
      <c r="IR188" s="23"/>
      <c r="IS188" s="23"/>
      <c r="IT188" s="23"/>
      <c r="IU188" s="23"/>
      <c r="IV188" s="23"/>
    </row>
    <row r="189" spans="1:256" ht="18" customHeight="1" x14ac:dyDescent="0.35">
      <c r="A189" s="1600">
        <v>183</v>
      </c>
      <c r="B189" s="1941"/>
      <c r="C189" s="1639"/>
      <c r="D189" s="1623" t="s">
        <v>129</v>
      </c>
      <c r="E189" s="1939">
        <f>SUM(E186:E188)</f>
        <v>944577</v>
      </c>
      <c r="F189" s="23"/>
      <c r="G189" s="1923"/>
      <c r="H189" s="23"/>
      <c r="I189" s="23"/>
      <c r="J189" s="704"/>
      <c r="K189" s="23"/>
      <c r="L189" s="704"/>
      <c r="M189" s="23"/>
      <c r="N189" s="23"/>
      <c r="O189" s="23"/>
      <c r="P189" s="23"/>
      <c r="Q189" s="23"/>
      <c r="R189" s="23"/>
      <c r="S189" s="23"/>
      <c r="T189" s="23"/>
      <c r="U189" s="23"/>
      <c r="V189" s="23"/>
      <c r="W189" s="23"/>
      <c r="X189" s="23"/>
      <c r="Y189" s="23"/>
      <c r="Z189" s="23"/>
      <c r="AA189" s="23"/>
      <c r="AB189" s="23"/>
      <c r="AC189" s="23"/>
      <c r="AD189" s="23"/>
      <c r="AE189" s="23"/>
      <c r="AF189" s="23"/>
      <c r="AG189" s="23"/>
      <c r="AH189" s="23"/>
      <c r="AI189" s="23"/>
      <c r="AJ189" s="23"/>
      <c r="AK189" s="23"/>
      <c r="AL189" s="23"/>
      <c r="AM189" s="23"/>
      <c r="AN189" s="23"/>
      <c r="AO189" s="23"/>
      <c r="AP189" s="23"/>
      <c r="AQ189" s="23"/>
      <c r="AR189" s="23"/>
      <c r="AS189" s="23"/>
      <c r="AT189" s="23"/>
      <c r="AU189" s="23"/>
      <c r="AV189" s="23"/>
      <c r="AW189" s="23"/>
      <c r="AX189" s="23"/>
      <c r="AY189" s="23"/>
      <c r="AZ189" s="23"/>
      <c r="BA189" s="23"/>
      <c r="BB189" s="23"/>
      <c r="BC189" s="23"/>
      <c r="BD189" s="23"/>
      <c r="BE189" s="23"/>
      <c r="BF189" s="23"/>
      <c r="BG189" s="23"/>
      <c r="BH189" s="23"/>
      <c r="BI189" s="23"/>
      <c r="BJ189" s="23"/>
      <c r="BK189" s="23"/>
      <c r="BL189" s="23"/>
      <c r="BM189" s="23"/>
      <c r="BN189" s="23"/>
      <c r="BO189" s="23"/>
      <c r="BP189" s="23"/>
      <c r="BQ189" s="23"/>
      <c r="BR189" s="23"/>
      <c r="BS189" s="23"/>
      <c r="BT189" s="23"/>
      <c r="BU189" s="23"/>
      <c r="BV189" s="23"/>
      <c r="BW189" s="23"/>
      <c r="BX189" s="23"/>
      <c r="BY189" s="23"/>
      <c r="BZ189" s="23"/>
      <c r="CA189" s="23"/>
      <c r="CB189" s="23"/>
      <c r="CC189" s="23"/>
      <c r="CD189" s="23"/>
      <c r="CE189" s="23"/>
      <c r="CF189" s="23"/>
      <c r="CG189" s="23"/>
      <c r="CH189" s="23"/>
      <c r="CI189" s="23"/>
      <c r="CJ189" s="23"/>
      <c r="CK189" s="23"/>
      <c r="CL189" s="23"/>
      <c r="CM189" s="23"/>
      <c r="CN189" s="23"/>
      <c r="CO189" s="23"/>
      <c r="CP189" s="23"/>
      <c r="CQ189" s="23"/>
      <c r="CR189" s="23"/>
      <c r="CS189" s="23"/>
      <c r="CT189" s="23"/>
      <c r="CU189" s="23"/>
      <c r="CV189" s="23"/>
      <c r="CW189" s="23"/>
      <c r="CX189" s="23"/>
      <c r="CY189" s="23"/>
      <c r="CZ189" s="23"/>
      <c r="DA189" s="23"/>
      <c r="DB189" s="23"/>
      <c r="DC189" s="23"/>
      <c r="DD189" s="23"/>
      <c r="DE189" s="23"/>
      <c r="DF189" s="23"/>
      <c r="DG189" s="23"/>
      <c r="DH189" s="23"/>
      <c r="DI189" s="23"/>
      <c r="DJ189" s="23"/>
      <c r="DK189" s="23"/>
      <c r="DL189" s="23"/>
      <c r="DM189" s="23"/>
      <c r="DN189" s="23"/>
      <c r="DO189" s="23"/>
      <c r="DP189" s="23"/>
      <c r="DQ189" s="23"/>
      <c r="DR189" s="23"/>
      <c r="DS189" s="23"/>
      <c r="DT189" s="23"/>
      <c r="DU189" s="23"/>
      <c r="DV189" s="23"/>
      <c r="DW189" s="23"/>
      <c r="DX189" s="23"/>
      <c r="DY189" s="23"/>
      <c r="DZ189" s="23"/>
      <c r="EA189" s="23"/>
      <c r="EB189" s="23"/>
      <c r="EC189" s="23"/>
      <c r="ED189" s="23"/>
      <c r="EE189" s="23"/>
      <c r="EF189" s="23"/>
      <c r="EG189" s="23"/>
      <c r="EH189" s="23"/>
      <c r="EI189" s="23"/>
      <c r="EJ189" s="23"/>
      <c r="EK189" s="23"/>
      <c r="EL189" s="23"/>
      <c r="EM189" s="23"/>
      <c r="EN189" s="23"/>
      <c r="EO189" s="23"/>
      <c r="EP189" s="23"/>
      <c r="EQ189" s="23"/>
      <c r="ER189" s="23"/>
      <c r="ES189" s="23"/>
      <c r="ET189" s="23"/>
      <c r="EU189" s="23"/>
      <c r="EV189" s="23"/>
      <c r="EW189" s="23"/>
      <c r="EX189" s="23"/>
      <c r="EY189" s="23"/>
      <c r="EZ189" s="23"/>
      <c r="FA189" s="23"/>
      <c r="FB189" s="23"/>
      <c r="FC189" s="23"/>
      <c r="FD189" s="23"/>
      <c r="FE189" s="23"/>
      <c r="FF189" s="23"/>
      <c r="FG189" s="23"/>
      <c r="FH189" s="23"/>
      <c r="FI189" s="23"/>
      <c r="FJ189" s="23"/>
      <c r="FK189" s="23"/>
      <c r="FL189" s="23"/>
      <c r="FM189" s="23"/>
      <c r="FN189" s="23"/>
      <c r="FO189" s="23"/>
      <c r="FP189" s="23"/>
      <c r="FQ189" s="23"/>
      <c r="FR189" s="23"/>
      <c r="FS189" s="23"/>
      <c r="FT189" s="23"/>
      <c r="FU189" s="23"/>
      <c r="FV189" s="23"/>
      <c r="FW189" s="23"/>
      <c r="FX189" s="23"/>
      <c r="FY189" s="23"/>
      <c r="FZ189" s="23"/>
      <c r="GA189" s="23"/>
      <c r="GB189" s="23"/>
      <c r="GC189" s="23"/>
      <c r="GD189" s="23"/>
      <c r="GE189" s="23"/>
      <c r="GF189" s="23"/>
      <c r="GG189" s="23"/>
      <c r="GH189" s="23"/>
      <c r="GI189" s="23"/>
      <c r="GJ189" s="23"/>
      <c r="GK189" s="23"/>
      <c r="GL189" s="23"/>
      <c r="GM189" s="23"/>
      <c r="GN189" s="23"/>
      <c r="GO189" s="23"/>
      <c r="GP189" s="23"/>
      <c r="GQ189" s="23"/>
      <c r="GR189" s="23"/>
      <c r="GS189" s="23"/>
      <c r="GT189" s="23"/>
      <c r="GU189" s="23"/>
      <c r="GV189" s="23"/>
      <c r="GW189" s="23"/>
      <c r="GX189" s="23"/>
      <c r="GY189" s="23"/>
      <c r="GZ189" s="23"/>
      <c r="HA189" s="23"/>
      <c r="HB189" s="23"/>
      <c r="HC189" s="23"/>
      <c r="HD189" s="23"/>
      <c r="HE189" s="23"/>
      <c r="HF189" s="23"/>
      <c r="HG189" s="23"/>
      <c r="HH189" s="23"/>
      <c r="HI189" s="23"/>
      <c r="HJ189" s="23"/>
      <c r="HK189" s="23"/>
      <c r="HL189" s="23"/>
      <c r="HM189" s="23"/>
      <c r="HN189" s="23"/>
      <c r="HO189" s="23"/>
      <c r="HP189" s="23"/>
      <c r="HQ189" s="23"/>
      <c r="HR189" s="23"/>
      <c r="HS189" s="23"/>
      <c r="HT189" s="23"/>
      <c r="HU189" s="23"/>
      <c r="HV189" s="23"/>
      <c r="HW189" s="23"/>
      <c r="HX189" s="23"/>
      <c r="HY189" s="23"/>
      <c r="HZ189" s="23"/>
      <c r="IA189" s="23"/>
      <c r="IB189" s="23"/>
      <c r="IC189" s="23"/>
      <c r="ID189" s="23"/>
      <c r="IE189" s="23"/>
      <c r="IF189" s="23"/>
      <c r="IG189" s="23"/>
      <c r="IH189" s="23"/>
      <c r="II189" s="23"/>
      <c r="IJ189" s="23"/>
      <c r="IK189" s="23"/>
      <c r="IL189" s="23"/>
      <c r="IM189" s="23"/>
      <c r="IN189" s="23"/>
      <c r="IO189" s="23"/>
      <c r="IP189" s="23"/>
      <c r="IQ189" s="23"/>
      <c r="IR189" s="23"/>
      <c r="IS189" s="23"/>
      <c r="IT189" s="23"/>
      <c r="IU189" s="23"/>
      <c r="IV189" s="23"/>
    </row>
    <row r="190" spans="1:256" ht="18" customHeight="1" x14ac:dyDescent="0.35">
      <c r="A190" s="1600">
        <v>184</v>
      </c>
      <c r="B190" s="1941"/>
      <c r="C190" s="1639"/>
      <c r="D190" s="1638" t="s">
        <v>1274</v>
      </c>
      <c r="E190" s="1611"/>
      <c r="F190" s="23"/>
      <c r="G190" s="1923"/>
      <c r="H190" s="23"/>
      <c r="I190" s="23"/>
      <c r="J190" s="704"/>
      <c r="K190" s="23"/>
      <c r="L190" s="704"/>
      <c r="M190" s="23"/>
      <c r="N190" s="23"/>
      <c r="O190" s="23"/>
      <c r="P190" s="23"/>
      <c r="Q190" s="23"/>
      <c r="R190" s="23"/>
      <c r="S190" s="23"/>
      <c r="T190" s="23"/>
      <c r="U190" s="23"/>
      <c r="V190" s="23"/>
      <c r="W190" s="23"/>
      <c r="X190" s="23"/>
      <c r="Y190" s="23"/>
      <c r="Z190" s="23"/>
      <c r="AA190" s="23"/>
      <c r="AB190" s="23"/>
      <c r="AC190" s="23"/>
      <c r="AD190" s="23"/>
      <c r="AE190" s="23"/>
      <c r="AF190" s="23"/>
      <c r="AG190" s="23"/>
      <c r="AH190" s="23"/>
      <c r="AI190" s="23"/>
      <c r="AJ190" s="23"/>
      <c r="AK190" s="23"/>
      <c r="AL190" s="23"/>
      <c r="AM190" s="23"/>
      <c r="AN190" s="23"/>
      <c r="AO190" s="23"/>
      <c r="AP190" s="23"/>
      <c r="AQ190" s="23"/>
      <c r="AR190" s="23"/>
      <c r="AS190" s="23"/>
      <c r="AT190" s="23"/>
      <c r="AU190" s="23"/>
      <c r="AV190" s="23"/>
      <c r="AW190" s="23"/>
      <c r="AX190" s="23"/>
      <c r="AY190" s="23"/>
      <c r="AZ190" s="23"/>
      <c r="BA190" s="23"/>
      <c r="BB190" s="23"/>
      <c r="BC190" s="23"/>
      <c r="BD190" s="23"/>
      <c r="BE190" s="23"/>
      <c r="BF190" s="23"/>
      <c r="BG190" s="23"/>
      <c r="BH190" s="23"/>
      <c r="BI190" s="23"/>
      <c r="BJ190" s="23"/>
      <c r="BK190" s="23"/>
      <c r="BL190" s="23"/>
      <c r="BM190" s="23"/>
      <c r="BN190" s="23"/>
      <c r="BO190" s="23"/>
      <c r="BP190" s="23"/>
      <c r="BQ190" s="23"/>
      <c r="BR190" s="23"/>
      <c r="BS190" s="23"/>
      <c r="BT190" s="23"/>
      <c r="BU190" s="23"/>
      <c r="BV190" s="23"/>
      <c r="BW190" s="23"/>
      <c r="BX190" s="23"/>
      <c r="BY190" s="23"/>
      <c r="BZ190" s="23"/>
      <c r="CA190" s="23"/>
      <c r="CB190" s="23"/>
      <c r="CC190" s="23"/>
      <c r="CD190" s="23"/>
      <c r="CE190" s="23"/>
      <c r="CF190" s="23"/>
      <c r="CG190" s="23"/>
      <c r="CH190" s="23"/>
      <c r="CI190" s="23"/>
      <c r="CJ190" s="23"/>
      <c r="CK190" s="23"/>
      <c r="CL190" s="23"/>
      <c r="CM190" s="23"/>
      <c r="CN190" s="23"/>
      <c r="CO190" s="23"/>
      <c r="CP190" s="23"/>
      <c r="CQ190" s="23"/>
      <c r="CR190" s="23"/>
      <c r="CS190" s="23"/>
      <c r="CT190" s="23"/>
      <c r="CU190" s="23"/>
      <c r="CV190" s="23"/>
      <c r="CW190" s="23"/>
      <c r="CX190" s="23"/>
      <c r="CY190" s="23"/>
      <c r="CZ190" s="23"/>
      <c r="DA190" s="23"/>
      <c r="DB190" s="23"/>
      <c r="DC190" s="23"/>
      <c r="DD190" s="23"/>
      <c r="DE190" s="23"/>
      <c r="DF190" s="23"/>
      <c r="DG190" s="23"/>
      <c r="DH190" s="23"/>
      <c r="DI190" s="23"/>
      <c r="DJ190" s="23"/>
      <c r="DK190" s="23"/>
      <c r="DL190" s="23"/>
      <c r="DM190" s="23"/>
      <c r="DN190" s="23"/>
      <c r="DO190" s="23"/>
      <c r="DP190" s="23"/>
      <c r="DQ190" s="23"/>
      <c r="DR190" s="23"/>
      <c r="DS190" s="23"/>
      <c r="DT190" s="23"/>
      <c r="DU190" s="23"/>
      <c r="DV190" s="23"/>
      <c r="DW190" s="23"/>
      <c r="DX190" s="23"/>
      <c r="DY190" s="23"/>
      <c r="DZ190" s="23"/>
      <c r="EA190" s="23"/>
      <c r="EB190" s="23"/>
      <c r="EC190" s="23"/>
      <c r="ED190" s="23"/>
      <c r="EE190" s="23"/>
      <c r="EF190" s="23"/>
      <c r="EG190" s="23"/>
      <c r="EH190" s="23"/>
      <c r="EI190" s="23"/>
      <c r="EJ190" s="23"/>
      <c r="EK190" s="23"/>
      <c r="EL190" s="23"/>
      <c r="EM190" s="23"/>
      <c r="EN190" s="23"/>
      <c r="EO190" s="23"/>
      <c r="EP190" s="23"/>
      <c r="EQ190" s="23"/>
      <c r="ER190" s="23"/>
      <c r="ES190" s="23"/>
      <c r="ET190" s="23"/>
      <c r="EU190" s="23"/>
      <c r="EV190" s="23"/>
      <c r="EW190" s="23"/>
      <c r="EX190" s="23"/>
      <c r="EY190" s="23"/>
      <c r="EZ190" s="23"/>
      <c r="FA190" s="23"/>
      <c r="FB190" s="23"/>
      <c r="FC190" s="23"/>
      <c r="FD190" s="23"/>
      <c r="FE190" s="23"/>
      <c r="FF190" s="23"/>
      <c r="FG190" s="23"/>
      <c r="FH190" s="23"/>
      <c r="FI190" s="23"/>
      <c r="FJ190" s="23"/>
      <c r="FK190" s="23"/>
      <c r="FL190" s="23"/>
      <c r="FM190" s="23"/>
      <c r="FN190" s="23"/>
      <c r="FO190" s="23"/>
      <c r="FP190" s="23"/>
      <c r="FQ190" s="23"/>
      <c r="FR190" s="23"/>
      <c r="FS190" s="23"/>
      <c r="FT190" s="23"/>
      <c r="FU190" s="23"/>
      <c r="FV190" s="23"/>
      <c r="FW190" s="23"/>
      <c r="FX190" s="23"/>
      <c r="FY190" s="23"/>
      <c r="FZ190" s="23"/>
      <c r="GA190" s="23"/>
      <c r="GB190" s="23"/>
      <c r="GC190" s="23"/>
      <c r="GD190" s="23"/>
      <c r="GE190" s="23"/>
      <c r="GF190" s="23"/>
      <c r="GG190" s="23"/>
      <c r="GH190" s="23"/>
      <c r="GI190" s="23"/>
      <c r="GJ190" s="23"/>
      <c r="GK190" s="23"/>
      <c r="GL190" s="23"/>
      <c r="GM190" s="23"/>
      <c r="GN190" s="23"/>
      <c r="GO190" s="23"/>
      <c r="GP190" s="23"/>
      <c r="GQ190" s="23"/>
      <c r="GR190" s="23"/>
      <c r="GS190" s="23"/>
      <c r="GT190" s="23"/>
      <c r="GU190" s="23"/>
      <c r="GV190" s="23"/>
      <c r="GW190" s="23"/>
      <c r="GX190" s="23"/>
      <c r="GY190" s="23"/>
      <c r="GZ190" s="23"/>
      <c r="HA190" s="23"/>
      <c r="HB190" s="23"/>
      <c r="HC190" s="23"/>
      <c r="HD190" s="23"/>
      <c r="HE190" s="23"/>
      <c r="HF190" s="23"/>
      <c r="HG190" s="23"/>
      <c r="HH190" s="23"/>
      <c r="HI190" s="23"/>
      <c r="HJ190" s="23"/>
      <c r="HK190" s="23"/>
      <c r="HL190" s="23"/>
      <c r="HM190" s="23"/>
      <c r="HN190" s="23"/>
      <c r="HO190" s="23"/>
      <c r="HP190" s="23"/>
      <c r="HQ190" s="23"/>
      <c r="HR190" s="23"/>
      <c r="HS190" s="23"/>
      <c r="HT190" s="23"/>
      <c r="HU190" s="23"/>
      <c r="HV190" s="23"/>
      <c r="HW190" s="23"/>
      <c r="HX190" s="23"/>
      <c r="HY190" s="23"/>
      <c r="HZ190" s="23"/>
      <c r="IA190" s="23"/>
      <c r="IB190" s="23"/>
      <c r="IC190" s="23"/>
      <c r="ID190" s="23"/>
      <c r="IE190" s="23"/>
      <c r="IF190" s="23"/>
      <c r="IG190" s="23"/>
      <c r="IH190" s="23"/>
      <c r="II190" s="23"/>
      <c r="IJ190" s="23"/>
      <c r="IK190" s="23"/>
      <c r="IL190" s="23"/>
      <c r="IM190" s="23"/>
      <c r="IN190" s="23"/>
      <c r="IO190" s="23"/>
      <c r="IP190" s="23"/>
      <c r="IQ190" s="23"/>
      <c r="IR190" s="23"/>
      <c r="IS190" s="23"/>
      <c r="IT190" s="23"/>
      <c r="IU190" s="23"/>
      <c r="IV190" s="23"/>
    </row>
    <row r="191" spans="1:256" ht="32.25" customHeight="1" x14ac:dyDescent="0.35">
      <c r="A191" s="1600">
        <v>185</v>
      </c>
      <c r="B191" s="1941"/>
      <c r="C191" s="1639"/>
      <c r="D191" s="1667" t="s">
        <v>1255</v>
      </c>
      <c r="E191" s="1611">
        <v>140058</v>
      </c>
      <c r="F191" s="23"/>
      <c r="G191" s="1923"/>
      <c r="H191" s="23"/>
      <c r="I191" s="23"/>
      <c r="J191" s="704"/>
      <c r="K191" s="23"/>
      <c r="L191" s="704"/>
      <c r="M191" s="23"/>
      <c r="N191" s="23"/>
      <c r="O191" s="23"/>
      <c r="P191" s="23"/>
      <c r="Q191" s="23"/>
      <c r="R191" s="23"/>
      <c r="S191" s="23"/>
      <c r="T191" s="23"/>
      <c r="U191" s="23"/>
      <c r="V191" s="23"/>
      <c r="W191" s="23"/>
      <c r="X191" s="23"/>
      <c r="Y191" s="23"/>
      <c r="Z191" s="23"/>
      <c r="AA191" s="23"/>
      <c r="AB191" s="23"/>
      <c r="AC191" s="23"/>
      <c r="AD191" s="23"/>
      <c r="AE191" s="23"/>
      <c r="AF191" s="23"/>
      <c r="AG191" s="23"/>
      <c r="AH191" s="23"/>
      <c r="AI191" s="23"/>
      <c r="AJ191" s="23"/>
      <c r="AK191" s="23"/>
      <c r="AL191" s="23"/>
      <c r="AM191" s="23"/>
      <c r="AN191" s="23"/>
      <c r="AO191" s="23"/>
      <c r="AP191" s="23"/>
      <c r="AQ191" s="23"/>
      <c r="AR191" s="23"/>
      <c r="AS191" s="23"/>
      <c r="AT191" s="23"/>
      <c r="AU191" s="23"/>
      <c r="AV191" s="23"/>
      <c r="AW191" s="23"/>
      <c r="AX191" s="23"/>
      <c r="AY191" s="23"/>
      <c r="AZ191" s="23"/>
      <c r="BA191" s="23"/>
      <c r="BB191" s="23"/>
      <c r="BC191" s="23"/>
      <c r="BD191" s="23"/>
      <c r="BE191" s="23"/>
      <c r="BF191" s="23"/>
      <c r="BG191" s="23"/>
      <c r="BH191" s="23"/>
      <c r="BI191" s="23"/>
      <c r="BJ191" s="23"/>
      <c r="BK191" s="23"/>
      <c r="BL191" s="23"/>
      <c r="BM191" s="23"/>
      <c r="BN191" s="23"/>
      <c r="BO191" s="23"/>
      <c r="BP191" s="23"/>
      <c r="BQ191" s="23"/>
      <c r="BR191" s="23"/>
      <c r="BS191" s="23"/>
      <c r="BT191" s="23"/>
      <c r="BU191" s="23"/>
      <c r="BV191" s="23"/>
      <c r="BW191" s="23"/>
      <c r="BX191" s="23"/>
      <c r="BY191" s="23"/>
      <c r="BZ191" s="23"/>
      <c r="CA191" s="23"/>
      <c r="CB191" s="23"/>
      <c r="CC191" s="23"/>
      <c r="CD191" s="23"/>
      <c r="CE191" s="23"/>
      <c r="CF191" s="23"/>
      <c r="CG191" s="23"/>
      <c r="CH191" s="23"/>
      <c r="CI191" s="23"/>
      <c r="CJ191" s="23"/>
      <c r="CK191" s="23"/>
      <c r="CL191" s="23"/>
      <c r="CM191" s="23"/>
      <c r="CN191" s="23"/>
      <c r="CO191" s="23"/>
      <c r="CP191" s="23"/>
      <c r="CQ191" s="23"/>
      <c r="CR191" s="23"/>
      <c r="CS191" s="23"/>
      <c r="CT191" s="23"/>
      <c r="CU191" s="23"/>
      <c r="CV191" s="23"/>
      <c r="CW191" s="23"/>
      <c r="CX191" s="23"/>
      <c r="CY191" s="23"/>
      <c r="CZ191" s="23"/>
      <c r="DA191" s="23"/>
      <c r="DB191" s="23"/>
      <c r="DC191" s="23"/>
      <c r="DD191" s="23"/>
      <c r="DE191" s="23"/>
      <c r="DF191" s="23"/>
      <c r="DG191" s="23"/>
      <c r="DH191" s="23"/>
      <c r="DI191" s="23"/>
      <c r="DJ191" s="23"/>
      <c r="DK191" s="23"/>
      <c r="DL191" s="23"/>
      <c r="DM191" s="23"/>
      <c r="DN191" s="23"/>
      <c r="DO191" s="23"/>
      <c r="DP191" s="23"/>
      <c r="DQ191" s="23"/>
      <c r="DR191" s="23"/>
      <c r="DS191" s="23"/>
      <c r="DT191" s="23"/>
      <c r="DU191" s="23"/>
      <c r="DV191" s="23"/>
      <c r="DW191" s="23"/>
      <c r="DX191" s="23"/>
      <c r="DY191" s="23"/>
      <c r="DZ191" s="23"/>
      <c r="EA191" s="23"/>
      <c r="EB191" s="23"/>
      <c r="EC191" s="23"/>
      <c r="ED191" s="23"/>
      <c r="EE191" s="23"/>
      <c r="EF191" s="23"/>
      <c r="EG191" s="23"/>
      <c r="EH191" s="23"/>
      <c r="EI191" s="23"/>
      <c r="EJ191" s="23"/>
      <c r="EK191" s="23"/>
      <c r="EL191" s="23"/>
      <c r="EM191" s="23"/>
      <c r="EN191" s="23"/>
      <c r="EO191" s="23"/>
      <c r="EP191" s="23"/>
      <c r="EQ191" s="23"/>
      <c r="ER191" s="23"/>
      <c r="ES191" s="23"/>
      <c r="ET191" s="23"/>
      <c r="EU191" s="23"/>
      <c r="EV191" s="23"/>
      <c r="EW191" s="23"/>
      <c r="EX191" s="23"/>
      <c r="EY191" s="23"/>
      <c r="EZ191" s="23"/>
      <c r="FA191" s="23"/>
      <c r="FB191" s="23"/>
      <c r="FC191" s="23"/>
      <c r="FD191" s="23"/>
      <c r="FE191" s="23"/>
      <c r="FF191" s="23"/>
      <c r="FG191" s="23"/>
      <c r="FH191" s="23"/>
      <c r="FI191" s="23"/>
      <c r="FJ191" s="23"/>
      <c r="FK191" s="23"/>
      <c r="FL191" s="23"/>
      <c r="FM191" s="23"/>
      <c r="FN191" s="23"/>
      <c r="FO191" s="23"/>
      <c r="FP191" s="23"/>
      <c r="FQ191" s="23"/>
      <c r="FR191" s="23"/>
      <c r="FS191" s="23"/>
      <c r="FT191" s="23"/>
      <c r="FU191" s="23"/>
      <c r="FV191" s="23"/>
      <c r="FW191" s="23"/>
      <c r="FX191" s="23"/>
      <c r="FY191" s="23"/>
      <c r="FZ191" s="23"/>
      <c r="GA191" s="23"/>
      <c r="GB191" s="23"/>
      <c r="GC191" s="23"/>
      <c r="GD191" s="23"/>
      <c r="GE191" s="23"/>
      <c r="GF191" s="23"/>
      <c r="GG191" s="23"/>
      <c r="GH191" s="23"/>
      <c r="GI191" s="23"/>
      <c r="GJ191" s="23"/>
      <c r="GK191" s="23"/>
      <c r="GL191" s="23"/>
      <c r="GM191" s="23"/>
      <c r="GN191" s="23"/>
      <c r="GO191" s="23"/>
      <c r="GP191" s="23"/>
      <c r="GQ191" s="23"/>
      <c r="GR191" s="23"/>
      <c r="GS191" s="23"/>
      <c r="GT191" s="23"/>
      <c r="GU191" s="23"/>
      <c r="GV191" s="23"/>
      <c r="GW191" s="23"/>
      <c r="GX191" s="23"/>
      <c r="GY191" s="23"/>
      <c r="GZ191" s="23"/>
      <c r="HA191" s="23"/>
      <c r="HB191" s="23"/>
      <c r="HC191" s="23"/>
      <c r="HD191" s="23"/>
      <c r="HE191" s="23"/>
      <c r="HF191" s="23"/>
      <c r="HG191" s="23"/>
      <c r="HH191" s="23"/>
      <c r="HI191" s="23"/>
      <c r="HJ191" s="23"/>
      <c r="HK191" s="23"/>
      <c r="HL191" s="23"/>
      <c r="HM191" s="23"/>
      <c r="HN191" s="23"/>
      <c r="HO191" s="23"/>
      <c r="HP191" s="23"/>
      <c r="HQ191" s="23"/>
      <c r="HR191" s="23"/>
      <c r="HS191" s="23"/>
      <c r="HT191" s="23"/>
      <c r="HU191" s="23"/>
      <c r="HV191" s="23"/>
      <c r="HW191" s="23"/>
      <c r="HX191" s="23"/>
      <c r="HY191" s="23"/>
      <c r="HZ191" s="23"/>
      <c r="IA191" s="23"/>
      <c r="IB191" s="23"/>
      <c r="IC191" s="23"/>
      <c r="ID191" s="23"/>
      <c r="IE191" s="23"/>
      <c r="IF191" s="23"/>
      <c r="IG191" s="23"/>
      <c r="IH191" s="23"/>
      <c r="II191" s="23"/>
      <c r="IJ191" s="23"/>
      <c r="IK191" s="23"/>
      <c r="IL191" s="23"/>
      <c r="IM191" s="23"/>
      <c r="IN191" s="23"/>
      <c r="IO191" s="23"/>
      <c r="IP191" s="23"/>
      <c r="IQ191" s="23"/>
      <c r="IR191" s="23"/>
      <c r="IS191" s="23"/>
      <c r="IT191" s="23"/>
      <c r="IU191" s="23"/>
      <c r="IV191" s="23"/>
    </row>
    <row r="192" spans="1:256" ht="20.100000000000001" customHeight="1" x14ac:dyDescent="0.35">
      <c r="A192" s="1600">
        <v>186</v>
      </c>
      <c r="B192" s="1941"/>
      <c r="C192" s="1639"/>
      <c r="D192" s="1667" t="s">
        <v>1337</v>
      </c>
      <c r="E192" s="1612">
        <v>9341</v>
      </c>
      <c r="F192" s="23"/>
      <c r="G192" s="1923"/>
      <c r="H192" s="23"/>
      <c r="I192" s="23"/>
      <c r="J192" s="704"/>
      <c r="K192" s="23"/>
      <c r="L192" s="704"/>
      <c r="M192" s="23"/>
      <c r="N192" s="23"/>
      <c r="O192" s="23"/>
      <c r="P192" s="23"/>
      <c r="Q192" s="23"/>
      <c r="R192" s="23"/>
      <c r="S192" s="23"/>
      <c r="T192" s="23"/>
      <c r="U192" s="23"/>
      <c r="V192" s="23"/>
      <c r="W192" s="23"/>
      <c r="X192" s="23"/>
      <c r="Y192" s="23"/>
      <c r="Z192" s="23"/>
      <c r="AA192" s="23"/>
      <c r="AB192" s="23"/>
      <c r="AC192" s="23"/>
      <c r="AD192" s="23"/>
      <c r="AE192" s="23"/>
      <c r="AF192" s="23"/>
      <c r="AG192" s="23"/>
      <c r="AH192" s="23"/>
      <c r="AI192" s="23"/>
      <c r="AJ192" s="23"/>
      <c r="AK192" s="23"/>
      <c r="AL192" s="23"/>
      <c r="AM192" s="23"/>
      <c r="AN192" s="23"/>
      <c r="AO192" s="23"/>
      <c r="AP192" s="23"/>
      <c r="AQ192" s="23"/>
      <c r="AR192" s="23"/>
      <c r="AS192" s="23"/>
      <c r="AT192" s="23"/>
      <c r="AU192" s="23"/>
      <c r="AV192" s="23"/>
      <c r="AW192" s="23"/>
      <c r="AX192" s="23"/>
      <c r="AY192" s="23"/>
      <c r="AZ192" s="23"/>
      <c r="BA192" s="23"/>
      <c r="BB192" s="23"/>
      <c r="BC192" s="23"/>
      <c r="BD192" s="23"/>
      <c r="BE192" s="23"/>
      <c r="BF192" s="23"/>
      <c r="BG192" s="23"/>
      <c r="BH192" s="23"/>
      <c r="BI192" s="23"/>
      <c r="BJ192" s="23"/>
      <c r="BK192" s="23"/>
      <c r="BL192" s="23"/>
      <c r="BM192" s="23"/>
      <c r="BN192" s="23"/>
      <c r="BO192" s="23"/>
      <c r="BP192" s="23"/>
      <c r="BQ192" s="23"/>
      <c r="BR192" s="23"/>
      <c r="BS192" s="23"/>
      <c r="BT192" s="23"/>
      <c r="BU192" s="23"/>
      <c r="BV192" s="23"/>
      <c r="BW192" s="23"/>
      <c r="BX192" s="23"/>
      <c r="BY192" s="23"/>
      <c r="BZ192" s="23"/>
      <c r="CA192" s="23"/>
      <c r="CB192" s="23"/>
      <c r="CC192" s="23"/>
      <c r="CD192" s="23"/>
      <c r="CE192" s="23"/>
      <c r="CF192" s="23"/>
      <c r="CG192" s="23"/>
      <c r="CH192" s="23"/>
      <c r="CI192" s="23"/>
      <c r="CJ192" s="23"/>
      <c r="CK192" s="23"/>
      <c r="CL192" s="23"/>
      <c r="CM192" s="23"/>
      <c r="CN192" s="23"/>
      <c r="CO192" s="23"/>
      <c r="CP192" s="23"/>
      <c r="CQ192" s="23"/>
      <c r="CR192" s="23"/>
      <c r="CS192" s="23"/>
      <c r="CT192" s="23"/>
      <c r="CU192" s="23"/>
      <c r="CV192" s="23"/>
      <c r="CW192" s="23"/>
      <c r="CX192" s="23"/>
      <c r="CY192" s="23"/>
      <c r="CZ192" s="23"/>
      <c r="DA192" s="23"/>
      <c r="DB192" s="23"/>
      <c r="DC192" s="23"/>
      <c r="DD192" s="23"/>
      <c r="DE192" s="23"/>
      <c r="DF192" s="23"/>
      <c r="DG192" s="23"/>
      <c r="DH192" s="23"/>
      <c r="DI192" s="23"/>
      <c r="DJ192" s="23"/>
      <c r="DK192" s="23"/>
      <c r="DL192" s="23"/>
      <c r="DM192" s="23"/>
      <c r="DN192" s="23"/>
      <c r="DO192" s="23"/>
      <c r="DP192" s="23"/>
      <c r="DQ192" s="23"/>
      <c r="DR192" s="23"/>
      <c r="DS192" s="23"/>
      <c r="DT192" s="23"/>
      <c r="DU192" s="23"/>
      <c r="DV192" s="23"/>
      <c r="DW192" s="23"/>
      <c r="DX192" s="23"/>
      <c r="DY192" s="23"/>
      <c r="DZ192" s="23"/>
      <c r="EA192" s="23"/>
      <c r="EB192" s="23"/>
      <c r="EC192" s="23"/>
      <c r="ED192" s="23"/>
      <c r="EE192" s="23"/>
      <c r="EF192" s="23"/>
      <c r="EG192" s="23"/>
      <c r="EH192" s="23"/>
      <c r="EI192" s="23"/>
      <c r="EJ192" s="23"/>
      <c r="EK192" s="23"/>
      <c r="EL192" s="23"/>
      <c r="EM192" s="23"/>
      <c r="EN192" s="23"/>
      <c r="EO192" s="23"/>
      <c r="EP192" s="23"/>
      <c r="EQ192" s="23"/>
      <c r="ER192" s="23"/>
      <c r="ES192" s="23"/>
      <c r="ET192" s="23"/>
      <c r="EU192" s="23"/>
      <c r="EV192" s="23"/>
      <c r="EW192" s="23"/>
      <c r="EX192" s="23"/>
      <c r="EY192" s="23"/>
      <c r="EZ192" s="23"/>
      <c r="FA192" s="23"/>
      <c r="FB192" s="23"/>
      <c r="FC192" s="23"/>
      <c r="FD192" s="23"/>
      <c r="FE192" s="23"/>
      <c r="FF192" s="23"/>
      <c r="FG192" s="23"/>
      <c r="FH192" s="23"/>
      <c r="FI192" s="23"/>
      <c r="FJ192" s="23"/>
      <c r="FK192" s="23"/>
      <c r="FL192" s="23"/>
      <c r="FM192" s="23"/>
      <c r="FN192" s="23"/>
      <c r="FO192" s="23"/>
      <c r="FP192" s="23"/>
      <c r="FQ192" s="23"/>
      <c r="FR192" s="23"/>
      <c r="FS192" s="23"/>
      <c r="FT192" s="23"/>
      <c r="FU192" s="23"/>
      <c r="FV192" s="23"/>
      <c r="FW192" s="23"/>
      <c r="FX192" s="23"/>
      <c r="FY192" s="23"/>
      <c r="FZ192" s="23"/>
      <c r="GA192" s="23"/>
      <c r="GB192" s="23"/>
      <c r="GC192" s="23"/>
      <c r="GD192" s="23"/>
      <c r="GE192" s="23"/>
      <c r="GF192" s="23"/>
      <c r="GG192" s="23"/>
      <c r="GH192" s="23"/>
      <c r="GI192" s="23"/>
      <c r="GJ192" s="23"/>
      <c r="GK192" s="23"/>
      <c r="GL192" s="23"/>
      <c r="GM192" s="23"/>
      <c r="GN192" s="23"/>
      <c r="GO192" s="23"/>
      <c r="GP192" s="23"/>
      <c r="GQ192" s="23"/>
      <c r="GR192" s="23"/>
      <c r="GS192" s="23"/>
      <c r="GT192" s="23"/>
      <c r="GU192" s="23"/>
      <c r="GV192" s="23"/>
      <c r="GW192" s="23"/>
      <c r="GX192" s="23"/>
      <c r="GY192" s="23"/>
      <c r="GZ192" s="23"/>
      <c r="HA192" s="23"/>
      <c r="HB192" s="23"/>
      <c r="HC192" s="23"/>
      <c r="HD192" s="23"/>
      <c r="HE192" s="23"/>
      <c r="HF192" s="23"/>
      <c r="HG192" s="23"/>
      <c r="HH192" s="23"/>
      <c r="HI192" s="23"/>
      <c r="HJ192" s="23"/>
      <c r="HK192" s="23"/>
      <c r="HL192" s="23"/>
      <c r="HM192" s="23"/>
      <c r="HN192" s="23"/>
      <c r="HO192" s="23"/>
      <c r="HP192" s="23"/>
      <c r="HQ192" s="23"/>
      <c r="HR192" s="23"/>
      <c r="HS192" s="23"/>
      <c r="HT192" s="23"/>
      <c r="HU192" s="23"/>
      <c r="HV192" s="23"/>
      <c r="HW192" s="23"/>
      <c r="HX192" s="23"/>
      <c r="HY192" s="23"/>
      <c r="HZ192" s="23"/>
      <c r="IA192" s="23"/>
      <c r="IB192" s="23"/>
      <c r="IC192" s="23"/>
      <c r="ID192" s="23"/>
      <c r="IE192" s="23"/>
      <c r="IF192" s="23"/>
      <c r="IG192" s="23"/>
      <c r="IH192" s="23"/>
      <c r="II192" s="23"/>
      <c r="IJ192" s="23"/>
      <c r="IK192" s="23"/>
      <c r="IL192" s="23"/>
      <c r="IM192" s="23"/>
      <c r="IN192" s="23"/>
      <c r="IO192" s="23"/>
      <c r="IP192" s="23"/>
      <c r="IQ192" s="23"/>
      <c r="IR192" s="23"/>
      <c r="IS192" s="23"/>
      <c r="IT192" s="23"/>
      <c r="IU192" s="23"/>
      <c r="IV192" s="23"/>
    </row>
    <row r="193" spans="1:256" ht="20.100000000000001" customHeight="1" x14ac:dyDescent="0.35">
      <c r="A193" s="1600">
        <v>187</v>
      </c>
      <c r="B193" s="1941"/>
      <c r="C193" s="1639"/>
      <c r="D193" s="1623" t="s">
        <v>129</v>
      </c>
      <c r="E193" s="1665">
        <f>SUM(E191:E192)</f>
        <v>149399</v>
      </c>
      <c r="F193" s="23"/>
      <c r="G193" s="1923"/>
      <c r="I193" s="23"/>
      <c r="J193" s="704"/>
      <c r="K193" s="23"/>
      <c r="L193" s="704"/>
      <c r="M193" s="23"/>
      <c r="N193" s="23"/>
      <c r="O193" s="23"/>
      <c r="P193" s="23"/>
      <c r="Q193" s="23"/>
      <c r="R193" s="23"/>
      <c r="S193" s="23"/>
      <c r="T193" s="23"/>
      <c r="U193" s="23"/>
      <c r="V193" s="23"/>
      <c r="W193" s="23"/>
      <c r="X193" s="23"/>
      <c r="Y193" s="23"/>
      <c r="Z193" s="23"/>
      <c r="AA193" s="23"/>
      <c r="AB193" s="23"/>
      <c r="AC193" s="23"/>
      <c r="AD193" s="23"/>
      <c r="AE193" s="23"/>
      <c r="AF193" s="23"/>
      <c r="AG193" s="23"/>
      <c r="AH193" s="23"/>
      <c r="AI193" s="23"/>
      <c r="AJ193" s="23"/>
      <c r="AK193" s="23"/>
      <c r="AL193" s="23"/>
      <c r="AM193" s="23"/>
      <c r="AN193" s="23"/>
      <c r="AO193" s="23"/>
      <c r="AP193" s="23"/>
      <c r="AQ193" s="23"/>
      <c r="AR193" s="23"/>
      <c r="AS193" s="23"/>
      <c r="AT193" s="23"/>
      <c r="AU193" s="23"/>
      <c r="AV193" s="23"/>
      <c r="AW193" s="23"/>
      <c r="AX193" s="23"/>
      <c r="AY193" s="23"/>
      <c r="AZ193" s="23"/>
      <c r="BA193" s="23"/>
      <c r="BB193" s="23"/>
      <c r="BC193" s="23"/>
      <c r="BD193" s="23"/>
      <c r="BE193" s="23"/>
      <c r="BF193" s="23"/>
      <c r="BG193" s="23"/>
      <c r="BH193" s="23"/>
      <c r="BI193" s="23"/>
      <c r="BJ193" s="23"/>
      <c r="BK193" s="23"/>
      <c r="BL193" s="23"/>
      <c r="BM193" s="23"/>
      <c r="BN193" s="23"/>
      <c r="BO193" s="23"/>
      <c r="BP193" s="23"/>
      <c r="BQ193" s="23"/>
      <c r="BR193" s="23"/>
      <c r="BS193" s="23"/>
      <c r="BT193" s="23"/>
      <c r="BU193" s="23"/>
      <c r="BV193" s="23"/>
      <c r="BW193" s="23"/>
      <c r="BX193" s="23"/>
      <c r="BY193" s="23"/>
      <c r="BZ193" s="23"/>
      <c r="CA193" s="23"/>
      <c r="CB193" s="23"/>
      <c r="CC193" s="23"/>
      <c r="CD193" s="23"/>
      <c r="CE193" s="23"/>
      <c r="CF193" s="23"/>
      <c r="CG193" s="23"/>
      <c r="CH193" s="23"/>
      <c r="CI193" s="23"/>
      <c r="CJ193" s="23"/>
      <c r="CK193" s="23"/>
      <c r="CL193" s="23"/>
      <c r="CM193" s="23"/>
      <c r="CN193" s="23"/>
      <c r="CO193" s="23"/>
      <c r="CP193" s="23"/>
      <c r="CQ193" s="23"/>
      <c r="CR193" s="23"/>
      <c r="CS193" s="23"/>
      <c r="CT193" s="23"/>
      <c r="CU193" s="23"/>
      <c r="CV193" s="23"/>
      <c r="CW193" s="23"/>
      <c r="CX193" s="23"/>
      <c r="CY193" s="23"/>
      <c r="CZ193" s="23"/>
      <c r="DA193" s="23"/>
      <c r="DB193" s="23"/>
      <c r="DC193" s="23"/>
      <c r="DD193" s="23"/>
      <c r="DE193" s="23"/>
      <c r="DF193" s="23"/>
      <c r="DG193" s="23"/>
      <c r="DH193" s="23"/>
      <c r="DI193" s="23"/>
      <c r="DJ193" s="23"/>
      <c r="DK193" s="23"/>
      <c r="DL193" s="23"/>
      <c r="DM193" s="23"/>
      <c r="DN193" s="23"/>
      <c r="DO193" s="23"/>
      <c r="DP193" s="23"/>
      <c r="DQ193" s="23"/>
      <c r="DR193" s="23"/>
      <c r="DS193" s="23"/>
      <c r="DT193" s="23"/>
      <c r="DU193" s="23"/>
      <c r="DV193" s="23"/>
      <c r="DW193" s="23"/>
      <c r="DX193" s="23"/>
      <c r="DY193" s="23"/>
      <c r="DZ193" s="23"/>
      <c r="EA193" s="23"/>
      <c r="EB193" s="23"/>
      <c r="EC193" s="23"/>
      <c r="ED193" s="23"/>
      <c r="EE193" s="23"/>
      <c r="EF193" s="23"/>
      <c r="EG193" s="23"/>
      <c r="EH193" s="23"/>
      <c r="EI193" s="23"/>
      <c r="EJ193" s="23"/>
      <c r="EK193" s="23"/>
      <c r="EL193" s="23"/>
      <c r="EM193" s="23"/>
      <c r="EN193" s="23"/>
      <c r="EO193" s="23"/>
      <c r="EP193" s="23"/>
      <c r="EQ193" s="23"/>
      <c r="ER193" s="23"/>
      <c r="ES193" s="23"/>
      <c r="ET193" s="23"/>
      <c r="EU193" s="23"/>
      <c r="EV193" s="23"/>
      <c r="EW193" s="23"/>
      <c r="EX193" s="23"/>
      <c r="EY193" s="23"/>
      <c r="EZ193" s="23"/>
      <c r="FA193" s="23"/>
      <c r="FB193" s="23"/>
      <c r="FC193" s="23"/>
      <c r="FD193" s="23"/>
      <c r="FE193" s="23"/>
      <c r="FF193" s="23"/>
      <c r="FG193" s="23"/>
      <c r="FH193" s="23"/>
      <c r="FI193" s="23"/>
      <c r="FJ193" s="23"/>
      <c r="FK193" s="23"/>
      <c r="FL193" s="23"/>
      <c r="FM193" s="23"/>
      <c r="FN193" s="23"/>
      <c r="FO193" s="23"/>
      <c r="FP193" s="23"/>
      <c r="FQ193" s="23"/>
      <c r="FR193" s="23"/>
      <c r="FS193" s="23"/>
      <c r="FT193" s="23"/>
      <c r="FU193" s="23"/>
      <c r="FV193" s="23"/>
      <c r="FW193" s="23"/>
      <c r="FX193" s="23"/>
      <c r="FY193" s="23"/>
      <c r="FZ193" s="23"/>
      <c r="GA193" s="23"/>
      <c r="GB193" s="23"/>
      <c r="GC193" s="23"/>
      <c r="GD193" s="23"/>
      <c r="GE193" s="23"/>
      <c r="GF193" s="23"/>
      <c r="GG193" s="23"/>
      <c r="GH193" s="23"/>
      <c r="GI193" s="23"/>
      <c r="GJ193" s="23"/>
      <c r="GK193" s="23"/>
      <c r="GL193" s="23"/>
      <c r="GM193" s="23"/>
      <c r="GN193" s="23"/>
      <c r="GO193" s="23"/>
      <c r="GP193" s="23"/>
      <c r="GQ193" s="23"/>
      <c r="GR193" s="23"/>
      <c r="GS193" s="23"/>
      <c r="GT193" s="23"/>
      <c r="GU193" s="23"/>
      <c r="GV193" s="23"/>
      <c r="GW193" s="23"/>
      <c r="GX193" s="23"/>
      <c r="GY193" s="23"/>
      <c r="GZ193" s="23"/>
      <c r="HA193" s="23"/>
      <c r="HB193" s="23"/>
      <c r="HC193" s="23"/>
      <c r="HD193" s="23"/>
      <c r="HE193" s="23"/>
      <c r="HF193" s="23"/>
      <c r="HG193" s="23"/>
      <c r="HH193" s="23"/>
      <c r="HI193" s="23"/>
      <c r="HJ193" s="23"/>
      <c r="HK193" s="23"/>
      <c r="HL193" s="23"/>
      <c r="HM193" s="23"/>
      <c r="HN193" s="23"/>
      <c r="HO193" s="23"/>
      <c r="HP193" s="23"/>
      <c r="HQ193" s="23"/>
      <c r="HR193" s="23"/>
      <c r="HS193" s="23"/>
      <c r="HT193" s="23"/>
      <c r="HU193" s="23"/>
      <c r="HV193" s="23"/>
      <c r="HW193" s="23"/>
      <c r="HX193" s="23"/>
      <c r="HY193" s="23"/>
      <c r="HZ193" s="23"/>
      <c r="IA193" s="23"/>
      <c r="IB193" s="23"/>
      <c r="IC193" s="23"/>
      <c r="ID193" s="23"/>
      <c r="IE193" s="23"/>
      <c r="IF193" s="23"/>
      <c r="IG193" s="23"/>
      <c r="IH193" s="23"/>
      <c r="II193" s="23"/>
      <c r="IJ193" s="23"/>
      <c r="IK193" s="23"/>
      <c r="IL193" s="23"/>
      <c r="IM193" s="23"/>
      <c r="IN193" s="23"/>
      <c r="IO193" s="23"/>
      <c r="IP193" s="23"/>
      <c r="IQ193" s="23"/>
      <c r="IR193" s="23"/>
      <c r="IS193" s="23"/>
      <c r="IT193" s="23"/>
      <c r="IU193" s="23"/>
      <c r="IV193" s="23"/>
    </row>
    <row r="194" spans="1:256" ht="20.100000000000001" customHeight="1" x14ac:dyDescent="0.35">
      <c r="A194" s="1600">
        <v>188</v>
      </c>
      <c r="B194" s="1941"/>
      <c r="C194" s="1639"/>
      <c r="D194" s="2054" t="s">
        <v>210</v>
      </c>
      <c r="E194" s="1665"/>
      <c r="F194" s="23"/>
      <c r="G194" s="1923"/>
      <c r="H194" s="23"/>
      <c r="I194" s="23"/>
      <c r="J194" s="704"/>
      <c r="K194" s="23"/>
      <c r="L194" s="704"/>
      <c r="M194" s="23"/>
      <c r="N194" s="23"/>
      <c r="O194" s="23"/>
      <c r="P194" s="23"/>
      <c r="Q194" s="23"/>
      <c r="R194" s="23"/>
      <c r="S194" s="23"/>
      <c r="T194" s="23"/>
      <c r="U194" s="23"/>
      <c r="V194" s="23"/>
      <c r="W194" s="23"/>
      <c r="X194" s="23"/>
      <c r="Y194" s="23"/>
      <c r="Z194" s="23"/>
      <c r="AA194" s="23"/>
      <c r="AB194" s="23"/>
      <c r="AC194" s="23"/>
      <c r="AD194" s="23"/>
      <c r="AE194" s="23"/>
      <c r="AF194" s="23"/>
      <c r="AG194" s="23"/>
      <c r="AH194" s="23"/>
      <c r="AI194" s="23"/>
      <c r="AJ194" s="23"/>
      <c r="AK194" s="23"/>
      <c r="AL194" s="23"/>
      <c r="AM194" s="23"/>
      <c r="AN194" s="23"/>
      <c r="AO194" s="23"/>
      <c r="AP194" s="23"/>
      <c r="AQ194" s="23"/>
      <c r="AR194" s="23"/>
      <c r="AS194" s="23"/>
      <c r="AT194" s="23"/>
      <c r="AU194" s="23"/>
      <c r="AV194" s="23"/>
      <c r="AW194" s="23"/>
      <c r="AX194" s="23"/>
      <c r="AY194" s="23"/>
      <c r="AZ194" s="23"/>
      <c r="BA194" s="23"/>
      <c r="BB194" s="23"/>
      <c r="BC194" s="23"/>
      <c r="BD194" s="23"/>
      <c r="BE194" s="23"/>
      <c r="BF194" s="23"/>
      <c r="BG194" s="23"/>
      <c r="BH194" s="23"/>
      <c r="BI194" s="23"/>
      <c r="BJ194" s="23"/>
      <c r="BK194" s="23"/>
      <c r="BL194" s="23"/>
      <c r="BM194" s="23"/>
      <c r="BN194" s="23"/>
      <c r="BO194" s="23"/>
      <c r="BP194" s="23"/>
      <c r="BQ194" s="23"/>
      <c r="BR194" s="23"/>
      <c r="BS194" s="23"/>
      <c r="BT194" s="23"/>
      <c r="BU194" s="23"/>
      <c r="BV194" s="23"/>
      <c r="BW194" s="23"/>
      <c r="BX194" s="23"/>
      <c r="BY194" s="23"/>
      <c r="BZ194" s="23"/>
      <c r="CA194" s="23"/>
      <c r="CB194" s="23"/>
      <c r="CC194" s="23"/>
      <c r="CD194" s="23"/>
      <c r="CE194" s="23"/>
      <c r="CF194" s="23"/>
      <c r="CG194" s="23"/>
      <c r="CH194" s="23"/>
      <c r="CI194" s="23"/>
      <c r="CJ194" s="23"/>
      <c r="CK194" s="23"/>
      <c r="CL194" s="23"/>
      <c r="CM194" s="23"/>
      <c r="CN194" s="23"/>
      <c r="CO194" s="23"/>
      <c r="CP194" s="23"/>
      <c r="CQ194" s="23"/>
      <c r="CR194" s="23"/>
      <c r="CS194" s="23"/>
      <c r="CT194" s="23"/>
      <c r="CU194" s="23"/>
      <c r="CV194" s="23"/>
      <c r="CW194" s="23"/>
      <c r="CX194" s="23"/>
      <c r="CY194" s="23"/>
      <c r="CZ194" s="23"/>
      <c r="DA194" s="23"/>
      <c r="DB194" s="23"/>
      <c r="DC194" s="23"/>
      <c r="DD194" s="23"/>
      <c r="DE194" s="23"/>
      <c r="DF194" s="23"/>
      <c r="DG194" s="23"/>
      <c r="DH194" s="23"/>
      <c r="DI194" s="23"/>
      <c r="DJ194" s="23"/>
      <c r="DK194" s="23"/>
      <c r="DL194" s="23"/>
      <c r="DM194" s="23"/>
      <c r="DN194" s="23"/>
      <c r="DO194" s="23"/>
      <c r="DP194" s="23"/>
      <c r="DQ194" s="23"/>
      <c r="DR194" s="23"/>
      <c r="DS194" s="23"/>
      <c r="DT194" s="23"/>
      <c r="DU194" s="23"/>
      <c r="DV194" s="23"/>
      <c r="DW194" s="23"/>
      <c r="DX194" s="23"/>
      <c r="DY194" s="23"/>
      <c r="DZ194" s="23"/>
      <c r="EA194" s="23"/>
      <c r="EB194" s="23"/>
      <c r="EC194" s="23"/>
      <c r="ED194" s="23"/>
      <c r="EE194" s="23"/>
      <c r="EF194" s="23"/>
      <c r="EG194" s="23"/>
      <c r="EH194" s="23"/>
      <c r="EI194" s="23"/>
      <c r="EJ194" s="23"/>
      <c r="EK194" s="23"/>
      <c r="EL194" s="23"/>
      <c r="EM194" s="23"/>
      <c r="EN194" s="23"/>
      <c r="EO194" s="23"/>
      <c r="EP194" s="23"/>
      <c r="EQ194" s="23"/>
      <c r="ER194" s="23"/>
      <c r="ES194" s="23"/>
      <c r="ET194" s="23"/>
      <c r="EU194" s="23"/>
      <c r="EV194" s="23"/>
      <c r="EW194" s="23"/>
      <c r="EX194" s="23"/>
      <c r="EY194" s="23"/>
      <c r="EZ194" s="23"/>
      <c r="FA194" s="23"/>
      <c r="FB194" s="23"/>
      <c r="FC194" s="23"/>
      <c r="FD194" s="23"/>
      <c r="FE194" s="23"/>
      <c r="FF194" s="23"/>
      <c r="FG194" s="23"/>
      <c r="FH194" s="23"/>
      <c r="FI194" s="23"/>
      <c r="FJ194" s="23"/>
      <c r="FK194" s="23"/>
      <c r="FL194" s="23"/>
      <c r="FM194" s="23"/>
      <c r="FN194" s="23"/>
      <c r="FO194" s="23"/>
      <c r="FP194" s="23"/>
      <c r="FQ194" s="23"/>
      <c r="FR194" s="23"/>
      <c r="FS194" s="23"/>
      <c r="FT194" s="23"/>
      <c r="FU194" s="23"/>
      <c r="FV194" s="23"/>
      <c r="FW194" s="23"/>
      <c r="FX194" s="23"/>
      <c r="FY194" s="23"/>
      <c r="FZ194" s="23"/>
      <c r="GA194" s="23"/>
      <c r="GB194" s="23"/>
      <c r="GC194" s="23"/>
      <c r="GD194" s="23"/>
      <c r="GE194" s="23"/>
      <c r="GF194" s="23"/>
      <c r="GG194" s="23"/>
      <c r="GH194" s="23"/>
      <c r="GI194" s="23"/>
      <c r="GJ194" s="23"/>
      <c r="GK194" s="23"/>
      <c r="GL194" s="23"/>
      <c r="GM194" s="23"/>
      <c r="GN194" s="23"/>
      <c r="GO194" s="23"/>
      <c r="GP194" s="23"/>
      <c r="GQ194" s="23"/>
      <c r="GR194" s="23"/>
      <c r="GS194" s="23"/>
      <c r="GT194" s="23"/>
      <c r="GU194" s="23"/>
      <c r="GV194" s="23"/>
      <c r="GW194" s="23"/>
      <c r="GX194" s="23"/>
      <c r="GY194" s="23"/>
      <c r="GZ194" s="23"/>
      <c r="HA194" s="23"/>
      <c r="HB194" s="23"/>
      <c r="HC194" s="23"/>
      <c r="HD194" s="23"/>
      <c r="HE194" s="23"/>
      <c r="HF194" s="23"/>
      <c r="HG194" s="23"/>
      <c r="HH194" s="23"/>
      <c r="HI194" s="23"/>
      <c r="HJ194" s="23"/>
      <c r="HK194" s="23"/>
      <c r="HL194" s="23"/>
      <c r="HM194" s="23"/>
      <c r="HN194" s="23"/>
      <c r="HO194" s="23"/>
      <c r="HP194" s="23"/>
      <c r="HQ194" s="23"/>
      <c r="HR194" s="23"/>
      <c r="HS194" s="23"/>
      <c r="HT194" s="23"/>
      <c r="HU194" s="23"/>
      <c r="HV194" s="23"/>
      <c r="HW194" s="23"/>
      <c r="HX194" s="23"/>
      <c r="HY194" s="23"/>
      <c r="HZ194" s="23"/>
      <c r="IA194" s="23"/>
      <c r="IB194" s="23"/>
      <c r="IC194" s="23"/>
      <c r="ID194" s="23"/>
      <c r="IE194" s="23"/>
      <c r="IF194" s="23"/>
      <c r="IG194" s="23"/>
      <c r="IH194" s="23"/>
      <c r="II194" s="23"/>
      <c r="IJ194" s="23"/>
      <c r="IK194" s="23"/>
      <c r="IL194" s="23"/>
      <c r="IM194" s="23"/>
      <c r="IN194" s="23"/>
      <c r="IO194" s="23"/>
      <c r="IP194" s="23"/>
      <c r="IQ194" s="23"/>
      <c r="IR194" s="23"/>
      <c r="IS194" s="23"/>
      <c r="IT194" s="23"/>
      <c r="IU194" s="23"/>
      <c r="IV194" s="23"/>
    </row>
    <row r="195" spans="1:256" ht="20.100000000000001" customHeight="1" x14ac:dyDescent="0.35">
      <c r="A195" s="1600">
        <v>189</v>
      </c>
      <c r="B195" s="1941"/>
      <c r="C195" s="1639"/>
      <c r="D195" s="1667" t="s">
        <v>264</v>
      </c>
      <c r="E195" s="1665">
        <v>328363</v>
      </c>
      <c r="F195" s="1620"/>
      <c r="G195" s="2066"/>
      <c r="I195" s="125"/>
      <c r="J195" s="1620"/>
      <c r="K195" s="23"/>
      <c r="L195" s="704"/>
      <c r="M195" s="23"/>
      <c r="N195" s="23"/>
      <c r="O195" s="23"/>
      <c r="P195" s="23"/>
      <c r="Q195" s="23"/>
      <c r="R195" s="23"/>
      <c r="S195" s="23"/>
      <c r="T195" s="23"/>
      <c r="U195" s="23"/>
      <c r="V195" s="23"/>
      <c r="W195" s="23"/>
      <c r="X195" s="23"/>
      <c r="Y195" s="23"/>
      <c r="Z195" s="23"/>
      <c r="AA195" s="23"/>
      <c r="AB195" s="23"/>
      <c r="AC195" s="23"/>
      <c r="AD195" s="23"/>
      <c r="AE195" s="23"/>
      <c r="AF195" s="23"/>
      <c r="AG195" s="23"/>
      <c r="AH195" s="23"/>
      <c r="AI195" s="23"/>
      <c r="AJ195" s="23"/>
      <c r="AK195" s="23"/>
      <c r="AL195" s="23"/>
      <c r="AM195" s="23"/>
      <c r="AN195" s="23"/>
      <c r="AO195" s="23"/>
      <c r="AP195" s="23"/>
      <c r="AQ195" s="23"/>
      <c r="AR195" s="23"/>
      <c r="AS195" s="23"/>
      <c r="AT195" s="23"/>
      <c r="AU195" s="23"/>
      <c r="AV195" s="23"/>
      <c r="AW195" s="23"/>
      <c r="AX195" s="23"/>
      <c r="AY195" s="23"/>
      <c r="AZ195" s="23"/>
      <c r="BA195" s="23"/>
      <c r="BB195" s="23"/>
      <c r="BC195" s="23"/>
      <c r="BD195" s="23"/>
      <c r="BE195" s="23"/>
      <c r="BF195" s="23"/>
      <c r="BG195" s="23"/>
      <c r="BH195" s="23"/>
      <c r="BI195" s="23"/>
      <c r="BJ195" s="23"/>
      <c r="BK195" s="23"/>
      <c r="BL195" s="23"/>
      <c r="BM195" s="23"/>
      <c r="BN195" s="23"/>
      <c r="BO195" s="23"/>
      <c r="BP195" s="23"/>
      <c r="BQ195" s="23"/>
      <c r="BR195" s="23"/>
      <c r="BS195" s="23"/>
      <c r="BT195" s="23"/>
      <c r="BU195" s="23"/>
      <c r="BV195" s="23"/>
      <c r="BW195" s="23"/>
      <c r="BX195" s="23"/>
      <c r="BY195" s="23"/>
      <c r="BZ195" s="23"/>
      <c r="CA195" s="23"/>
      <c r="CB195" s="23"/>
      <c r="CC195" s="23"/>
      <c r="CD195" s="23"/>
      <c r="CE195" s="23"/>
      <c r="CF195" s="23"/>
      <c r="CG195" s="23"/>
      <c r="CH195" s="23"/>
      <c r="CI195" s="23"/>
      <c r="CJ195" s="23"/>
      <c r="CK195" s="23"/>
      <c r="CL195" s="23"/>
      <c r="CM195" s="23"/>
      <c r="CN195" s="23"/>
      <c r="CO195" s="23"/>
      <c r="CP195" s="23"/>
      <c r="CQ195" s="23"/>
      <c r="CR195" s="23"/>
      <c r="CS195" s="23"/>
      <c r="CT195" s="23"/>
      <c r="CU195" s="23"/>
      <c r="CV195" s="23"/>
      <c r="CW195" s="23"/>
      <c r="CX195" s="23"/>
      <c r="CY195" s="23"/>
      <c r="CZ195" s="23"/>
      <c r="DA195" s="23"/>
      <c r="DB195" s="23"/>
      <c r="DC195" s="23"/>
      <c r="DD195" s="23"/>
      <c r="DE195" s="23"/>
      <c r="DF195" s="23"/>
      <c r="DG195" s="23"/>
      <c r="DH195" s="23"/>
      <c r="DI195" s="23"/>
      <c r="DJ195" s="23"/>
      <c r="DK195" s="23"/>
      <c r="DL195" s="23"/>
      <c r="DM195" s="23"/>
      <c r="DN195" s="23"/>
      <c r="DO195" s="23"/>
      <c r="DP195" s="23"/>
      <c r="DQ195" s="23"/>
      <c r="DR195" s="23"/>
      <c r="DS195" s="23"/>
      <c r="DT195" s="23"/>
      <c r="DU195" s="23"/>
      <c r="DV195" s="23"/>
      <c r="DW195" s="23"/>
      <c r="DX195" s="23"/>
      <c r="DY195" s="23"/>
      <c r="DZ195" s="23"/>
      <c r="EA195" s="23"/>
      <c r="EB195" s="23"/>
      <c r="EC195" s="23"/>
      <c r="ED195" s="23"/>
      <c r="EE195" s="23"/>
      <c r="EF195" s="23"/>
      <c r="EG195" s="23"/>
      <c r="EH195" s="23"/>
      <c r="EI195" s="23"/>
      <c r="EJ195" s="23"/>
      <c r="EK195" s="23"/>
      <c r="EL195" s="23"/>
      <c r="EM195" s="23"/>
      <c r="EN195" s="23"/>
      <c r="EO195" s="23"/>
      <c r="EP195" s="23"/>
      <c r="EQ195" s="23"/>
      <c r="ER195" s="23"/>
      <c r="ES195" s="23"/>
      <c r="ET195" s="23"/>
      <c r="EU195" s="23"/>
      <c r="EV195" s="23"/>
      <c r="EW195" s="23"/>
      <c r="EX195" s="23"/>
      <c r="EY195" s="23"/>
      <c r="EZ195" s="23"/>
      <c r="FA195" s="23"/>
      <c r="FB195" s="23"/>
      <c r="FC195" s="23"/>
      <c r="FD195" s="23"/>
      <c r="FE195" s="23"/>
      <c r="FF195" s="23"/>
      <c r="FG195" s="23"/>
      <c r="FH195" s="23"/>
      <c r="FI195" s="23"/>
      <c r="FJ195" s="23"/>
      <c r="FK195" s="23"/>
      <c r="FL195" s="23"/>
      <c r="FM195" s="23"/>
      <c r="FN195" s="23"/>
      <c r="FO195" s="23"/>
      <c r="FP195" s="23"/>
      <c r="FQ195" s="23"/>
      <c r="FR195" s="23"/>
      <c r="FS195" s="23"/>
      <c r="FT195" s="23"/>
      <c r="FU195" s="23"/>
      <c r="FV195" s="23"/>
      <c r="FW195" s="23"/>
      <c r="FX195" s="23"/>
      <c r="FY195" s="23"/>
      <c r="FZ195" s="23"/>
      <c r="GA195" s="23"/>
      <c r="GB195" s="23"/>
      <c r="GC195" s="23"/>
      <c r="GD195" s="23"/>
      <c r="GE195" s="23"/>
      <c r="GF195" s="23"/>
      <c r="GG195" s="23"/>
      <c r="GH195" s="23"/>
      <c r="GI195" s="23"/>
      <c r="GJ195" s="23"/>
      <c r="GK195" s="23"/>
      <c r="GL195" s="23"/>
      <c r="GM195" s="23"/>
      <c r="GN195" s="23"/>
      <c r="GO195" s="23"/>
      <c r="GP195" s="23"/>
      <c r="GQ195" s="23"/>
      <c r="GR195" s="23"/>
      <c r="GS195" s="23"/>
      <c r="GT195" s="23"/>
      <c r="GU195" s="23"/>
      <c r="GV195" s="23"/>
      <c r="GW195" s="23"/>
      <c r="GX195" s="23"/>
      <c r="GY195" s="23"/>
      <c r="GZ195" s="23"/>
      <c r="HA195" s="23"/>
      <c r="HB195" s="23"/>
      <c r="HC195" s="23"/>
      <c r="HD195" s="23"/>
      <c r="HE195" s="23"/>
      <c r="HF195" s="23"/>
      <c r="HG195" s="23"/>
      <c r="HH195" s="23"/>
      <c r="HI195" s="23"/>
      <c r="HJ195" s="23"/>
      <c r="HK195" s="23"/>
      <c r="HL195" s="23"/>
      <c r="HM195" s="23"/>
      <c r="HN195" s="23"/>
      <c r="HO195" s="23"/>
      <c r="HP195" s="23"/>
      <c r="HQ195" s="23"/>
      <c r="HR195" s="23"/>
      <c r="HS195" s="23"/>
      <c r="HT195" s="23"/>
      <c r="HU195" s="23"/>
      <c r="HV195" s="23"/>
      <c r="HW195" s="23"/>
      <c r="HX195" s="23"/>
      <c r="HY195" s="23"/>
      <c r="HZ195" s="23"/>
      <c r="IA195" s="23"/>
      <c r="IB195" s="23"/>
      <c r="IC195" s="23"/>
      <c r="ID195" s="23"/>
      <c r="IE195" s="23"/>
      <c r="IF195" s="23"/>
      <c r="IG195" s="23"/>
      <c r="IH195" s="23"/>
      <c r="II195" s="23"/>
      <c r="IJ195" s="23"/>
      <c r="IK195" s="23"/>
      <c r="IL195" s="23"/>
      <c r="IM195" s="23"/>
      <c r="IN195" s="23"/>
      <c r="IO195" s="23"/>
      <c r="IP195" s="23"/>
      <c r="IQ195" s="23"/>
      <c r="IR195" s="23"/>
      <c r="IS195" s="23"/>
      <c r="IT195" s="23"/>
      <c r="IU195" s="23"/>
      <c r="IV195" s="23"/>
    </row>
    <row r="196" spans="1:256" ht="20.100000000000001" customHeight="1" x14ac:dyDescent="0.35">
      <c r="A196" s="1600">
        <v>190</v>
      </c>
      <c r="B196" s="1941"/>
      <c r="C196" s="1639"/>
      <c r="D196" s="1667"/>
      <c r="E196" s="1665"/>
      <c r="F196" s="1620"/>
      <c r="G196" s="2066"/>
      <c r="H196" s="1622"/>
      <c r="I196" s="125"/>
      <c r="J196" s="1616"/>
      <c r="K196" s="23"/>
      <c r="L196" s="704"/>
      <c r="M196" s="23"/>
      <c r="N196" s="23"/>
      <c r="O196" s="23"/>
      <c r="P196" s="23"/>
      <c r="Q196" s="23"/>
      <c r="R196" s="23"/>
      <c r="S196" s="23"/>
      <c r="T196" s="23"/>
      <c r="U196" s="23"/>
      <c r="V196" s="23"/>
      <c r="W196" s="23"/>
      <c r="X196" s="23"/>
      <c r="Y196" s="23"/>
      <c r="Z196" s="23"/>
      <c r="AA196" s="23"/>
      <c r="AB196" s="23"/>
      <c r="AC196" s="23"/>
      <c r="AD196" s="23"/>
      <c r="AE196" s="23"/>
      <c r="AF196" s="23"/>
      <c r="AG196" s="23"/>
      <c r="AH196" s="23"/>
      <c r="AI196" s="23"/>
      <c r="AJ196" s="23"/>
      <c r="AK196" s="23"/>
      <c r="AL196" s="23"/>
      <c r="AM196" s="23"/>
      <c r="AN196" s="23"/>
      <c r="AO196" s="23"/>
      <c r="AP196" s="23"/>
      <c r="AQ196" s="23"/>
      <c r="AR196" s="23"/>
      <c r="AS196" s="23"/>
      <c r="AT196" s="23"/>
      <c r="AU196" s="23"/>
      <c r="AV196" s="23"/>
      <c r="AW196" s="23"/>
      <c r="AX196" s="23"/>
      <c r="AY196" s="23"/>
      <c r="AZ196" s="23"/>
      <c r="BA196" s="23"/>
      <c r="BB196" s="23"/>
      <c r="BC196" s="23"/>
      <c r="BD196" s="23"/>
      <c r="BE196" s="23"/>
      <c r="BF196" s="23"/>
      <c r="BG196" s="23"/>
      <c r="BH196" s="23"/>
      <c r="BI196" s="23"/>
      <c r="BJ196" s="23"/>
      <c r="BK196" s="23"/>
      <c r="BL196" s="23"/>
      <c r="BM196" s="23"/>
      <c r="BN196" s="23"/>
      <c r="BO196" s="23"/>
      <c r="BP196" s="23"/>
      <c r="BQ196" s="23"/>
      <c r="BR196" s="23"/>
      <c r="BS196" s="23"/>
      <c r="BT196" s="23"/>
      <c r="BU196" s="23"/>
      <c r="BV196" s="23"/>
      <c r="BW196" s="23"/>
      <c r="BX196" s="23"/>
      <c r="BY196" s="23"/>
      <c r="BZ196" s="23"/>
      <c r="CA196" s="23"/>
      <c r="CB196" s="23"/>
      <c r="CC196" s="23"/>
      <c r="CD196" s="23"/>
      <c r="CE196" s="23"/>
      <c r="CF196" s="23"/>
      <c r="CG196" s="23"/>
      <c r="CH196" s="23"/>
      <c r="CI196" s="23"/>
      <c r="CJ196" s="23"/>
      <c r="CK196" s="23"/>
      <c r="CL196" s="23"/>
      <c r="CM196" s="23"/>
      <c r="CN196" s="23"/>
      <c r="CO196" s="23"/>
      <c r="CP196" s="23"/>
      <c r="CQ196" s="23"/>
      <c r="CR196" s="23"/>
      <c r="CS196" s="23"/>
      <c r="CT196" s="23"/>
      <c r="CU196" s="23"/>
      <c r="CV196" s="23"/>
      <c r="CW196" s="23"/>
      <c r="CX196" s="23"/>
      <c r="CY196" s="23"/>
      <c r="CZ196" s="23"/>
      <c r="DA196" s="23"/>
      <c r="DB196" s="23"/>
      <c r="DC196" s="23"/>
      <c r="DD196" s="23"/>
      <c r="DE196" s="23"/>
      <c r="DF196" s="23"/>
      <c r="DG196" s="23"/>
      <c r="DH196" s="23"/>
      <c r="DI196" s="23"/>
      <c r="DJ196" s="23"/>
      <c r="DK196" s="23"/>
      <c r="DL196" s="23"/>
      <c r="DM196" s="23"/>
      <c r="DN196" s="23"/>
      <c r="DO196" s="23"/>
      <c r="DP196" s="23"/>
      <c r="DQ196" s="23"/>
      <c r="DR196" s="23"/>
      <c r="DS196" s="23"/>
      <c r="DT196" s="23"/>
      <c r="DU196" s="23"/>
      <c r="DV196" s="23"/>
      <c r="DW196" s="23"/>
      <c r="DX196" s="23"/>
      <c r="DY196" s="23"/>
      <c r="DZ196" s="23"/>
      <c r="EA196" s="23"/>
      <c r="EB196" s="23"/>
      <c r="EC196" s="23"/>
      <c r="ED196" s="23"/>
      <c r="EE196" s="23"/>
      <c r="EF196" s="23"/>
      <c r="EG196" s="23"/>
      <c r="EH196" s="23"/>
      <c r="EI196" s="23"/>
      <c r="EJ196" s="23"/>
      <c r="EK196" s="23"/>
      <c r="EL196" s="23"/>
      <c r="EM196" s="23"/>
      <c r="EN196" s="23"/>
      <c r="EO196" s="23"/>
      <c r="EP196" s="23"/>
      <c r="EQ196" s="23"/>
      <c r="ER196" s="23"/>
      <c r="ES196" s="23"/>
      <c r="ET196" s="23"/>
      <c r="EU196" s="23"/>
      <c r="EV196" s="23"/>
      <c r="EW196" s="23"/>
      <c r="EX196" s="23"/>
      <c r="EY196" s="23"/>
      <c r="EZ196" s="23"/>
      <c r="FA196" s="23"/>
      <c r="FB196" s="23"/>
      <c r="FC196" s="23"/>
      <c r="FD196" s="23"/>
      <c r="FE196" s="23"/>
      <c r="FF196" s="23"/>
      <c r="FG196" s="23"/>
      <c r="FH196" s="23"/>
      <c r="FI196" s="23"/>
      <c r="FJ196" s="23"/>
      <c r="FK196" s="23"/>
      <c r="FL196" s="23"/>
      <c r="FM196" s="23"/>
      <c r="FN196" s="23"/>
      <c r="FO196" s="23"/>
      <c r="FP196" s="23"/>
      <c r="FQ196" s="23"/>
      <c r="FR196" s="23"/>
      <c r="FS196" s="23"/>
      <c r="FT196" s="23"/>
      <c r="FU196" s="23"/>
      <c r="FV196" s="23"/>
      <c r="FW196" s="23"/>
      <c r="FX196" s="23"/>
      <c r="FY196" s="23"/>
      <c r="FZ196" s="23"/>
      <c r="GA196" s="23"/>
      <c r="GB196" s="23"/>
      <c r="GC196" s="23"/>
      <c r="GD196" s="23"/>
      <c r="GE196" s="23"/>
      <c r="GF196" s="23"/>
      <c r="GG196" s="23"/>
      <c r="GH196" s="23"/>
      <c r="GI196" s="23"/>
      <c r="GJ196" s="23"/>
      <c r="GK196" s="23"/>
      <c r="GL196" s="23"/>
      <c r="GM196" s="23"/>
      <c r="GN196" s="23"/>
      <c r="GO196" s="23"/>
      <c r="GP196" s="23"/>
      <c r="GQ196" s="23"/>
      <c r="GR196" s="23"/>
      <c r="GS196" s="23"/>
      <c r="GT196" s="23"/>
      <c r="GU196" s="23"/>
      <c r="GV196" s="23"/>
      <c r="GW196" s="23"/>
      <c r="GX196" s="23"/>
      <c r="GY196" s="23"/>
      <c r="GZ196" s="23"/>
      <c r="HA196" s="23"/>
      <c r="HB196" s="23"/>
      <c r="HC196" s="23"/>
      <c r="HD196" s="23"/>
      <c r="HE196" s="23"/>
      <c r="HF196" s="23"/>
      <c r="HG196" s="23"/>
      <c r="HH196" s="23"/>
      <c r="HI196" s="23"/>
      <c r="HJ196" s="23"/>
      <c r="HK196" s="23"/>
      <c r="HL196" s="23"/>
      <c r="HM196" s="23"/>
      <c r="HN196" s="23"/>
      <c r="HO196" s="23"/>
      <c r="HP196" s="23"/>
      <c r="HQ196" s="23"/>
      <c r="HR196" s="23"/>
      <c r="HS196" s="23"/>
      <c r="HT196" s="23"/>
      <c r="HU196" s="23"/>
      <c r="HV196" s="23"/>
      <c r="HW196" s="23"/>
      <c r="HX196" s="23"/>
      <c r="HY196" s="23"/>
      <c r="HZ196" s="23"/>
      <c r="IA196" s="23"/>
      <c r="IB196" s="23"/>
      <c r="IC196" s="23"/>
      <c r="ID196" s="23"/>
      <c r="IE196" s="23"/>
      <c r="IF196" s="23"/>
      <c r="IG196" s="23"/>
      <c r="IH196" s="23"/>
      <c r="II196" s="23"/>
      <c r="IJ196" s="23"/>
      <c r="IK196" s="23"/>
      <c r="IL196" s="23"/>
      <c r="IM196" s="23"/>
      <c r="IN196" s="23"/>
      <c r="IO196" s="23"/>
      <c r="IP196" s="23"/>
      <c r="IQ196" s="23"/>
      <c r="IR196" s="23"/>
      <c r="IS196" s="23"/>
      <c r="IT196" s="23"/>
      <c r="IU196" s="23"/>
      <c r="IV196" s="23"/>
    </row>
    <row r="197" spans="1:256" ht="20.100000000000001" customHeight="1" x14ac:dyDescent="0.35">
      <c r="A197" s="1600">
        <v>191</v>
      </c>
      <c r="B197" s="1941"/>
      <c r="C197" s="1639"/>
      <c r="D197" s="2054" t="s">
        <v>212</v>
      </c>
      <c r="E197" s="1665"/>
      <c r="F197" s="1620"/>
      <c r="G197" s="2066"/>
      <c r="H197" s="1622"/>
      <c r="I197" s="125"/>
      <c r="J197" s="1616"/>
      <c r="K197" s="23"/>
      <c r="L197" s="704"/>
      <c r="M197" s="23"/>
      <c r="N197" s="23"/>
      <c r="O197" s="23"/>
      <c r="P197" s="23"/>
      <c r="Q197" s="23"/>
      <c r="R197" s="23"/>
      <c r="S197" s="23"/>
      <c r="T197" s="23"/>
      <c r="U197" s="23"/>
      <c r="V197" s="23"/>
      <c r="W197" s="23"/>
      <c r="X197" s="23"/>
      <c r="Y197" s="23"/>
      <c r="Z197" s="23"/>
      <c r="AA197" s="23"/>
      <c r="AB197" s="23"/>
      <c r="AC197" s="23"/>
      <c r="AD197" s="23"/>
      <c r="AE197" s="23"/>
      <c r="AF197" s="23"/>
      <c r="AG197" s="23"/>
      <c r="AH197" s="23"/>
      <c r="AI197" s="23"/>
      <c r="AJ197" s="23"/>
      <c r="AK197" s="23"/>
      <c r="AL197" s="23"/>
      <c r="AM197" s="23"/>
      <c r="AN197" s="23"/>
      <c r="AO197" s="23"/>
      <c r="AP197" s="23"/>
      <c r="AQ197" s="23"/>
      <c r="AR197" s="23"/>
      <c r="AS197" s="23"/>
      <c r="AT197" s="23"/>
      <c r="AU197" s="23"/>
      <c r="AV197" s="23"/>
      <c r="AW197" s="23"/>
      <c r="AX197" s="23"/>
      <c r="AY197" s="23"/>
      <c r="AZ197" s="23"/>
      <c r="BA197" s="23"/>
      <c r="BB197" s="23"/>
      <c r="BC197" s="23"/>
      <c r="BD197" s="23"/>
      <c r="BE197" s="23"/>
      <c r="BF197" s="23"/>
      <c r="BG197" s="23"/>
      <c r="BH197" s="23"/>
      <c r="BI197" s="23"/>
      <c r="BJ197" s="23"/>
      <c r="BK197" s="23"/>
      <c r="BL197" s="23"/>
      <c r="BM197" s="23"/>
      <c r="BN197" s="23"/>
      <c r="BO197" s="23"/>
      <c r="BP197" s="23"/>
      <c r="BQ197" s="23"/>
      <c r="BR197" s="23"/>
      <c r="BS197" s="23"/>
      <c r="BT197" s="23"/>
      <c r="BU197" s="23"/>
      <c r="BV197" s="23"/>
      <c r="BW197" s="23"/>
      <c r="BX197" s="23"/>
      <c r="BY197" s="23"/>
      <c r="BZ197" s="23"/>
      <c r="CA197" s="23"/>
      <c r="CB197" s="23"/>
      <c r="CC197" s="23"/>
      <c r="CD197" s="23"/>
      <c r="CE197" s="23"/>
      <c r="CF197" s="23"/>
      <c r="CG197" s="23"/>
      <c r="CH197" s="23"/>
      <c r="CI197" s="23"/>
      <c r="CJ197" s="23"/>
      <c r="CK197" s="23"/>
      <c r="CL197" s="23"/>
      <c r="CM197" s="23"/>
      <c r="CN197" s="23"/>
      <c r="CO197" s="23"/>
      <c r="CP197" s="23"/>
      <c r="CQ197" s="23"/>
      <c r="CR197" s="23"/>
      <c r="CS197" s="23"/>
      <c r="CT197" s="23"/>
      <c r="CU197" s="23"/>
      <c r="CV197" s="23"/>
      <c r="CW197" s="23"/>
      <c r="CX197" s="23"/>
      <c r="CY197" s="23"/>
      <c r="CZ197" s="23"/>
      <c r="DA197" s="23"/>
      <c r="DB197" s="23"/>
      <c r="DC197" s="23"/>
      <c r="DD197" s="23"/>
      <c r="DE197" s="23"/>
      <c r="DF197" s="23"/>
      <c r="DG197" s="23"/>
      <c r="DH197" s="23"/>
      <c r="DI197" s="23"/>
      <c r="DJ197" s="23"/>
      <c r="DK197" s="23"/>
      <c r="DL197" s="23"/>
      <c r="DM197" s="23"/>
      <c r="DN197" s="23"/>
      <c r="DO197" s="23"/>
      <c r="DP197" s="23"/>
      <c r="DQ197" s="23"/>
      <c r="DR197" s="23"/>
      <c r="DS197" s="23"/>
      <c r="DT197" s="23"/>
      <c r="DU197" s="23"/>
      <c r="DV197" s="23"/>
      <c r="DW197" s="23"/>
      <c r="DX197" s="23"/>
      <c r="DY197" s="23"/>
      <c r="DZ197" s="23"/>
      <c r="EA197" s="23"/>
      <c r="EB197" s="23"/>
      <c r="EC197" s="23"/>
      <c r="ED197" s="23"/>
      <c r="EE197" s="23"/>
      <c r="EF197" s="23"/>
      <c r="EG197" s="23"/>
      <c r="EH197" s="23"/>
      <c r="EI197" s="23"/>
      <c r="EJ197" s="23"/>
      <c r="EK197" s="23"/>
      <c r="EL197" s="23"/>
      <c r="EM197" s="23"/>
      <c r="EN197" s="23"/>
      <c r="EO197" s="23"/>
      <c r="EP197" s="23"/>
      <c r="EQ197" s="23"/>
      <c r="ER197" s="23"/>
      <c r="ES197" s="23"/>
      <c r="ET197" s="23"/>
      <c r="EU197" s="23"/>
      <c r="EV197" s="23"/>
      <c r="EW197" s="23"/>
      <c r="EX197" s="23"/>
      <c r="EY197" s="23"/>
      <c r="EZ197" s="23"/>
      <c r="FA197" s="23"/>
      <c r="FB197" s="23"/>
      <c r="FC197" s="23"/>
      <c r="FD197" s="23"/>
      <c r="FE197" s="23"/>
      <c r="FF197" s="23"/>
      <c r="FG197" s="23"/>
      <c r="FH197" s="23"/>
      <c r="FI197" s="23"/>
      <c r="FJ197" s="23"/>
      <c r="FK197" s="23"/>
      <c r="FL197" s="23"/>
      <c r="FM197" s="23"/>
      <c r="FN197" s="23"/>
      <c r="FO197" s="23"/>
      <c r="FP197" s="23"/>
      <c r="FQ197" s="23"/>
      <c r="FR197" s="23"/>
      <c r="FS197" s="23"/>
      <c r="FT197" s="23"/>
      <c r="FU197" s="23"/>
      <c r="FV197" s="23"/>
      <c r="FW197" s="23"/>
      <c r="FX197" s="23"/>
      <c r="FY197" s="23"/>
      <c r="FZ197" s="23"/>
      <c r="GA197" s="23"/>
      <c r="GB197" s="23"/>
      <c r="GC197" s="23"/>
      <c r="GD197" s="23"/>
      <c r="GE197" s="23"/>
      <c r="GF197" s="23"/>
      <c r="GG197" s="23"/>
      <c r="GH197" s="23"/>
      <c r="GI197" s="23"/>
      <c r="GJ197" s="23"/>
      <c r="GK197" s="23"/>
      <c r="GL197" s="23"/>
      <c r="GM197" s="23"/>
      <c r="GN197" s="23"/>
      <c r="GO197" s="23"/>
      <c r="GP197" s="23"/>
      <c r="GQ197" s="23"/>
      <c r="GR197" s="23"/>
      <c r="GS197" s="23"/>
      <c r="GT197" s="23"/>
      <c r="GU197" s="23"/>
      <c r="GV197" s="23"/>
      <c r="GW197" s="23"/>
      <c r="GX197" s="23"/>
      <c r="GY197" s="23"/>
      <c r="GZ197" s="23"/>
      <c r="HA197" s="23"/>
      <c r="HB197" s="23"/>
      <c r="HC197" s="23"/>
      <c r="HD197" s="23"/>
      <c r="HE197" s="23"/>
      <c r="HF197" s="23"/>
      <c r="HG197" s="23"/>
      <c r="HH197" s="23"/>
      <c r="HI197" s="23"/>
      <c r="HJ197" s="23"/>
      <c r="HK197" s="23"/>
      <c r="HL197" s="23"/>
      <c r="HM197" s="23"/>
      <c r="HN197" s="23"/>
      <c r="HO197" s="23"/>
      <c r="HP197" s="23"/>
      <c r="HQ197" s="23"/>
      <c r="HR197" s="23"/>
      <c r="HS197" s="23"/>
      <c r="HT197" s="23"/>
      <c r="HU197" s="23"/>
      <c r="HV197" s="23"/>
      <c r="HW197" s="23"/>
      <c r="HX197" s="23"/>
      <c r="HY197" s="23"/>
      <c r="HZ197" s="23"/>
      <c r="IA197" s="23"/>
      <c r="IB197" s="23"/>
      <c r="IC197" s="23"/>
      <c r="ID197" s="23"/>
      <c r="IE197" s="23"/>
      <c r="IF197" s="23"/>
      <c r="IG197" s="23"/>
      <c r="IH197" s="23"/>
      <c r="II197" s="23"/>
      <c r="IJ197" s="23"/>
      <c r="IK197" s="23"/>
      <c r="IL197" s="23"/>
      <c r="IM197" s="23"/>
      <c r="IN197" s="23"/>
      <c r="IO197" s="23"/>
      <c r="IP197" s="23"/>
      <c r="IQ197" s="23"/>
      <c r="IR197" s="23"/>
      <c r="IS197" s="23"/>
      <c r="IT197" s="23"/>
      <c r="IU197" s="23"/>
      <c r="IV197" s="23"/>
    </row>
    <row r="198" spans="1:256" ht="20.100000000000001" customHeight="1" thickBot="1" x14ac:dyDescent="0.4">
      <c r="A198" s="1600">
        <v>192</v>
      </c>
      <c r="B198" s="1941"/>
      <c r="C198" s="1639"/>
      <c r="D198" s="1667" t="s">
        <v>1332</v>
      </c>
      <c r="E198" s="1662">
        <v>1</v>
      </c>
      <c r="F198" s="1620"/>
      <c r="G198" s="2066"/>
      <c r="I198" s="125"/>
      <c r="J198" s="1620"/>
      <c r="K198" s="23"/>
      <c r="L198" s="704"/>
      <c r="M198" s="23"/>
      <c r="N198" s="23"/>
      <c r="O198" s="23"/>
      <c r="P198" s="23"/>
      <c r="Q198" s="23"/>
      <c r="R198" s="23"/>
      <c r="S198" s="23"/>
      <c r="T198" s="23"/>
      <c r="U198" s="23"/>
      <c r="V198" s="23"/>
      <c r="W198" s="23"/>
      <c r="X198" s="23"/>
      <c r="Y198" s="23"/>
      <c r="Z198" s="23"/>
      <c r="AA198" s="23"/>
      <c r="AB198" s="23"/>
      <c r="AC198" s="23"/>
      <c r="AD198" s="23"/>
      <c r="AE198" s="23"/>
      <c r="AF198" s="23"/>
      <c r="AG198" s="23"/>
      <c r="AH198" s="23"/>
      <c r="AI198" s="23"/>
      <c r="AJ198" s="23"/>
      <c r="AK198" s="23"/>
      <c r="AL198" s="23"/>
      <c r="AM198" s="23"/>
      <c r="AN198" s="23"/>
      <c r="AO198" s="23"/>
      <c r="AP198" s="23"/>
      <c r="AQ198" s="23"/>
      <c r="AR198" s="23"/>
      <c r="AS198" s="23"/>
      <c r="AT198" s="23"/>
      <c r="AU198" s="23"/>
      <c r="AV198" s="23"/>
      <c r="AW198" s="23"/>
      <c r="AX198" s="23"/>
      <c r="AY198" s="23"/>
      <c r="AZ198" s="23"/>
      <c r="BA198" s="23"/>
      <c r="BB198" s="23"/>
      <c r="BC198" s="23"/>
      <c r="BD198" s="23"/>
      <c r="BE198" s="23"/>
      <c r="BF198" s="23"/>
      <c r="BG198" s="23"/>
      <c r="BH198" s="23"/>
      <c r="BI198" s="23"/>
      <c r="BJ198" s="23"/>
      <c r="BK198" s="23"/>
      <c r="BL198" s="23"/>
      <c r="BM198" s="23"/>
      <c r="BN198" s="23"/>
      <c r="BO198" s="23"/>
      <c r="BP198" s="23"/>
      <c r="BQ198" s="23"/>
      <c r="BR198" s="23"/>
      <c r="BS198" s="23"/>
      <c r="BT198" s="23"/>
      <c r="BU198" s="23"/>
      <c r="BV198" s="23"/>
      <c r="BW198" s="23"/>
      <c r="BX198" s="23"/>
      <c r="BY198" s="23"/>
      <c r="BZ198" s="23"/>
      <c r="CA198" s="23"/>
      <c r="CB198" s="23"/>
      <c r="CC198" s="23"/>
      <c r="CD198" s="23"/>
      <c r="CE198" s="23"/>
      <c r="CF198" s="23"/>
      <c r="CG198" s="23"/>
      <c r="CH198" s="23"/>
      <c r="CI198" s="23"/>
      <c r="CJ198" s="23"/>
      <c r="CK198" s="23"/>
      <c r="CL198" s="23"/>
      <c r="CM198" s="23"/>
      <c r="CN198" s="23"/>
      <c r="CO198" s="23"/>
      <c r="CP198" s="23"/>
      <c r="CQ198" s="23"/>
      <c r="CR198" s="23"/>
      <c r="CS198" s="23"/>
      <c r="CT198" s="23"/>
      <c r="CU198" s="23"/>
      <c r="CV198" s="23"/>
      <c r="CW198" s="23"/>
      <c r="CX198" s="23"/>
      <c r="CY198" s="23"/>
      <c r="CZ198" s="23"/>
      <c r="DA198" s="23"/>
      <c r="DB198" s="23"/>
      <c r="DC198" s="23"/>
      <c r="DD198" s="23"/>
      <c r="DE198" s="23"/>
      <c r="DF198" s="23"/>
      <c r="DG198" s="23"/>
      <c r="DH198" s="23"/>
      <c r="DI198" s="23"/>
      <c r="DJ198" s="23"/>
      <c r="DK198" s="23"/>
      <c r="DL198" s="23"/>
      <c r="DM198" s="23"/>
      <c r="DN198" s="23"/>
      <c r="DO198" s="23"/>
      <c r="DP198" s="23"/>
      <c r="DQ198" s="23"/>
      <c r="DR198" s="23"/>
      <c r="DS198" s="23"/>
      <c r="DT198" s="23"/>
      <c r="DU198" s="23"/>
      <c r="DV198" s="23"/>
      <c r="DW198" s="23"/>
      <c r="DX198" s="23"/>
      <c r="DY198" s="23"/>
      <c r="DZ198" s="23"/>
      <c r="EA198" s="23"/>
      <c r="EB198" s="23"/>
      <c r="EC198" s="23"/>
      <c r="ED198" s="23"/>
      <c r="EE198" s="23"/>
      <c r="EF198" s="23"/>
      <c r="EG198" s="23"/>
      <c r="EH198" s="23"/>
      <c r="EI198" s="23"/>
      <c r="EJ198" s="23"/>
      <c r="EK198" s="23"/>
      <c r="EL198" s="23"/>
      <c r="EM198" s="23"/>
      <c r="EN198" s="23"/>
      <c r="EO198" s="23"/>
      <c r="EP198" s="23"/>
      <c r="EQ198" s="23"/>
      <c r="ER198" s="23"/>
      <c r="ES198" s="23"/>
      <c r="ET198" s="23"/>
      <c r="EU198" s="23"/>
      <c r="EV198" s="23"/>
      <c r="EW198" s="23"/>
      <c r="EX198" s="23"/>
      <c r="EY198" s="23"/>
      <c r="EZ198" s="23"/>
      <c r="FA198" s="23"/>
      <c r="FB198" s="23"/>
      <c r="FC198" s="23"/>
      <c r="FD198" s="23"/>
      <c r="FE198" s="23"/>
      <c r="FF198" s="23"/>
      <c r="FG198" s="23"/>
      <c r="FH198" s="23"/>
      <c r="FI198" s="23"/>
      <c r="FJ198" s="23"/>
      <c r="FK198" s="23"/>
      <c r="FL198" s="23"/>
      <c r="FM198" s="23"/>
      <c r="FN198" s="23"/>
      <c r="FO198" s="23"/>
      <c r="FP198" s="23"/>
      <c r="FQ198" s="23"/>
      <c r="FR198" s="23"/>
      <c r="FS198" s="23"/>
      <c r="FT198" s="23"/>
      <c r="FU198" s="23"/>
      <c r="FV198" s="23"/>
      <c r="FW198" s="23"/>
      <c r="FX198" s="23"/>
      <c r="FY198" s="23"/>
      <c r="FZ198" s="23"/>
      <c r="GA198" s="23"/>
      <c r="GB198" s="23"/>
      <c r="GC198" s="23"/>
      <c r="GD198" s="23"/>
      <c r="GE198" s="23"/>
      <c r="GF198" s="23"/>
      <c r="GG198" s="23"/>
      <c r="GH198" s="23"/>
      <c r="GI198" s="23"/>
      <c r="GJ198" s="23"/>
      <c r="GK198" s="23"/>
      <c r="GL198" s="23"/>
      <c r="GM198" s="23"/>
      <c r="GN198" s="23"/>
      <c r="GO198" s="23"/>
      <c r="GP198" s="23"/>
      <c r="GQ198" s="23"/>
      <c r="GR198" s="23"/>
      <c r="GS198" s="23"/>
      <c r="GT198" s="23"/>
      <c r="GU198" s="23"/>
      <c r="GV198" s="23"/>
      <c r="GW198" s="23"/>
      <c r="GX198" s="23"/>
      <c r="GY198" s="23"/>
      <c r="GZ198" s="23"/>
      <c r="HA198" s="23"/>
      <c r="HB198" s="23"/>
      <c r="HC198" s="23"/>
      <c r="HD198" s="23"/>
      <c r="HE198" s="23"/>
      <c r="HF198" s="23"/>
      <c r="HG198" s="23"/>
      <c r="HH198" s="23"/>
      <c r="HI198" s="23"/>
      <c r="HJ198" s="23"/>
      <c r="HK198" s="23"/>
      <c r="HL198" s="23"/>
      <c r="HM198" s="23"/>
      <c r="HN198" s="23"/>
      <c r="HO198" s="23"/>
      <c r="HP198" s="23"/>
      <c r="HQ198" s="23"/>
      <c r="HR198" s="23"/>
      <c r="HS198" s="23"/>
      <c r="HT198" s="23"/>
      <c r="HU198" s="23"/>
      <c r="HV198" s="23"/>
      <c r="HW198" s="23"/>
      <c r="HX198" s="23"/>
      <c r="HY198" s="23"/>
      <c r="HZ198" s="23"/>
      <c r="IA198" s="23"/>
      <c r="IB198" s="23"/>
      <c r="IC198" s="23"/>
      <c r="ID198" s="23"/>
      <c r="IE198" s="23"/>
      <c r="IF198" s="23"/>
      <c r="IG198" s="23"/>
      <c r="IH198" s="23"/>
      <c r="II198" s="23"/>
      <c r="IJ198" s="23"/>
      <c r="IK198" s="23"/>
      <c r="IL198" s="23"/>
      <c r="IM198" s="23"/>
      <c r="IN198" s="23"/>
      <c r="IO198" s="23"/>
      <c r="IP198" s="23"/>
      <c r="IQ198" s="23"/>
      <c r="IR198" s="23"/>
      <c r="IS198" s="23"/>
      <c r="IT198" s="23"/>
      <c r="IU198" s="23"/>
      <c r="IV198" s="23"/>
    </row>
    <row r="199" spans="1:256" ht="24.95" customHeight="1" thickBot="1" x14ac:dyDescent="0.4">
      <c r="A199" s="1600">
        <v>193</v>
      </c>
      <c r="B199" s="1602"/>
      <c r="C199" s="1625"/>
      <c r="D199" s="1626" t="s">
        <v>965</v>
      </c>
      <c r="E199" s="1627">
        <f>SUM(E183,E96)+E127+E193+E195+E198+E189</f>
        <v>6174872</v>
      </c>
      <c r="F199" s="1620"/>
      <c r="G199" s="2066"/>
      <c r="H199" s="1622"/>
      <c r="I199" s="125"/>
      <c r="J199" s="1616"/>
      <c r="K199" s="23"/>
      <c r="L199" s="704"/>
      <c r="M199" s="23"/>
      <c r="N199" s="23"/>
      <c r="O199" s="23"/>
      <c r="P199" s="23"/>
      <c r="Q199" s="23"/>
      <c r="R199" s="23"/>
      <c r="S199" s="23"/>
      <c r="T199" s="23"/>
      <c r="U199" s="23"/>
      <c r="V199" s="23"/>
      <c r="W199" s="23"/>
      <c r="X199" s="23"/>
      <c r="Y199" s="23"/>
      <c r="Z199" s="23"/>
      <c r="AA199" s="23"/>
      <c r="AB199" s="23"/>
      <c r="AC199" s="23"/>
      <c r="AD199" s="23"/>
      <c r="AE199" s="23"/>
      <c r="AF199" s="23"/>
      <c r="AG199" s="23"/>
      <c r="AH199" s="23"/>
      <c r="AI199" s="23"/>
      <c r="AJ199" s="23"/>
      <c r="AK199" s="23"/>
      <c r="AL199" s="23"/>
      <c r="AM199" s="23"/>
      <c r="AN199" s="23"/>
      <c r="AO199" s="23"/>
      <c r="AP199" s="23"/>
      <c r="AQ199" s="23"/>
      <c r="AR199" s="23"/>
      <c r="AS199" s="23"/>
      <c r="AT199" s="23"/>
      <c r="AU199" s="23"/>
      <c r="AV199" s="23"/>
      <c r="AW199" s="23"/>
      <c r="AX199" s="23"/>
      <c r="AY199" s="23"/>
      <c r="AZ199" s="23"/>
      <c r="BA199" s="23"/>
      <c r="BB199" s="23"/>
      <c r="BC199" s="23"/>
      <c r="BD199" s="23"/>
      <c r="BE199" s="23"/>
      <c r="BF199" s="23"/>
      <c r="BG199" s="23"/>
      <c r="BH199" s="23"/>
      <c r="BI199" s="23"/>
      <c r="BJ199" s="23"/>
      <c r="BK199" s="23"/>
      <c r="BL199" s="23"/>
      <c r="BM199" s="23"/>
      <c r="BN199" s="23"/>
      <c r="BO199" s="23"/>
      <c r="BP199" s="23"/>
      <c r="BQ199" s="23"/>
      <c r="BR199" s="23"/>
      <c r="BS199" s="23"/>
      <c r="BT199" s="23"/>
      <c r="BU199" s="23"/>
      <c r="BV199" s="23"/>
      <c r="BW199" s="23"/>
      <c r="BX199" s="23"/>
      <c r="BY199" s="23"/>
      <c r="BZ199" s="23"/>
      <c r="CA199" s="23"/>
      <c r="CB199" s="23"/>
      <c r="CC199" s="23"/>
      <c r="CD199" s="23"/>
      <c r="CE199" s="23"/>
      <c r="CF199" s="23"/>
      <c r="CG199" s="23"/>
      <c r="CH199" s="23"/>
      <c r="CI199" s="23"/>
      <c r="CJ199" s="23"/>
      <c r="CK199" s="23"/>
      <c r="CL199" s="23"/>
      <c r="CM199" s="23"/>
      <c r="CN199" s="23"/>
      <c r="CO199" s="23"/>
      <c r="CP199" s="23"/>
      <c r="CQ199" s="23"/>
      <c r="CR199" s="23"/>
      <c r="CS199" s="23"/>
      <c r="CT199" s="23"/>
      <c r="CU199" s="23"/>
      <c r="CV199" s="23"/>
      <c r="CW199" s="23"/>
      <c r="CX199" s="23"/>
      <c r="CY199" s="23"/>
      <c r="CZ199" s="23"/>
      <c r="DA199" s="23"/>
      <c r="DB199" s="23"/>
      <c r="DC199" s="23"/>
      <c r="DD199" s="23"/>
      <c r="DE199" s="23"/>
      <c r="DF199" s="23"/>
      <c r="DG199" s="23"/>
      <c r="DH199" s="23"/>
      <c r="DI199" s="23"/>
      <c r="DJ199" s="23"/>
      <c r="DK199" s="23"/>
      <c r="DL199" s="23"/>
      <c r="DM199" s="23"/>
      <c r="DN199" s="23"/>
      <c r="DO199" s="23"/>
      <c r="DP199" s="23"/>
      <c r="DQ199" s="23"/>
      <c r="DR199" s="23"/>
      <c r="DS199" s="23"/>
      <c r="DT199" s="23"/>
      <c r="DU199" s="23"/>
      <c r="DV199" s="23"/>
      <c r="DW199" s="23"/>
      <c r="DX199" s="23"/>
      <c r="DY199" s="23"/>
      <c r="DZ199" s="23"/>
      <c r="EA199" s="23"/>
      <c r="EB199" s="23"/>
      <c r="EC199" s="23"/>
      <c r="ED199" s="23"/>
      <c r="EE199" s="23"/>
      <c r="EF199" s="23"/>
      <c r="EG199" s="23"/>
      <c r="EH199" s="23"/>
      <c r="EI199" s="23"/>
      <c r="EJ199" s="23"/>
      <c r="EK199" s="23"/>
      <c r="EL199" s="23"/>
      <c r="EM199" s="23"/>
      <c r="EN199" s="23"/>
      <c r="EO199" s="23"/>
      <c r="EP199" s="23"/>
      <c r="EQ199" s="23"/>
      <c r="ER199" s="23"/>
      <c r="ES199" s="23"/>
      <c r="ET199" s="23"/>
      <c r="EU199" s="23"/>
      <c r="EV199" s="23"/>
      <c r="EW199" s="23"/>
      <c r="EX199" s="23"/>
      <c r="EY199" s="23"/>
      <c r="EZ199" s="23"/>
      <c r="FA199" s="23"/>
      <c r="FB199" s="23"/>
      <c r="FC199" s="23"/>
      <c r="FD199" s="23"/>
      <c r="FE199" s="23"/>
      <c r="FF199" s="23"/>
      <c r="FG199" s="23"/>
      <c r="FH199" s="23"/>
      <c r="FI199" s="23"/>
      <c r="FJ199" s="23"/>
      <c r="FK199" s="23"/>
      <c r="FL199" s="23"/>
      <c r="FM199" s="23"/>
      <c r="FN199" s="23"/>
      <c r="FO199" s="23"/>
      <c r="FP199" s="23"/>
      <c r="FQ199" s="23"/>
      <c r="FR199" s="23"/>
      <c r="FS199" s="23"/>
      <c r="FT199" s="23"/>
      <c r="FU199" s="23"/>
      <c r="FV199" s="23"/>
      <c r="FW199" s="23"/>
      <c r="FX199" s="23"/>
      <c r="FY199" s="23"/>
      <c r="FZ199" s="23"/>
      <c r="GA199" s="23"/>
      <c r="GB199" s="23"/>
      <c r="GC199" s="23"/>
      <c r="GD199" s="23"/>
      <c r="GE199" s="23"/>
      <c r="GF199" s="23"/>
      <c r="GG199" s="23"/>
      <c r="GH199" s="23"/>
      <c r="GI199" s="23"/>
      <c r="GJ199" s="23"/>
      <c r="GK199" s="23"/>
      <c r="GL199" s="23"/>
      <c r="GM199" s="23"/>
      <c r="GN199" s="23"/>
      <c r="GO199" s="23"/>
      <c r="GP199" s="23"/>
      <c r="GQ199" s="23"/>
      <c r="GR199" s="23"/>
      <c r="GS199" s="23"/>
      <c r="GT199" s="23"/>
      <c r="GU199" s="23"/>
      <c r="GV199" s="23"/>
      <c r="GW199" s="23"/>
      <c r="GX199" s="23"/>
      <c r="GY199" s="23"/>
      <c r="GZ199" s="23"/>
      <c r="HA199" s="23"/>
      <c r="HB199" s="23"/>
      <c r="HC199" s="23"/>
      <c r="HD199" s="23"/>
      <c r="HE199" s="23"/>
      <c r="HF199" s="23"/>
      <c r="HG199" s="23"/>
      <c r="HH199" s="23"/>
      <c r="HI199" s="23"/>
      <c r="HJ199" s="23"/>
      <c r="HK199" s="23"/>
      <c r="HL199" s="23"/>
      <c r="HM199" s="23"/>
      <c r="HN199" s="23"/>
      <c r="HO199" s="23"/>
      <c r="HP199" s="23"/>
      <c r="HQ199" s="23"/>
      <c r="HR199" s="23"/>
      <c r="HS199" s="23"/>
      <c r="HT199" s="23"/>
      <c r="HU199" s="23"/>
      <c r="HV199" s="23"/>
      <c r="HW199" s="23"/>
      <c r="HX199" s="23"/>
      <c r="HY199" s="23"/>
      <c r="HZ199" s="23"/>
      <c r="IA199" s="23"/>
      <c r="IB199" s="23"/>
      <c r="IC199" s="23"/>
      <c r="ID199" s="23"/>
      <c r="IE199" s="23"/>
      <c r="IF199" s="23"/>
      <c r="IG199" s="23"/>
      <c r="IH199" s="23"/>
      <c r="II199" s="23"/>
      <c r="IJ199" s="23"/>
      <c r="IK199" s="23"/>
      <c r="IL199" s="23"/>
      <c r="IM199" s="23"/>
      <c r="IN199" s="23"/>
      <c r="IO199" s="23"/>
      <c r="IP199" s="23"/>
      <c r="IQ199" s="23"/>
      <c r="IR199" s="23"/>
      <c r="IS199" s="23"/>
      <c r="IT199" s="23"/>
      <c r="IU199" s="23"/>
      <c r="IV199" s="23"/>
    </row>
    <row r="200" spans="1:256" ht="17.25" x14ac:dyDescent="0.3">
      <c r="D200" s="1648"/>
    </row>
    <row r="216" spans="1:5" ht="17.25" x14ac:dyDescent="0.35">
      <c r="A216" s="146"/>
      <c r="B216" s="1649"/>
      <c r="C216" s="1650"/>
      <c r="E216" s="10"/>
    </row>
    <row r="217" spans="1:5" ht="17.25" x14ac:dyDescent="0.35">
      <c r="A217" s="146"/>
      <c r="B217" s="1649"/>
      <c r="C217" s="1650"/>
      <c r="D217" s="1651"/>
      <c r="E217" s="10"/>
    </row>
    <row r="218" spans="1:5" ht="17.25" x14ac:dyDescent="0.35">
      <c r="A218" s="146"/>
      <c r="B218" s="1649"/>
      <c r="C218" s="1650"/>
      <c r="D218" s="1651"/>
      <c r="E218" s="10"/>
    </row>
    <row r="219" spans="1:5" ht="17.25" x14ac:dyDescent="0.35">
      <c r="A219" s="146"/>
      <c r="B219" s="1649"/>
      <c r="C219" s="1650"/>
      <c r="D219" s="1651"/>
      <c r="E219" s="10"/>
    </row>
    <row r="220" spans="1:5" ht="17.25" x14ac:dyDescent="0.35">
      <c r="A220" s="146"/>
      <c r="B220" s="1649"/>
      <c r="C220" s="1650"/>
      <c r="D220" s="1651"/>
      <c r="E220" s="10"/>
    </row>
    <row r="221" spans="1:5" ht="17.25" x14ac:dyDescent="0.35">
      <c r="A221" s="146"/>
      <c r="B221" s="147"/>
      <c r="C221" s="149"/>
      <c r="D221" s="1651"/>
      <c r="E221" s="2"/>
    </row>
    <row r="222" spans="1:5" x14ac:dyDescent="0.3">
      <c r="A222" s="146"/>
      <c r="C222" s="149"/>
      <c r="D222" s="478"/>
    </row>
    <row r="223" spans="1:5" x14ac:dyDescent="0.3">
      <c r="A223" s="146"/>
      <c r="C223" s="149"/>
    </row>
    <row r="224" spans="1:5" x14ac:dyDescent="0.3">
      <c r="A224" s="146"/>
      <c r="C224" s="149"/>
    </row>
    <row r="225" spans="1:16141" x14ac:dyDescent="0.3">
      <c r="A225" s="146"/>
      <c r="C225" s="149"/>
    </row>
    <row r="226" spans="1:16141" x14ac:dyDescent="0.3">
      <c r="A226" s="146"/>
      <c r="C226" s="149"/>
    </row>
    <row r="227" spans="1:16141" x14ac:dyDescent="0.3">
      <c r="A227" s="146"/>
      <c r="C227" s="149"/>
    </row>
    <row r="228" spans="1:16141" x14ac:dyDescent="0.3">
      <c r="A228" s="146"/>
      <c r="C228" s="149"/>
    </row>
    <row r="239" spans="1:16141" x14ac:dyDescent="0.3">
      <c r="B239" s="145"/>
      <c r="C239" s="258"/>
      <c r="E239" s="2"/>
    </row>
    <row r="240" spans="1:16141" s="71" customFormat="1" x14ac:dyDescent="0.3">
      <c r="A240" s="1600"/>
      <c r="B240" s="146"/>
      <c r="C240" s="125"/>
      <c r="D240" s="1652"/>
      <c r="F240" s="146"/>
      <c r="G240" s="146"/>
      <c r="H240" s="146"/>
      <c r="I240" s="146"/>
      <c r="K240" s="146"/>
      <c r="M240" s="146"/>
      <c r="N240" s="146"/>
      <c r="O240" s="146"/>
      <c r="P240" s="146"/>
      <c r="Q240" s="146"/>
      <c r="R240" s="146"/>
      <c r="S240" s="146"/>
      <c r="T240" s="146"/>
      <c r="U240" s="146"/>
      <c r="V240" s="146"/>
      <c r="W240" s="146"/>
      <c r="X240" s="146"/>
      <c r="Y240" s="146"/>
      <c r="Z240" s="146"/>
      <c r="AA240" s="146"/>
      <c r="AB240" s="146"/>
      <c r="AC240" s="146"/>
      <c r="AD240" s="146"/>
      <c r="AE240" s="146"/>
      <c r="AF240" s="146"/>
      <c r="AG240" s="146"/>
      <c r="AH240" s="146"/>
      <c r="AI240" s="146"/>
      <c r="AJ240" s="146"/>
      <c r="AK240" s="146"/>
      <c r="AL240" s="146"/>
      <c r="AM240" s="146"/>
      <c r="AN240" s="146"/>
      <c r="AO240" s="146"/>
      <c r="AP240" s="146"/>
      <c r="AQ240" s="146"/>
      <c r="AR240" s="146"/>
      <c r="AS240" s="146"/>
      <c r="AT240" s="146"/>
      <c r="AU240" s="146"/>
      <c r="AV240" s="146"/>
      <c r="AW240" s="146"/>
      <c r="AX240" s="146"/>
      <c r="AY240" s="146"/>
      <c r="AZ240" s="146"/>
      <c r="BA240" s="146"/>
      <c r="BB240" s="146"/>
      <c r="BC240" s="146"/>
      <c r="BD240" s="146"/>
      <c r="BE240" s="146"/>
      <c r="BF240" s="146"/>
      <c r="BG240" s="146"/>
      <c r="BH240" s="146"/>
      <c r="BI240" s="146"/>
      <c r="BJ240" s="146"/>
      <c r="BK240" s="146"/>
      <c r="BL240" s="146"/>
      <c r="BM240" s="146"/>
      <c r="BN240" s="146"/>
      <c r="BO240" s="146"/>
      <c r="BP240" s="146"/>
      <c r="BQ240" s="146"/>
      <c r="BR240" s="146"/>
      <c r="BS240" s="146"/>
      <c r="BT240" s="146"/>
      <c r="BU240" s="146"/>
      <c r="BV240" s="146"/>
      <c r="BW240" s="146"/>
      <c r="BX240" s="146"/>
      <c r="BY240" s="146"/>
      <c r="BZ240" s="146"/>
      <c r="CA240" s="146"/>
      <c r="CB240" s="146"/>
      <c r="CC240" s="146"/>
      <c r="CD240" s="146"/>
      <c r="CE240" s="146"/>
      <c r="CF240" s="146"/>
      <c r="CG240" s="146"/>
      <c r="CH240" s="146"/>
      <c r="CI240" s="146"/>
      <c r="CJ240" s="146"/>
      <c r="CK240" s="146"/>
      <c r="CL240" s="146"/>
      <c r="CM240" s="146"/>
      <c r="CN240" s="146"/>
      <c r="CO240" s="146"/>
      <c r="CP240" s="146"/>
      <c r="CQ240" s="146"/>
      <c r="CR240" s="146"/>
      <c r="CS240" s="146"/>
      <c r="CT240" s="146"/>
      <c r="CU240" s="146"/>
      <c r="CV240" s="146"/>
      <c r="CW240" s="146"/>
      <c r="CX240" s="146"/>
      <c r="CY240" s="146"/>
      <c r="CZ240" s="146"/>
      <c r="DA240" s="146"/>
      <c r="DB240" s="146"/>
      <c r="DC240" s="146"/>
      <c r="DD240" s="146"/>
      <c r="DE240" s="146"/>
      <c r="DF240" s="146"/>
      <c r="DG240" s="146"/>
      <c r="DH240" s="146"/>
      <c r="DI240" s="146"/>
      <c r="DJ240" s="146"/>
      <c r="DK240" s="146"/>
      <c r="DL240" s="146"/>
      <c r="DM240" s="146"/>
      <c r="DN240" s="146"/>
      <c r="DO240" s="146"/>
      <c r="DP240" s="146"/>
      <c r="DQ240" s="146"/>
      <c r="DR240" s="146"/>
      <c r="DS240" s="146"/>
      <c r="DT240" s="146"/>
      <c r="DU240" s="146"/>
      <c r="DV240" s="146"/>
      <c r="DW240" s="146"/>
      <c r="DX240" s="146"/>
      <c r="DY240" s="146"/>
      <c r="DZ240" s="146"/>
      <c r="EA240" s="146"/>
      <c r="EB240" s="146"/>
      <c r="EC240" s="146"/>
      <c r="ED240" s="146"/>
      <c r="EE240" s="146"/>
      <c r="EF240" s="146"/>
      <c r="EG240" s="146"/>
      <c r="EH240" s="146"/>
      <c r="EI240" s="146"/>
      <c r="EJ240" s="146"/>
      <c r="EK240" s="146"/>
      <c r="EL240" s="146"/>
      <c r="EM240" s="146"/>
      <c r="EN240" s="146"/>
      <c r="EO240" s="146"/>
      <c r="EP240" s="146"/>
      <c r="EQ240" s="146"/>
      <c r="ER240" s="146"/>
      <c r="ES240" s="146"/>
      <c r="ET240" s="146"/>
      <c r="EU240" s="146"/>
      <c r="EV240" s="146"/>
      <c r="EW240" s="146"/>
      <c r="EX240" s="146"/>
      <c r="EY240" s="146"/>
      <c r="EZ240" s="146"/>
      <c r="FA240" s="146"/>
      <c r="FB240" s="146"/>
      <c r="FC240" s="146"/>
      <c r="FD240" s="146"/>
      <c r="FE240" s="146"/>
      <c r="FF240" s="146"/>
      <c r="FG240" s="146"/>
      <c r="FH240" s="146"/>
      <c r="FI240" s="146"/>
      <c r="FJ240" s="146"/>
      <c r="FK240" s="146"/>
      <c r="FL240" s="146"/>
      <c r="FM240" s="146"/>
      <c r="FN240" s="146"/>
      <c r="FO240" s="146"/>
      <c r="FP240" s="146"/>
      <c r="FQ240" s="146"/>
      <c r="FR240" s="146"/>
      <c r="FS240" s="146"/>
      <c r="FT240" s="146"/>
      <c r="FU240" s="146"/>
      <c r="FV240" s="146"/>
      <c r="FW240" s="146"/>
      <c r="FX240" s="146"/>
      <c r="FY240" s="146"/>
      <c r="FZ240" s="146"/>
      <c r="GA240" s="146"/>
      <c r="GB240" s="146"/>
      <c r="GC240" s="146"/>
      <c r="GD240" s="146"/>
      <c r="GE240" s="146"/>
      <c r="GF240" s="146"/>
      <c r="GG240" s="146"/>
      <c r="GH240" s="146"/>
      <c r="GI240" s="146"/>
      <c r="GJ240" s="146"/>
      <c r="GK240" s="146"/>
      <c r="GL240" s="146"/>
      <c r="GM240" s="146"/>
      <c r="GN240" s="146"/>
      <c r="GO240" s="146"/>
      <c r="GP240" s="146"/>
      <c r="GQ240" s="146"/>
      <c r="GR240" s="146"/>
      <c r="GS240" s="146"/>
      <c r="GT240" s="146"/>
      <c r="GU240" s="146"/>
      <c r="GV240" s="146"/>
      <c r="GW240" s="146"/>
      <c r="GX240" s="146"/>
      <c r="GY240" s="146"/>
      <c r="GZ240" s="146"/>
      <c r="HA240" s="146"/>
      <c r="HB240" s="146"/>
      <c r="HC240" s="146"/>
      <c r="HD240" s="146"/>
      <c r="HE240" s="146"/>
      <c r="HF240" s="146"/>
      <c r="HG240" s="146"/>
      <c r="HH240" s="146"/>
      <c r="HI240" s="146"/>
      <c r="HJ240" s="146"/>
      <c r="HK240" s="146"/>
      <c r="HL240" s="146"/>
      <c r="HM240" s="146"/>
      <c r="HN240" s="146"/>
      <c r="HO240" s="146"/>
      <c r="HP240" s="146"/>
      <c r="HQ240" s="146"/>
      <c r="HR240" s="146"/>
      <c r="HS240" s="146"/>
      <c r="HT240" s="146"/>
      <c r="HU240" s="146"/>
      <c r="HV240" s="146"/>
      <c r="HW240" s="146"/>
      <c r="HX240" s="146"/>
      <c r="HY240" s="146"/>
      <c r="HZ240" s="146"/>
      <c r="IA240" s="146"/>
      <c r="IB240" s="146"/>
      <c r="IC240" s="146"/>
      <c r="ID240" s="146"/>
      <c r="IE240" s="146"/>
      <c r="IF240" s="146"/>
      <c r="IG240" s="146"/>
      <c r="IH240" s="146"/>
      <c r="II240" s="146"/>
      <c r="IJ240" s="146"/>
      <c r="IK240" s="146"/>
      <c r="IL240" s="146"/>
      <c r="IM240" s="146"/>
      <c r="IN240" s="146"/>
      <c r="IO240" s="146"/>
      <c r="IP240" s="146"/>
      <c r="IQ240" s="146"/>
      <c r="IR240" s="146"/>
      <c r="IS240" s="146"/>
      <c r="IT240" s="146"/>
      <c r="IU240" s="146"/>
      <c r="IV240" s="146"/>
      <c r="IW240" s="146"/>
      <c r="IX240" s="146"/>
      <c r="IY240" s="146"/>
      <c r="IZ240" s="146"/>
      <c r="JA240" s="146"/>
      <c r="JB240" s="146"/>
      <c r="JC240" s="146"/>
      <c r="JD240" s="146"/>
      <c r="JE240" s="146"/>
      <c r="JF240" s="146"/>
      <c r="JG240" s="146"/>
      <c r="JH240" s="146"/>
      <c r="JI240" s="146"/>
      <c r="JJ240" s="146"/>
      <c r="JK240" s="146"/>
      <c r="JL240" s="146"/>
      <c r="JM240" s="146"/>
      <c r="JN240" s="146"/>
      <c r="JO240" s="146"/>
      <c r="JP240" s="146"/>
      <c r="JQ240" s="146"/>
      <c r="JR240" s="146"/>
      <c r="JS240" s="146"/>
      <c r="JT240" s="146"/>
      <c r="JU240" s="146"/>
      <c r="JV240" s="146"/>
      <c r="JW240" s="146"/>
      <c r="JX240" s="146"/>
      <c r="JY240" s="146"/>
      <c r="JZ240" s="146"/>
      <c r="KA240" s="146"/>
      <c r="KB240" s="146"/>
      <c r="KC240" s="146"/>
      <c r="KD240" s="146"/>
      <c r="KE240" s="146"/>
      <c r="KF240" s="146"/>
      <c r="KG240" s="146"/>
      <c r="KH240" s="146"/>
      <c r="KI240" s="146"/>
      <c r="KJ240" s="146"/>
      <c r="KK240" s="146"/>
      <c r="KL240" s="146"/>
      <c r="KM240" s="146"/>
      <c r="KN240" s="146"/>
      <c r="KO240" s="146"/>
      <c r="KP240" s="146"/>
      <c r="KQ240" s="146"/>
      <c r="KR240" s="146"/>
      <c r="KS240" s="146"/>
      <c r="KT240" s="146"/>
      <c r="KU240" s="146"/>
      <c r="KV240" s="146"/>
      <c r="KW240" s="146"/>
      <c r="KX240" s="146"/>
      <c r="KY240" s="146"/>
      <c r="KZ240" s="146"/>
      <c r="LA240" s="146"/>
      <c r="LB240" s="146"/>
      <c r="LC240" s="146"/>
      <c r="LD240" s="146"/>
      <c r="LE240" s="146"/>
      <c r="LF240" s="146"/>
      <c r="LG240" s="146"/>
      <c r="LH240" s="146"/>
      <c r="LI240" s="146"/>
      <c r="LJ240" s="146"/>
      <c r="LK240" s="146"/>
      <c r="LL240" s="146"/>
      <c r="LM240" s="146"/>
      <c r="LN240" s="146"/>
      <c r="LO240" s="146"/>
      <c r="LP240" s="146"/>
      <c r="LQ240" s="146"/>
      <c r="LR240" s="146"/>
      <c r="LS240" s="146"/>
      <c r="LT240" s="146"/>
      <c r="LU240" s="146"/>
      <c r="LV240" s="146"/>
      <c r="LW240" s="146"/>
      <c r="LX240" s="146"/>
      <c r="LY240" s="146"/>
      <c r="LZ240" s="146"/>
      <c r="MA240" s="146"/>
      <c r="MB240" s="146"/>
      <c r="MC240" s="146"/>
      <c r="MD240" s="146"/>
      <c r="ME240" s="146"/>
      <c r="MF240" s="146"/>
      <c r="MG240" s="146"/>
      <c r="MH240" s="146"/>
      <c r="MI240" s="146"/>
      <c r="MJ240" s="146"/>
      <c r="MK240" s="146"/>
      <c r="ML240" s="146"/>
      <c r="MM240" s="146"/>
      <c r="MN240" s="146"/>
      <c r="MO240" s="146"/>
      <c r="MP240" s="146"/>
      <c r="MQ240" s="146"/>
      <c r="MR240" s="146"/>
      <c r="MS240" s="146"/>
      <c r="MT240" s="146"/>
      <c r="MU240" s="146"/>
      <c r="MV240" s="146"/>
      <c r="MW240" s="146"/>
      <c r="MX240" s="146"/>
      <c r="MY240" s="146"/>
      <c r="MZ240" s="146"/>
      <c r="NA240" s="146"/>
      <c r="NB240" s="146"/>
      <c r="NC240" s="146"/>
      <c r="ND240" s="146"/>
      <c r="NE240" s="146"/>
      <c r="NF240" s="146"/>
      <c r="NG240" s="146"/>
      <c r="NH240" s="146"/>
      <c r="NI240" s="146"/>
      <c r="NJ240" s="146"/>
      <c r="NK240" s="146"/>
      <c r="NL240" s="146"/>
      <c r="NM240" s="146"/>
      <c r="NN240" s="146"/>
      <c r="NO240" s="146"/>
      <c r="NP240" s="146"/>
      <c r="NQ240" s="146"/>
      <c r="NR240" s="146"/>
      <c r="NS240" s="146"/>
      <c r="NT240" s="146"/>
      <c r="NU240" s="146"/>
      <c r="NV240" s="146"/>
      <c r="NW240" s="146"/>
      <c r="NX240" s="146"/>
      <c r="NY240" s="146"/>
      <c r="NZ240" s="146"/>
      <c r="OA240" s="146"/>
      <c r="OB240" s="146"/>
      <c r="OC240" s="146"/>
      <c r="OD240" s="146"/>
      <c r="OE240" s="146"/>
      <c r="OF240" s="146"/>
      <c r="OG240" s="146"/>
      <c r="OH240" s="146"/>
      <c r="OI240" s="146"/>
      <c r="OJ240" s="146"/>
      <c r="OK240" s="146"/>
      <c r="OL240" s="146"/>
      <c r="OM240" s="146"/>
      <c r="ON240" s="146"/>
      <c r="OO240" s="146"/>
      <c r="OP240" s="146"/>
      <c r="OQ240" s="146"/>
      <c r="OR240" s="146"/>
      <c r="OS240" s="146"/>
      <c r="OT240" s="146"/>
      <c r="OU240" s="146"/>
      <c r="OV240" s="146"/>
      <c r="OW240" s="146"/>
      <c r="OX240" s="146"/>
      <c r="OY240" s="146"/>
      <c r="OZ240" s="146"/>
      <c r="PA240" s="146"/>
      <c r="PB240" s="146"/>
      <c r="PC240" s="146"/>
      <c r="PD240" s="146"/>
      <c r="PE240" s="146"/>
      <c r="PF240" s="146"/>
      <c r="PG240" s="146"/>
      <c r="PH240" s="146"/>
      <c r="PI240" s="146"/>
      <c r="PJ240" s="146"/>
      <c r="PK240" s="146"/>
      <c r="PL240" s="146"/>
      <c r="PM240" s="146"/>
      <c r="PN240" s="146"/>
      <c r="PO240" s="146"/>
      <c r="PP240" s="146"/>
      <c r="PQ240" s="146"/>
      <c r="PR240" s="146"/>
      <c r="PS240" s="146"/>
      <c r="PT240" s="146"/>
      <c r="PU240" s="146"/>
      <c r="PV240" s="146"/>
      <c r="PW240" s="146"/>
      <c r="PX240" s="146"/>
      <c r="PY240" s="146"/>
      <c r="PZ240" s="146"/>
      <c r="QA240" s="146"/>
      <c r="QB240" s="146"/>
      <c r="QC240" s="146"/>
      <c r="QD240" s="146"/>
      <c r="QE240" s="146"/>
      <c r="QF240" s="146"/>
      <c r="QG240" s="146"/>
      <c r="QH240" s="146"/>
      <c r="QI240" s="146"/>
      <c r="QJ240" s="146"/>
      <c r="QK240" s="146"/>
      <c r="QL240" s="146"/>
      <c r="QM240" s="146"/>
      <c r="QN240" s="146"/>
      <c r="QO240" s="146"/>
      <c r="QP240" s="146"/>
      <c r="QQ240" s="146"/>
      <c r="QR240" s="146"/>
      <c r="QS240" s="146"/>
      <c r="QT240" s="146"/>
      <c r="QU240" s="146"/>
      <c r="QV240" s="146"/>
      <c r="QW240" s="146"/>
      <c r="QX240" s="146"/>
      <c r="QY240" s="146"/>
      <c r="QZ240" s="146"/>
      <c r="RA240" s="146"/>
      <c r="RB240" s="146"/>
      <c r="RC240" s="146"/>
      <c r="RD240" s="146"/>
      <c r="RE240" s="146"/>
      <c r="RF240" s="146"/>
      <c r="RG240" s="146"/>
      <c r="RH240" s="146"/>
      <c r="RI240" s="146"/>
      <c r="RJ240" s="146"/>
      <c r="RK240" s="146"/>
      <c r="RL240" s="146"/>
      <c r="RM240" s="146"/>
      <c r="RN240" s="146"/>
      <c r="RO240" s="146"/>
      <c r="RP240" s="146"/>
      <c r="RQ240" s="146"/>
      <c r="RR240" s="146"/>
      <c r="RS240" s="146"/>
      <c r="RT240" s="146"/>
      <c r="RU240" s="146"/>
      <c r="RV240" s="146"/>
      <c r="RW240" s="146"/>
      <c r="RX240" s="146"/>
      <c r="RY240" s="146"/>
      <c r="RZ240" s="146"/>
      <c r="SA240" s="146"/>
      <c r="SB240" s="146"/>
      <c r="SC240" s="146"/>
      <c r="SD240" s="146"/>
      <c r="SE240" s="146"/>
      <c r="SF240" s="146"/>
      <c r="SG240" s="146"/>
      <c r="SH240" s="146"/>
      <c r="SI240" s="146"/>
      <c r="SJ240" s="146"/>
      <c r="SK240" s="146"/>
      <c r="SL240" s="146"/>
      <c r="SM240" s="146"/>
      <c r="SN240" s="146"/>
      <c r="SO240" s="146"/>
      <c r="SP240" s="146"/>
      <c r="SQ240" s="146"/>
      <c r="SR240" s="146"/>
      <c r="SS240" s="146"/>
      <c r="ST240" s="146"/>
      <c r="SU240" s="146"/>
      <c r="SV240" s="146"/>
      <c r="SW240" s="146"/>
      <c r="SX240" s="146"/>
      <c r="SY240" s="146"/>
      <c r="SZ240" s="146"/>
      <c r="TA240" s="146"/>
      <c r="TB240" s="146"/>
      <c r="TC240" s="146"/>
      <c r="TD240" s="146"/>
      <c r="TE240" s="146"/>
      <c r="TF240" s="146"/>
      <c r="TG240" s="146"/>
      <c r="TH240" s="146"/>
      <c r="TI240" s="146"/>
      <c r="TJ240" s="146"/>
      <c r="TK240" s="146"/>
      <c r="TL240" s="146"/>
      <c r="TM240" s="146"/>
      <c r="TN240" s="146"/>
      <c r="TO240" s="146"/>
      <c r="TP240" s="146"/>
      <c r="TQ240" s="146"/>
      <c r="TR240" s="146"/>
      <c r="TS240" s="146"/>
      <c r="TT240" s="146"/>
      <c r="TU240" s="146"/>
      <c r="TV240" s="146"/>
      <c r="TW240" s="146"/>
      <c r="TX240" s="146"/>
      <c r="TY240" s="146"/>
      <c r="TZ240" s="146"/>
      <c r="UA240" s="146"/>
      <c r="UB240" s="146"/>
      <c r="UC240" s="146"/>
      <c r="UD240" s="146"/>
      <c r="UE240" s="146"/>
      <c r="UF240" s="146"/>
      <c r="UG240" s="146"/>
      <c r="UH240" s="146"/>
      <c r="UI240" s="146"/>
      <c r="UJ240" s="146"/>
      <c r="UK240" s="146"/>
      <c r="UL240" s="146"/>
      <c r="UM240" s="146"/>
      <c r="UN240" s="146"/>
      <c r="UO240" s="146"/>
      <c r="UP240" s="146"/>
      <c r="UQ240" s="146"/>
      <c r="UR240" s="146"/>
      <c r="US240" s="146"/>
      <c r="UT240" s="146"/>
      <c r="UU240" s="146"/>
      <c r="UV240" s="146"/>
      <c r="UW240" s="146"/>
      <c r="UX240" s="146"/>
      <c r="UY240" s="146"/>
      <c r="UZ240" s="146"/>
      <c r="VA240" s="146"/>
      <c r="VB240" s="146"/>
      <c r="VC240" s="146"/>
      <c r="VD240" s="146"/>
      <c r="VE240" s="146"/>
      <c r="VF240" s="146"/>
      <c r="VG240" s="146"/>
      <c r="VH240" s="146"/>
      <c r="VI240" s="146"/>
      <c r="VJ240" s="146"/>
      <c r="VK240" s="146"/>
      <c r="VL240" s="146"/>
      <c r="VM240" s="146"/>
      <c r="VN240" s="146"/>
      <c r="VO240" s="146"/>
      <c r="VP240" s="146"/>
      <c r="VQ240" s="146"/>
      <c r="VR240" s="146"/>
      <c r="VS240" s="146"/>
      <c r="VT240" s="146"/>
      <c r="VU240" s="146"/>
      <c r="VV240" s="146"/>
      <c r="VW240" s="146"/>
      <c r="VX240" s="146"/>
      <c r="VY240" s="146"/>
      <c r="VZ240" s="146"/>
      <c r="WA240" s="146"/>
      <c r="WB240" s="146"/>
      <c r="WC240" s="146"/>
      <c r="WD240" s="146"/>
      <c r="WE240" s="146"/>
      <c r="WF240" s="146"/>
      <c r="WG240" s="146"/>
      <c r="WH240" s="146"/>
      <c r="WI240" s="146"/>
      <c r="WJ240" s="146"/>
      <c r="WK240" s="146"/>
      <c r="WL240" s="146"/>
      <c r="WM240" s="146"/>
      <c r="WN240" s="146"/>
      <c r="WO240" s="146"/>
      <c r="WP240" s="146"/>
      <c r="WQ240" s="146"/>
      <c r="WR240" s="146"/>
      <c r="WS240" s="146"/>
      <c r="WT240" s="146"/>
      <c r="WU240" s="146"/>
      <c r="WV240" s="146"/>
      <c r="WW240" s="146"/>
      <c r="WX240" s="146"/>
      <c r="WY240" s="146"/>
      <c r="WZ240" s="146"/>
      <c r="XA240" s="146"/>
      <c r="XB240" s="146"/>
      <c r="XC240" s="146"/>
      <c r="XD240" s="146"/>
      <c r="XE240" s="146"/>
      <c r="XF240" s="146"/>
      <c r="XG240" s="146"/>
      <c r="XH240" s="146"/>
      <c r="XI240" s="146"/>
      <c r="XJ240" s="146"/>
      <c r="XK240" s="146"/>
      <c r="XL240" s="146"/>
      <c r="XM240" s="146"/>
      <c r="XN240" s="146"/>
      <c r="XO240" s="146"/>
      <c r="XP240" s="146"/>
      <c r="XQ240" s="146"/>
      <c r="XR240" s="146"/>
      <c r="XS240" s="146"/>
      <c r="XT240" s="146"/>
      <c r="XU240" s="146"/>
      <c r="XV240" s="146"/>
      <c r="XW240" s="146"/>
      <c r="XX240" s="146"/>
      <c r="XY240" s="146"/>
      <c r="XZ240" s="146"/>
      <c r="YA240" s="146"/>
      <c r="YB240" s="146"/>
      <c r="YC240" s="146"/>
      <c r="YD240" s="146"/>
      <c r="YE240" s="146"/>
      <c r="YF240" s="146"/>
      <c r="YG240" s="146"/>
      <c r="YH240" s="146"/>
      <c r="YI240" s="146"/>
      <c r="YJ240" s="146"/>
      <c r="YK240" s="146"/>
      <c r="YL240" s="146"/>
      <c r="YM240" s="146"/>
      <c r="YN240" s="146"/>
      <c r="YO240" s="146"/>
      <c r="YP240" s="146"/>
      <c r="YQ240" s="146"/>
      <c r="YR240" s="146"/>
      <c r="YS240" s="146"/>
      <c r="YT240" s="146"/>
      <c r="YU240" s="146"/>
      <c r="YV240" s="146"/>
      <c r="YW240" s="146"/>
      <c r="YX240" s="146"/>
      <c r="YY240" s="146"/>
      <c r="YZ240" s="146"/>
      <c r="ZA240" s="146"/>
      <c r="ZB240" s="146"/>
      <c r="ZC240" s="146"/>
      <c r="ZD240" s="146"/>
      <c r="ZE240" s="146"/>
      <c r="ZF240" s="146"/>
      <c r="ZG240" s="146"/>
      <c r="ZH240" s="146"/>
      <c r="ZI240" s="146"/>
      <c r="ZJ240" s="146"/>
      <c r="ZK240" s="146"/>
      <c r="ZL240" s="146"/>
      <c r="ZM240" s="146"/>
      <c r="ZN240" s="146"/>
      <c r="ZO240" s="146"/>
      <c r="ZP240" s="146"/>
      <c r="ZQ240" s="146"/>
      <c r="ZR240" s="146"/>
      <c r="ZS240" s="146"/>
      <c r="ZT240" s="146"/>
      <c r="ZU240" s="146"/>
      <c r="ZV240" s="146"/>
      <c r="ZW240" s="146"/>
      <c r="ZX240" s="146"/>
      <c r="ZY240" s="146"/>
      <c r="ZZ240" s="146"/>
      <c r="AAA240" s="146"/>
      <c r="AAB240" s="146"/>
      <c r="AAC240" s="146"/>
      <c r="AAD240" s="146"/>
      <c r="AAE240" s="146"/>
      <c r="AAF240" s="146"/>
      <c r="AAG240" s="146"/>
      <c r="AAH240" s="146"/>
      <c r="AAI240" s="146"/>
      <c r="AAJ240" s="146"/>
      <c r="AAK240" s="146"/>
      <c r="AAL240" s="146"/>
      <c r="AAM240" s="146"/>
      <c r="AAN240" s="146"/>
      <c r="AAO240" s="146"/>
      <c r="AAP240" s="146"/>
      <c r="AAQ240" s="146"/>
      <c r="AAR240" s="146"/>
      <c r="AAS240" s="146"/>
      <c r="AAT240" s="146"/>
      <c r="AAU240" s="146"/>
      <c r="AAV240" s="146"/>
      <c r="AAW240" s="146"/>
      <c r="AAX240" s="146"/>
      <c r="AAY240" s="146"/>
      <c r="AAZ240" s="146"/>
      <c r="ABA240" s="146"/>
      <c r="ABB240" s="146"/>
      <c r="ABC240" s="146"/>
      <c r="ABD240" s="146"/>
      <c r="ABE240" s="146"/>
      <c r="ABF240" s="146"/>
      <c r="ABG240" s="146"/>
      <c r="ABH240" s="146"/>
      <c r="ABI240" s="146"/>
      <c r="ABJ240" s="146"/>
      <c r="ABK240" s="146"/>
      <c r="ABL240" s="146"/>
      <c r="ABM240" s="146"/>
      <c r="ABN240" s="146"/>
      <c r="ABO240" s="146"/>
      <c r="ABP240" s="146"/>
      <c r="ABQ240" s="146"/>
      <c r="ABR240" s="146"/>
      <c r="ABS240" s="146"/>
      <c r="ABT240" s="146"/>
      <c r="ABU240" s="146"/>
      <c r="ABV240" s="146"/>
      <c r="ABW240" s="146"/>
      <c r="ABX240" s="146"/>
      <c r="ABY240" s="146"/>
      <c r="ABZ240" s="146"/>
      <c r="ACA240" s="146"/>
      <c r="ACB240" s="146"/>
      <c r="ACC240" s="146"/>
      <c r="ACD240" s="146"/>
      <c r="ACE240" s="146"/>
      <c r="ACF240" s="146"/>
      <c r="ACG240" s="146"/>
      <c r="ACH240" s="146"/>
      <c r="ACI240" s="146"/>
      <c r="ACJ240" s="146"/>
      <c r="ACK240" s="146"/>
      <c r="ACL240" s="146"/>
      <c r="ACM240" s="146"/>
      <c r="ACN240" s="146"/>
      <c r="ACO240" s="146"/>
      <c r="ACP240" s="146"/>
      <c r="ACQ240" s="146"/>
      <c r="ACR240" s="146"/>
      <c r="ACS240" s="146"/>
      <c r="ACT240" s="146"/>
      <c r="ACU240" s="146"/>
      <c r="ACV240" s="146"/>
      <c r="ACW240" s="146"/>
      <c r="ACX240" s="146"/>
      <c r="ACY240" s="146"/>
      <c r="ACZ240" s="146"/>
      <c r="ADA240" s="146"/>
      <c r="ADB240" s="146"/>
      <c r="ADC240" s="146"/>
      <c r="ADD240" s="146"/>
      <c r="ADE240" s="146"/>
      <c r="ADF240" s="146"/>
      <c r="ADG240" s="146"/>
      <c r="ADH240" s="146"/>
      <c r="ADI240" s="146"/>
      <c r="ADJ240" s="146"/>
      <c r="ADK240" s="146"/>
      <c r="ADL240" s="146"/>
      <c r="ADM240" s="146"/>
      <c r="ADN240" s="146"/>
      <c r="ADO240" s="146"/>
      <c r="ADP240" s="146"/>
      <c r="ADQ240" s="146"/>
      <c r="ADR240" s="146"/>
      <c r="ADS240" s="146"/>
      <c r="ADT240" s="146"/>
      <c r="ADU240" s="146"/>
      <c r="ADV240" s="146"/>
      <c r="ADW240" s="146"/>
      <c r="ADX240" s="146"/>
      <c r="ADY240" s="146"/>
      <c r="ADZ240" s="146"/>
      <c r="AEA240" s="146"/>
      <c r="AEB240" s="146"/>
      <c r="AEC240" s="146"/>
      <c r="AED240" s="146"/>
      <c r="AEE240" s="146"/>
      <c r="AEF240" s="146"/>
      <c r="AEG240" s="146"/>
      <c r="AEH240" s="146"/>
      <c r="AEI240" s="146"/>
      <c r="AEJ240" s="146"/>
      <c r="AEK240" s="146"/>
      <c r="AEL240" s="146"/>
      <c r="AEM240" s="146"/>
      <c r="AEN240" s="146"/>
      <c r="AEO240" s="146"/>
      <c r="AEP240" s="146"/>
      <c r="AEQ240" s="146"/>
      <c r="AER240" s="146"/>
      <c r="AES240" s="146"/>
      <c r="AET240" s="146"/>
      <c r="AEU240" s="146"/>
      <c r="AEV240" s="146"/>
      <c r="AEW240" s="146"/>
      <c r="AEX240" s="146"/>
      <c r="AEY240" s="146"/>
      <c r="AEZ240" s="146"/>
      <c r="AFA240" s="146"/>
      <c r="AFB240" s="146"/>
      <c r="AFC240" s="146"/>
      <c r="AFD240" s="146"/>
      <c r="AFE240" s="146"/>
      <c r="AFF240" s="146"/>
      <c r="AFG240" s="146"/>
      <c r="AFH240" s="146"/>
      <c r="AFI240" s="146"/>
      <c r="AFJ240" s="146"/>
      <c r="AFK240" s="146"/>
      <c r="AFL240" s="146"/>
      <c r="AFM240" s="146"/>
      <c r="AFN240" s="146"/>
      <c r="AFO240" s="146"/>
      <c r="AFP240" s="146"/>
      <c r="AFQ240" s="146"/>
      <c r="AFR240" s="146"/>
      <c r="AFS240" s="146"/>
      <c r="AFT240" s="146"/>
      <c r="AFU240" s="146"/>
      <c r="AFV240" s="146"/>
      <c r="AFW240" s="146"/>
      <c r="AFX240" s="146"/>
      <c r="AFY240" s="146"/>
      <c r="AFZ240" s="146"/>
      <c r="AGA240" s="146"/>
      <c r="AGB240" s="146"/>
      <c r="AGC240" s="146"/>
      <c r="AGD240" s="146"/>
      <c r="AGE240" s="146"/>
      <c r="AGF240" s="146"/>
      <c r="AGG240" s="146"/>
      <c r="AGH240" s="146"/>
      <c r="AGI240" s="146"/>
      <c r="AGJ240" s="146"/>
      <c r="AGK240" s="146"/>
      <c r="AGL240" s="146"/>
      <c r="AGM240" s="146"/>
      <c r="AGN240" s="146"/>
      <c r="AGO240" s="146"/>
      <c r="AGP240" s="146"/>
      <c r="AGQ240" s="146"/>
      <c r="AGR240" s="146"/>
      <c r="AGS240" s="146"/>
      <c r="AGT240" s="146"/>
      <c r="AGU240" s="146"/>
      <c r="AGV240" s="146"/>
      <c r="AGW240" s="146"/>
      <c r="AGX240" s="146"/>
      <c r="AGY240" s="146"/>
      <c r="AGZ240" s="146"/>
      <c r="AHA240" s="146"/>
      <c r="AHB240" s="146"/>
      <c r="AHC240" s="146"/>
      <c r="AHD240" s="146"/>
      <c r="AHE240" s="146"/>
      <c r="AHF240" s="146"/>
      <c r="AHG240" s="146"/>
      <c r="AHH240" s="146"/>
      <c r="AHI240" s="146"/>
      <c r="AHJ240" s="146"/>
      <c r="AHK240" s="146"/>
      <c r="AHL240" s="146"/>
      <c r="AHM240" s="146"/>
      <c r="AHN240" s="146"/>
      <c r="AHO240" s="146"/>
      <c r="AHP240" s="146"/>
      <c r="AHQ240" s="146"/>
      <c r="AHR240" s="146"/>
      <c r="AHS240" s="146"/>
      <c r="AHT240" s="146"/>
      <c r="AHU240" s="146"/>
      <c r="AHV240" s="146"/>
      <c r="AHW240" s="146"/>
      <c r="AHX240" s="146"/>
      <c r="AHY240" s="146"/>
      <c r="AHZ240" s="146"/>
      <c r="AIA240" s="146"/>
      <c r="AIB240" s="146"/>
      <c r="AIC240" s="146"/>
      <c r="AID240" s="146"/>
      <c r="AIE240" s="146"/>
      <c r="AIF240" s="146"/>
      <c r="AIG240" s="146"/>
      <c r="AIH240" s="146"/>
      <c r="AII240" s="146"/>
      <c r="AIJ240" s="146"/>
      <c r="AIK240" s="146"/>
      <c r="AIL240" s="146"/>
      <c r="AIM240" s="146"/>
      <c r="AIN240" s="146"/>
      <c r="AIO240" s="146"/>
      <c r="AIP240" s="146"/>
      <c r="AIQ240" s="146"/>
      <c r="AIR240" s="146"/>
      <c r="AIS240" s="146"/>
      <c r="AIT240" s="146"/>
      <c r="AIU240" s="146"/>
      <c r="AIV240" s="146"/>
      <c r="AIW240" s="146"/>
      <c r="AIX240" s="146"/>
      <c r="AIY240" s="146"/>
      <c r="AIZ240" s="146"/>
      <c r="AJA240" s="146"/>
      <c r="AJB240" s="146"/>
      <c r="AJC240" s="146"/>
      <c r="AJD240" s="146"/>
      <c r="AJE240" s="146"/>
      <c r="AJF240" s="146"/>
      <c r="AJG240" s="146"/>
      <c r="AJH240" s="146"/>
      <c r="AJI240" s="146"/>
      <c r="AJJ240" s="146"/>
      <c r="AJK240" s="146"/>
      <c r="AJL240" s="146"/>
      <c r="AJM240" s="146"/>
      <c r="AJN240" s="146"/>
      <c r="AJO240" s="146"/>
      <c r="AJP240" s="146"/>
      <c r="AJQ240" s="146"/>
      <c r="AJR240" s="146"/>
      <c r="AJS240" s="146"/>
      <c r="AJT240" s="146"/>
      <c r="AJU240" s="146"/>
      <c r="AJV240" s="146"/>
      <c r="AJW240" s="146"/>
      <c r="AJX240" s="146"/>
      <c r="AJY240" s="146"/>
      <c r="AJZ240" s="146"/>
      <c r="AKA240" s="146"/>
      <c r="AKB240" s="146"/>
      <c r="AKC240" s="146"/>
      <c r="AKD240" s="146"/>
      <c r="AKE240" s="146"/>
      <c r="AKF240" s="146"/>
      <c r="AKG240" s="146"/>
      <c r="AKH240" s="146"/>
      <c r="AKI240" s="146"/>
      <c r="AKJ240" s="146"/>
      <c r="AKK240" s="146"/>
      <c r="AKL240" s="146"/>
      <c r="AKM240" s="146"/>
      <c r="AKN240" s="146"/>
      <c r="AKO240" s="146"/>
      <c r="AKP240" s="146"/>
      <c r="AKQ240" s="146"/>
      <c r="AKR240" s="146"/>
      <c r="AKS240" s="146"/>
      <c r="AKT240" s="146"/>
      <c r="AKU240" s="146"/>
      <c r="AKV240" s="146"/>
      <c r="AKW240" s="146"/>
      <c r="AKX240" s="146"/>
      <c r="AKY240" s="146"/>
      <c r="AKZ240" s="146"/>
      <c r="ALA240" s="146"/>
      <c r="ALB240" s="146"/>
      <c r="ALC240" s="146"/>
      <c r="ALD240" s="146"/>
      <c r="ALE240" s="146"/>
      <c r="ALF240" s="146"/>
      <c r="ALG240" s="146"/>
      <c r="ALH240" s="146"/>
      <c r="ALI240" s="146"/>
      <c r="ALJ240" s="146"/>
      <c r="ALK240" s="146"/>
      <c r="ALL240" s="146"/>
      <c r="ALM240" s="146"/>
      <c r="ALN240" s="146"/>
      <c r="ALO240" s="146"/>
      <c r="ALP240" s="146"/>
      <c r="ALQ240" s="146"/>
      <c r="ALR240" s="146"/>
      <c r="ALS240" s="146"/>
      <c r="ALT240" s="146"/>
      <c r="ALU240" s="146"/>
      <c r="ALV240" s="146"/>
      <c r="ALW240" s="146"/>
      <c r="ALX240" s="146"/>
      <c r="ALY240" s="146"/>
      <c r="ALZ240" s="146"/>
      <c r="AMA240" s="146"/>
      <c r="AMB240" s="146"/>
      <c r="AMC240" s="146"/>
      <c r="AMD240" s="146"/>
      <c r="AME240" s="146"/>
      <c r="AMF240" s="146"/>
      <c r="AMG240" s="146"/>
      <c r="AMH240" s="146"/>
      <c r="AMI240" s="146"/>
      <c r="AMJ240" s="146"/>
      <c r="AMK240" s="146"/>
      <c r="AML240" s="146"/>
      <c r="AMM240" s="146"/>
      <c r="AMN240" s="146"/>
      <c r="AMO240" s="146"/>
      <c r="AMP240" s="146"/>
      <c r="AMQ240" s="146"/>
      <c r="AMR240" s="146"/>
      <c r="AMS240" s="146"/>
      <c r="AMT240" s="146"/>
      <c r="AMU240" s="146"/>
      <c r="AMV240" s="146"/>
      <c r="AMW240" s="146"/>
      <c r="AMX240" s="146"/>
      <c r="AMY240" s="146"/>
      <c r="AMZ240" s="146"/>
      <c r="ANA240" s="146"/>
      <c r="ANB240" s="146"/>
      <c r="ANC240" s="146"/>
      <c r="AND240" s="146"/>
      <c r="ANE240" s="146"/>
      <c r="ANF240" s="146"/>
      <c r="ANG240" s="146"/>
      <c r="ANH240" s="146"/>
      <c r="ANI240" s="146"/>
      <c r="ANJ240" s="146"/>
      <c r="ANK240" s="146"/>
      <c r="ANL240" s="146"/>
      <c r="ANM240" s="146"/>
      <c r="ANN240" s="146"/>
      <c r="ANO240" s="146"/>
      <c r="ANP240" s="146"/>
      <c r="ANQ240" s="146"/>
      <c r="ANR240" s="146"/>
      <c r="ANS240" s="146"/>
      <c r="ANT240" s="146"/>
      <c r="ANU240" s="146"/>
      <c r="ANV240" s="146"/>
      <c r="ANW240" s="146"/>
      <c r="ANX240" s="146"/>
      <c r="ANY240" s="146"/>
      <c r="ANZ240" s="146"/>
      <c r="AOA240" s="146"/>
      <c r="AOB240" s="146"/>
      <c r="AOC240" s="146"/>
      <c r="AOD240" s="146"/>
      <c r="AOE240" s="146"/>
      <c r="AOF240" s="146"/>
      <c r="AOG240" s="146"/>
      <c r="AOH240" s="146"/>
      <c r="AOI240" s="146"/>
      <c r="AOJ240" s="146"/>
      <c r="AOK240" s="146"/>
      <c r="AOL240" s="146"/>
      <c r="AOM240" s="146"/>
      <c r="AON240" s="146"/>
      <c r="AOO240" s="146"/>
      <c r="AOP240" s="146"/>
      <c r="AOQ240" s="146"/>
      <c r="AOR240" s="146"/>
      <c r="AOS240" s="146"/>
      <c r="AOT240" s="146"/>
      <c r="AOU240" s="146"/>
      <c r="AOV240" s="146"/>
      <c r="AOW240" s="146"/>
      <c r="AOX240" s="146"/>
      <c r="AOY240" s="146"/>
      <c r="AOZ240" s="146"/>
      <c r="APA240" s="146"/>
      <c r="APB240" s="146"/>
      <c r="APC240" s="146"/>
      <c r="APD240" s="146"/>
      <c r="APE240" s="146"/>
      <c r="APF240" s="146"/>
      <c r="APG240" s="146"/>
      <c r="APH240" s="146"/>
      <c r="API240" s="146"/>
      <c r="APJ240" s="146"/>
      <c r="APK240" s="146"/>
      <c r="APL240" s="146"/>
      <c r="APM240" s="146"/>
      <c r="APN240" s="146"/>
      <c r="APO240" s="146"/>
      <c r="APP240" s="146"/>
      <c r="APQ240" s="146"/>
      <c r="APR240" s="146"/>
      <c r="APS240" s="146"/>
      <c r="APT240" s="146"/>
      <c r="APU240" s="146"/>
      <c r="APV240" s="146"/>
      <c r="APW240" s="146"/>
      <c r="APX240" s="146"/>
      <c r="APY240" s="146"/>
      <c r="APZ240" s="146"/>
      <c r="AQA240" s="146"/>
      <c r="AQB240" s="146"/>
      <c r="AQC240" s="146"/>
      <c r="AQD240" s="146"/>
      <c r="AQE240" s="146"/>
      <c r="AQF240" s="146"/>
      <c r="AQG240" s="146"/>
      <c r="AQH240" s="146"/>
      <c r="AQI240" s="146"/>
      <c r="AQJ240" s="146"/>
      <c r="AQK240" s="146"/>
      <c r="AQL240" s="146"/>
      <c r="AQM240" s="146"/>
      <c r="AQN240" s="146"/>
      <c r="AQO240" s="146"/>
      <c r="AQP240" s="146"/>
      <c r="AQQ240" s="146"/>
      <c r="AQR240" s="146"/>
      <c r="AQS240" s="146"/>
      <c r="AQT240" s="146"/>
      <c r="AQU240" s="146"/>
      <c r="AQV240" s="146"/>
      <c r="AQW240" s="146"/>
      <c r="AQX240" s="146"/>
      <c r="AQY240" s="146"/>
      <c r="AQZ240" s="146"/>
      <c r="ARA240" s="146"/>
      <c r="ARB240" s="146"/>
      <c r="ARC240" s="146"/>
      <c r="ARD240" s="146"/>
      <c r="ARE240" s="146"/>
      <c r="ARF240" s="146"/>
      <c r="ARG240" s="146"/>
      <c r="ARH240" s="146"/>
      <c r="ARI240" s="146"/>
      <c r="ARJ240" s="146"/>
      <c r="ARK240" s="146"/>
      <c r="ARL240" s="146"/>
      <c r="ARM240" s="146"/>
      <c r="ARN240" s="146"/>
      <c r="ARO240" s="146"/>
      <c r="ARP240" s="146"/>
      <c r="ARQ240" s="146"/>
      <c r="ARR240" s="146"/>
      <c r="ARS240" s="146"/>
      <c r="ART240" s="146"/>
      <c r="ARU240" s="146"/>
      <c r="ARV240" s="146"/>
      <c r="ARW240" s="146"/>
      <c r="ARX240" s="146"/>
      <c r="ARY240" s="146"/>
      <c r="ARZ240" s="146"/>
      <c r="ASA240" s="146"/>
      <c r="ASB240" s="146"/>
      <c r="ASC240" s="146"/>
      <c r="ASD240" s="146"/>
      <c r="ASE240" s="146"/>
      <c r="ASF240" s="146"/>
      <c r="ASG240" s="146"/>
      <c r="ASH240" s="146"/>
      <c r="ASI240" s="146"/>
      <c r="ASJ240" s="146"/>
      <c r="ASK240" s="146"/>
      <c r="ASL240" s="146"/>
      <c r="ASM240" s="146"/>
      <c r="ASN240" s="146"/>
      <c r="ASO240" s="146"/>
      <c r="ASP240" s="146"/>
      <c r="ASQ240" s="146"/>
      <c r="ASR240" s="146"/>
      <c r="ASS240" s="146"/>
      <c r="AST240" s="146"/>
      <c r="ASU240" s="146"/>
      <c r="ASV240" s="146"/>
      <c r="ASW240" s="146"/>
      <c r="ASX240" s="146"/>
      <c r="ASY240" s="146"/>
      <c r="ASZ240" s="146"/>
      <c r="ATA240" s="146"/>
      <c r="ATB240" s="146"/>
      <c r="ATC240" s="146"/>
      <c r="ATD240" s="146"/>
      <c r="ATE240" s="146"/>
      <c r="ATF240" s="146"/>
      <c r="ATG240" s="146"/>
      <c r="ATH240" s="146"/>
      <c r="ATI240" s="146"/>
      <c r="ATJ240" s="146"/>
      <c r="ATK240" s="146"/>
      <c r="ATL240" s="146"/>
      <c r="ATM240" s="146"/>
      <c r="ATN240" s="146"/>
      <c r="ATO240" s="146"/>
      <c r="ATP240" s="146"/>
      <c r="ATQ240" s="146"/>
      <c r="ATR240" s="146"/>
      <c r="ATS240" s="146"/>
      <c r="ATT240" s="146"/>
      <c r="ATU240" s="146"/>
      <c r="ATV240" s="146"/>
      <c r="ATW240" s="146"/>
      <c r="ATX240" s="146"/>
      <c r="ATY240" s="146"/>
      <c r="ATZ240" s="146"/>
      <c r="AUA240" s="146"/>
      <c r="AUB240" s="146"/>
      <c r="AUC240" s="146"/>
      <c r="AUD240" s="146"/>
      <c r="AUE240" s="146"/>
      <c r="AUF240" s="146"/>
      <c r="AUG240" s="146"/>
      <c r="AUH240" s="146"/>
      <c r="AUI240" s="146"/>
      <c r="AUJ240" s="146"/>
      <c r="AUK240" s="146"/>
      <c r="AUL240" s="146"/>
      <c r="AUM240" s="146"/>
      <c r="AUN240" s="146"/>
      <c r="AUO240" s="146"/>
      <c r="AUP240" s="146"/>
      <c r="AUQ240" s="146"/>
      <c r="AUR240" s="146"/>
      <c r="AUS240" s="146"/>
      <c r="AUT240" s="146"/>
      <c r="AUU240" s="146"/>
      <c r="AUV240" s="146"/>
      <c r="AUW240" s="146"/>
      <c r="AUX240" s="146"/>
      <c r="AUY240" s="146"/>
      <c r="AUZ240" s="146"/>
      <c r="AVA240" s="146"/>
      <c r="AVB240" s="146"/>
      <c r="AVC240" s="146"/>
      <c r="AVD240" s="146"/>
      <c r="AVE240" s="146"/>
      <c r="AVF240" s="146"/>
      <c r="AVG240" s="146"/>
      <c r="AVH240" s="146"/>
      <c r="AVI240" s="146"/>
      <c r="AVJ240" s="146"/>
      <c r="AVK240" s="146"/>
      <c r="AVL240" s="146"/>
      <c r="AVM240" s="146"/>
      <c r="AVN240" s="146"/>
      <c r="AVO240" s="146"/>
      <c r="AVP240" s="146"/>
      <c r="AVQ240" s="146"/>
      <c r="AVR240" s="146"/>
      <c r="AVS240" s="146"/>
      <c r="AVT240" s="146"/>
      <c r="AVU240" s="146"/>
      <c r="AVV240" s="146"/>
      <c r="AVW240" s="146"/>
      <c r="AVX240" s="146"/>
      <c r="AVY240" s="146"/>
      <c r="AVZ240" s="146"/>
      <c r="AWA240" s="146"/>
      <c r="AWB240" s="146"/>
      <c r="AWC240" s="146"/>
      <c r="AWD240" s="146"/>
      <c r="AWE240" s="146"/>
      <c r="AWF240" s="146"/>
      <c r="AWG240" s="146"/>
      <c r="AWH240" s="146"/>
      <c r="AWI240" s="146"/>
      <c r="AWJ240" s="146"/>
      <c r="AWK240" s="146"/>
      <c r="AWL240" s="146"/>
      <c r="AWM240" s="146"/>
      <c r="AWN240" s="146"/>
      <c r="AWO240" s="146"/>
      <c r="AWP240" s="146"/>
      <c r="AWQ240" s="146"/>
      <c r="AWR240" s="146"/>
      <c r="AWS240" s="146"/>
      <c r="AWT240" s="146"/>
      <c r="AWU240" s="146"/>
      <c r="AWV240" s="146"/>
      <c r="AWW240" s="146"/>
      <c r="AWX240" s="146"/>
      <c r="AWY240" s="146"/>
      <c r="AWZ240" s="146"/>
      <c r="AXA240" s="146"/>
      <c r="AXB240" s="146"/>
      <c r="AXC240" s="146"/>
      <c r="AXD240" s="146"/>
      <c r="AXE240" s="146"/>
      <c r="AXF240" s="146"/>
      <c r="AXG240" s="146"/>
      <c r="AXH240" s="146"/>
      <c r="AXI240" s="146"/>
      <c r="AXJ240" s="146"/>
      <c r="AXK240" s="146"/>
      <c r="AXL240" s="146"/>
      <c r="AXM240" s="146"/>
      <c r="AXN240" s="146"/>
      <c r="AXO240" s="146"/>
      <c r="AXP240" s="146"/>
      <c r="AXQ240" s="146"/>
      <c r="AXR240" s="146"/>
      <c r="AXS240" s="146"/>
      <c r="AXT240" s="146"/>
      <c r="AXU240" s="146"/>
      <c r="AXV240" s="146"/>
      <c r="AXW240" s="146"/>
      <c r="AXX240" s="146"/>
      <c r="AXY240" s="146"/>
      <c r="AXZ240" s="146"/>
      <c r="AYA240" s="146"/>
      <c r="AYB240" s="146"/>
      <c r="AYC240" s="146"/>
      <c r="AYD240" s="146"/>
      <c r="AYE240" s="146"/>
      <c r="AYF240" s="146"/>
      <c r="AYG240" s="146"/>
      <c r="AYH240" s="146"/>
      <c r="AYI240" s="146"/>
      <c r="AYJ240" s="146"/>
      <c r="AYK240" s="146"/>
      <c r="AYL240" s="146"/>
      <c r="AYM240" s="146"/>
      <c r="AYN240" s="146"/>
      <c r="AYO240" s="146"/>
      <c r="AYP240" s="146"/>
      <c r="AYQ240" s="146"/>
      <c r="AYR240" s="146"/>
      <c r="AYS240" s="146"/>
      <c r="AYT240" s="146"/>
      <c r="AYU240" s="146"/>
      <c r="AYV240" s="146"/>
      <c r="AYW240" s="146"/>
      <c r="AYX240" s="146"/>
      <c r="AYY240" s="146"/>
      <c r="AYZ240" s="146"/>
      <c r="AZA240" s="146"/>
      <c r="AZB240" s="146"/>
      <c r="AZC240" s="146"/>
      <c r="AZD240" s="146"/>
      <c r="AZE240" s="146"/>
      <c r="AZF240" s="146"/>
      <c r="AZG240" s="146"/>
      <c r="AZH240" s="146"/>
      <c r="AZI240" s="146"/>
      <c r="AZJ240" s="146"/>
      <c r="AZK240" s="146"/>
      <c r="AZL240" s="146"/>
      <c r="AZM240" s="146"/>
      <c r="AZN240" s="146"/>
      <c r="AZO240" s="146"/>
      <c r="AZP240" s="146"/>
      <c r="AZQ240" s="146"/>
      <c r="AZR240" s="146"/>
      <c r="AZS240" s="146"/>
      <c r="AZT240" s="146"/>
      <c r="AZU240" s="146"/>
      <c r="AZV240" s="146"/>
      <c r="AZW240" s="146"/>
      <c r="AZX240" s="146"/>
      <c r="AZY240" s="146"/>
      <c r="AZZ240" s="146"/>
      <c r="BAA240" s="146"/>
      <c r="BAB240" s="146"/>
      <c r="BAC240" s="146"/>
      <c r="BAD240" s="146"/>
      <c r="BAE240" s="146"/>
      <c r="BAF240" s="146"/>
      <c r="BAG240" s="146"/>
      <c r="BAH240" s="146"/>
      <c r="BAI240" s="146"/>
      <c r="BAJ240" s="146"/>
      <c r="BAK240" s="146"/>
      <c r="BAL240" s="146"/>
      <c r="BAM240" s="146"/>
      <c r="BAN240" s="146"/>
      <c r="BAO240" s="146"/>
      <c r="BAP240" s="146"/>
      <c r="BAQ240" s="146"/>
      <c r="BAR240" s="146"/>
      <c r="BAS240" s="146"/>
      <c r="BAT240" s="146"/>
      <c r="BAU240" s="146"/>
      <c r="BAV240" s="146"/>
      <c r="BAW240" s="146"/>
      <c r="BAX240" s="146"/>
      <c r="BAY240" s="146"/>
      <c r="BAZ240" s="146"/>
      <c r="BBA240" s="146"/>
      <c r="BBB240" s="146"/>
      <c r="BBC240" s="146"/>
      <c r="BBD240" s="146"/>
      <c r="BBE240" s="146"/>
      <c r="BBF240" s="146"/>
      <c r="BBG240" s="146"/>
      <c r="BBH240" s="146"/>
      <c r="BBI240" s="146"/>
      <c r="BBJ240" s="146"/>
      <c r="BBK240" s="146"/>
      <c r="BBL240" s="146"/>
      <c r="BBM240" s="146"/>
      <c r="BBN240" s="146"/>
      <c r="BBO240" s="146"/>
      <c r="BBP240" s="146"/>
      <c r="BBQ240" s="146"/>
      <c r="BBR240" s="146"/>
      <c r="BBS240" s="146"/>
      <c r="BBT240" s="146"/>
      <c r="BBU240" s="146"/>
      <c r="BBV240" s="146"/>
      <c r="BBW240" s="146"/>
      <c r="BBX240" s="146"/>
      <c r="BBY240" s="146"/>
      <c r="BBZ240" s="146"/>
      <c r="BCA240" s="146"/>
      <c r="BCB240" s="146"/>
      <c r="BCC240" s="146"/>
      <c r="BCD240" s="146"/>
      <c r="BCE240" s="146"/>
      <c r="BCF240" s="146"/>
      <c r="BCG240" s="146"/>
      <c r="BCH240" s="146"/>
      <c r="BCI240" s="146"/>
      <c r="BCJ240" s="146"/>
      <c r="BCK240" s="146"/>
      <c r="BCL240" s="146"/>
      <c r="BCM240" s="146"/>
      <c r="BCN240" s="146"/>
      <c r="BCO240" s="146"/>
      <c r="BCP240" s="146"/>
      <c r="BCQ240" s="146"/>
      <c r="BCR240" s="146"/>
      <c r="BCS240" s="146"/>
      <c r="BCT240" s="146"/>
      <c r="BCU240" s="146"/>
      <c r="BCV240" s="146"/>
      <c r="BCW240" s="146"/>
      <c r="BCX240" s="146"/>
      <c r="BCY240" s="146"/>
      <c r="BCZ240" s="146"/>
      <c r="BDA240" s="146"/>
      <c r="BDB240" s="146"/>
      <c r="BDC240" s="146"/>
      <c r="BDD240" s="146"/>
      <c r="BDE240" s="146"/>
      <c r="BDF240" s="146"/>
      <c r="BDG240" s="146"/>
      <c r="BDH240" s="146"/>
      <c r="BDI240" s="146"/>
      <c r="BDJ240" s="146"/>
      <c r="BDK240" s="146"/>
      <c r="BDL240" s="146"/>
      <c r="BDM240" s="146"/>
      <c r="BDN240" s="146"/>
      <c r="BDO240" s="146"/>
      <c r="BDP240" s="146"/>
      <c r="BDQ240" s="146"/>
      <c r="BDR240" s="146"/>
      <c r="BDS240" s="146"/>
      <c r="BDT240" s="146"/>
      <c r="BDU240" s="146"/>
      <c r="BDV240" s="146"/>
      <c r="BDW240" s="146"/>
      <c r="BDX240" s="146"/>
      <c r="BDY240" s="146"/>
      <c r="BDZ240" s="146"/>
      <c r="BEA240" s="146"/>
      <c r="BEB240" s="146"/>
      <c r="BEC240" s="146"/>
      <c r="BED240" s="146"/>
      <c r="BEE240" s="146"/>
      <c r="BEF240" s="146"/>
      <c r="BEG240" s="146"/>
      <c r="BEH240" s="146"/>
      <c r="BEI240" s="146"/>
      <c r="BEJ240" s="146"/>
      <c r="BEK240" s="146"/>
      <c r="BEL240" s="146"/>
      <c r="BEM240" s="146"/>
      <c r="BEN240" s="146"/>
      <c r="BEO240" s="146"/>
      <c r="BEP240" s="146"/>
      <c r="BEQ240" s="146"/>
      <c r="BER240" s="146"/>
      <c r="BES240" s="146"/>
      <c r="BET240" s="146"/>
      <c r="BEU240" s="146"/>
      <c r="BEV240" s="146"/>
      <c r="BEW240" s="146"/>
      <c r="BEX240" s="146"/>
      <c r="BEY240" s="146"/>
      <c r="BEZ240" s="146"/>
      <c r="BFA240" s="146"/>
      <c r="BFB240" s="146"/>
      <c r="BFC240" s="146"/>
      <c r="BFD240" s="146"/>
      <c r="BFE240" s="146"/>
      <c r="BFF240" s="146"/>
      <c r="BFG240" s="146"/>
      <c r="BFH240" s="146"/>
      <c r="BFI240" s="146"/>
      <c r="BFJ240" s="146"/>
      <c r="BFK240" s="146"/>
      <c r="BFL240" s="146"/>
      <c r="BFM240" s="146"/>
      <c r="BFN240" s="146"/>
      <c r="BFO240" s="146"/>
      <c r="BFP240" s="146"/>
      <c r="BFQ240" s="146"/>
      <c r="BFR240" s="146"/>
      <c r="BFS240" s="146"/>
      <c r="BFT240" s="146"/>
      <c r="BFU240" s="146"/>
      <c r="BFV240" s="146"/>
      <c r="BFW240" s="146"/>
      <c r="BFX240" s="146"/>
      <c r="BFY240" s="146"/>
      <c r="BFZ240" s="146"/>
      <c r="BGA240" s="146"/>
      <c r="BGB240" s="146"/>
      <c r="BGC240" s="146"/>
      <c r="BGD240" s="146"/>
      <c r="BGE240" s="146"/>
      <c r="BGF240" s="146"/>
      <c r="BGG240" s="146"/>
      <c r="BGH240" s="146"/>
      <c r="BGI240" s="146"/>
      <c r="BGJ240" s="146"/>
      <c r="BGK240" s="146"/>
      <c r="BGL240" s="146"/>
      <c r="BGM240" s="146"/>
      <c r="BGN240" s="146"/>
      <c r="BGO240" s="146"/>
      <c r="BGP240" s="146"/>
      <c r="BGQ240" s="146"/>
      <c r="BGR240" s="146"/>
      <c r="BGS240" s="146"/>
      <c r="BGT240" s="146"/>
      <c r="BGU240" s="146"/>
      <c r="BGV240" s="146"/>
      <c r="BGW240" s="146"/>
      <c r="BGX240" s="146"/>
      <c r="BGY240" s="146"/>
      <c r="BGZ240" s="146"/>
      <c r="BHA240" s="146"/>
      <c r="BHB240" s="146"/>
      <c r="BHC240" s="146"/>
      <c r="BHD240" s="146"/>
      <c r="BHE240" s="146"/>
      <c r="BHF240" s="146"/>
      <c r="BHG240" s="146"/>
      <c r="BHH240" s="146"/>
      <c r="BHI240" s="146"/>
      <c r="BHJ240" s="146"/>
      <c r="BHK240" s="146"/>
      <c r="BHL240" s="146"/>
      <c r="BHM240" s="146"/>
      <c r="BHN240" s="146"/>
      <c r="BHO240" s="146"/>
      <c r="BHP240" s="146"/>
      <c r="BHQ240" s="146"/>
      <c r="BHR240" s="146"/>
      <c r="BHS240" s="146"/>
      <c r="BHT240" s="146"/>
      <c r="BHU240" s="146"/>
      <c r="BHV240" s="146"/>
      <c r="BHW240" s="146"/>
      <c r="BHX240" s="146"/>
      <c r="BHY240" s="146"/>
      <c r="BHZ240" s="146"/>
      <c r="BIA240" s="146"/>
      <c r="BIB240" s="146"/>
      <c r="BIC240" s="146"/>
      <c r="BID240" s="146"/>
      <c r="BIE240" s="146"/>
      <c r="BIF240" s="146"/>
      <c r="BIG240" s="146"/>
      <c r="BIH240" s="146"/>
      <c r="BII240" s="146"/>
      <c r="BIJ240" s="146"/>
      <c r="BIK240" s="146"/>
      <c r="BIL240" s="146"/>
      <c r="BIM240" s="146"/>
      <c r="BIN240" s="146"/>
      <c r="BIO240" s="146"/>
      <c r="BIP240" s="146"/>
      <c r="BIQ240" s="146"/>
      <c r="BIR240" s="146"/>
      <c r="BIS240" s="146"/>
      <c r="BIT240" s="146"/>
      <c r="BIU240" s="146"/>
      <c r="BIV240" s="146"/>
      <c r="BIW240" s="146"/>
      <c r="BIX240" s="146"/>
      <c r="BIY240" s="146"/>
      <c r="BIZ240" s="146"/>
      <c r="BJA240" s="146"/>
      <c r="BJB240" s="146"/>
      <c r="BJC240" s="146"/>
      <c r="BJD240" s="146"/>
      <c r="BJE240" s="146"/>
      <c r="BJF240" s="146"/>
      <c r="BJG240" s="146"/>
      <c r="BJH240" s="146"/>
      <c r="BJI240" s="146"/>
      <c r="BJJ240" s="146"/>
      <c r="BJK240" s="146"/>
      <c r="BJL240" s="146"/>
      <c r="BJM240" s="146"/>
      <c r="BJN240" s="146"/>
      <c r="BJO240" s="146"/>
      <c r="BJP240" s="146"/>
      <c r="BJQ240" s="146"/>
      <c r="BJR240" s="146"/>
      <c r="BJS240" s="146"/>
      <c r="BJT240" s="146"/>
      <c r="BJU240" s="146"/>
      <c r="BJV240" s="146"/>
      <c r="BJW240" s="146"/>
      <c r="BJX240" s="146"/>
      <c r="BJY240" s="146"/>
      <c r="BJZ240" s="146"/>
      <c r="BKA240" s="146"/>
      <c r="BKB240" s="146"/>
      <c r="BKC240" s="146"/>
      <c r="BKD240" s="146"/>
      <c r="BKE240" s="146"/>
      <c r="BKF240" s="146"/>
      <c r="BKG240" s="146"/>
      <c r="BKH240" s="146"/>
      <c r="BKI240" s="146"/>
      <c r="BKJ240" s="146"/>
      <c r="BKK240" s="146"/>
      <c r="BKL240" s="146"/>
      <c r="BKM240" s="146"/>
      <c r="BKN240" s="146"/>
      <c r="BKO240" s="146"/>
      <c r="BKP240" s="146"/>
      <c r="BKQ240" s="146"/>
      <c r="BKR240" s="146"/>
      <c r="BKS240" s="146"/>
      <c r="BKT240" s="146"/>
      <c r="BKU240" s="146"/>
      <c r="BKV240" s="146"/>
      <c r="BKW240" s="146"/>
      <c r="BKX240" s="146"/>
      <c r="BKY240" s="146"/>
      <c r="BKZ240" s="146"/>
      <c r="BLA240" s="146"/>
      <c r="BLB240" s="146"/>
      <c r="BLC240" s="146"/>
      <c r="BLD240" s="146"/>
      <c r="BLE240" s="146"/>
      <c r="BLF240" s="146"/>
      <c r="BLG240" s="146"/>
      <c r="BLH240" s="146"/>
      <c r="BLI240" s="146"/>
      <c r="BLJ240" s="146"/>
      <c r="BLK240" s="146"/>
      <c r="BLL240" s="146"/>
      <c r="BLM240" s="146"/>
      <c r="BLN240" s="146"/>
      <c r="BLO240" s="146"/>
      <c r="BLP240" s="146"/>
      <c r="BLQ240" s="146"/>
      <c r="BLR240" s="146"/>
      <c r="BLS240" s="146"/>
      <c r="BLT240" s="146"/>
      <c r="BLU240" s="146"/>
      <c r="BLV240" s="146"/>
      <c r="BLW240" s="146"/>
      <c r="BLX240" s="146"/>
      <c r="BLY240" s="146"/>
      <c r="BLZ240" s="146"/>
      <c r="BMA240" s="146"/>
      <c r="BMB240" s="146"/>
      <c r="BMC240" s="146"/>
      <c r="BMD240" s="146"/>
      <c r="BME240" s="146"/>
      <c r="BMF240" s="146"/>
      <c r="BMG240" s="146"/>
      <c r="BMH240" s="146"/>
      <c r="BMI240" s="146"/>
      <c r="BMJ240" s="146"/>
      <c r="BMK240" s="146"/>
      <c r="BML240" s="146"/>
      <c r="BMM240" s="146"/>
      <c r="BMN240" s="146"/>
      <c r="BMO240" s="146"/>
      <c r="BMP240" s="146"/>
      <c r="BMQ240" s="146"/>
      <c r="BMR240" s="146"/>
      <c r="BMS240" s="146"/>
      <c r="BMT240" s="146"/>
      <c r="BMU240" s="146"/>
      <c r="BMV240" s="146"/>
      <c r="BMW240" s="146"/>
      <c r="BMX240" s="146"/>
      <c r="BMY240" s="146"/>
      <c r="BMZ240" s="146"/>
      <c r="BNA240" s="146"/>
      <c r="BNB240" s="146"/>
      <c r="BNC240" s="146"/>
      <c r="BND240" s="146"/>
      <c r="BNE240" s="146"/>
      <c r="BNF240" s="146"/>
      <c r="BNG240" s="146"/>
      <c r="BNH240" s="146"/>
      <c r="BNI240" s="146"/>
      <c r="BNJ240" s="146"/>
      <c r="BNK240" s="146"/>
      <c r="BNL240" s="146"/>
      <c r="BNM240" s="146"/>
      <c r="BNN240" s="146"/>
      <c r="BNO240" s="146"/>
      <c r="BNP240" s="146"/>
      <c r="BNQ240" s="146"/>
      <c r="BNR240" s="146"/>
      <c r="BNS240" s="146"/>
      <c r="BNT240" s="146"/>
      <c r="BNU240" s="146"/>
      <c r="BNV240" s="146"/>
      <c r="BNW240" s="146"/>
      <c r="BNX240" s="146"/>
      <c r="BNY240" s="146"/>
      <c r="BNZ240" s="146"/>
      <c r="BOA240" s="146"/>
      <c r="BOB240" s="146"/>
      <c r="BOC240" s="146"/>
      <c r="BOD240" s="146"/>
      <c r="BOE240" s="146"/>
      <c r="BOF240" s="146"/>
      <c r="BOG240" s="146"/>
      <c r="BOH240" s="146"/>
      <c r="BOI240" s="146"/>
      <c r="BOJ240" s="146"/>
      <c r="BOK240" s="146"/>
      <c r="BOL240" s="146"/>
      <c r="BOM240" s="146"/>
      <c r="BON240" s="146"/>
      <c r="BOO240" s="146"/>
      <c r="BOP240" s="146"/>
      <c r="BOQ240" s="146"/>
      <c r="BOR240" s="146"/>
      <c r="BOS240" s="146"/>
      <c r="BOT240" s="146"/>
      <c r="BOU240" s="146"/>
      <c r="BOV240" s="146"/>
      <c r="BOW240" s="146"/>
      <c r="BOX240" s="146"/>
      <c r="BOY240" s="146"/>
      <c r="BOZ240" s="146"/>
      <c r="BPA240" s="146"/>
      <c r="BPB240" s="146"/>
      <c r="BPC240" s="146"/>
      <c r="BPD240" s="146"/>
      <c r="BPE240" s="146"/>
      <c r="BPF240" s="146"/>
      <c r="BPG240" s="146"/>
      <c r="BPH240" s="146"/>
      <c r="BPI240" s="146"/>
      <c r="BPJ240" s="146"/>
      <c r="BPK240" s="146"/>
      <c r="BPL240" s="146"/>
      <c r="BPM240" s="146"/>
      <c r="BPN240" s="146"/>
      <c r="BPO240" s="146"/>
      <c r="BPP240" s="146"/>
      <c r="BPQ240" s="146"/>
      <c r="BPR240" s="146"/>
      <c r="BPS240" s="146"/>
      <c r="BPT240" s="146"/>
      <c r="BPU240" s="146"/>
      <c r="BPV240" s="146"/>
      <c r="BPW240" s="146"/>
      <c r="BPX240" s="146"/>
      <c r="BPY240" s="146"/>
      <c r="BPZ240" s="146"/>
      <c r="BQA240" s="146"/>
      <c r="BQB240" s="146"/>
      <c r="BQC240" s="146"/>
      <c r="BQD240" s="146"/>
      <c r="BQE240" s="146"/>
      <c r="BQF240" s="146"/>
      <c r="BQG240" s="146"/>
      <c r="BQH240" s="146"/>
      <c r="BQI240" s="146"/>
      <c r="BQJ240" s="146"/>
      <c r="BQK240" s="146"/>
      <c r="BQL240" s="146"/>
      <c r="BQM240" s="146"/>
      <c r="BQN240" s="146"/>
      <c r="BQO240" s="146"/>
      <c r="BQP240" s="146"/>
      <c r="BQQ240" s="146"/>
      <c r="BQR240" s="146"/>
      <c r="BQS240" s="146"/>
      <c r="BQT240" s="146"/>
      <c r="BQU240" s="146"/>
      <c r="BQV240" s="146"/>
      <c r="BQW240" s="146"/>
      <c r="BQX240" s="146"/>
      <c r="BQY240" s="146"/>
      <c r="BQZ240" s="146"/>
      <c r="BRA240" s="146"/>
      <c r="BRB240" s="146"/>
      <c r="BRC240" s="146"/>
      <c r="BRD240" s="146"/>
      <c r="BRE240" s="146"/>
      <c r="BRF240" s="146"/>
      <c r="BRG240" s="146"/>
      <c r="BRH240" s="146"/>
      <c r="BRI240" s="146"/>
      <c r="BRJ240" s="146"/>
      <c r="BRK240" s="146"/>
      <c r="BRL240" s="146"/>
      <c r="BRM240" s="146"/>
      <c r="BRN240" s="146"/>
      <c r="BRO240" s="146"/>
      <c r="BRP240" s="146"/>
      <c r="BRQ240" s="146"/>
      <c r="BRR240" s="146"/>
      <c r="BRS240" s="146"/>
      <c r="BRT240" s="146"/>
      <c r="BRU240" s="146"/>
      <c r="BRV240" s="146"/>
      <c r="BRW240" s="146"/>
      <c r="BRX240" s="146"/>
      <c r="BRY240" s="146"/>
      <c r="BRZ240" s="146"/>
      <c r="BSA240" s="146"/>
      <c r="BSB240" s="146"/>
      <c r="BSC240" s="146"/>
      <c r="BSD240" s="146"/>
      <c r="BSE240" s="146"/>
      <c r="BSF240" s="146"/>
      <c r="BSG240" s="146"/>
      <c r="BSH240" s="146"/>
      <c r="BSI240" s="146"/>
      <c r="BSJ240" s="146"/>
      <c r="BSK240" s="146"/>
      <c r="BSL240" s="146"/>
      <c r="BSM240" s="146"/>
      <c r="BSN240" s="146"/>
      <c r="BSO240" s="146"/>
      <c r="BSP240" s="146"/>
      <c r="BSQ240" s="146"/>
      <c r="BSR240" s="146"/>
      <c r="BSS240" s="146"/>
      <c r="BST240" s="146"/>
      <c r="BSU240" s="146"/>
      <c r="BSV240" s="146"/>
      <c r="BSW240" s="146"/>
      <c r="BSX240" s="146"/>
      <c r="BSY240" s="146"/>
      <c r="BSZ240" s="146"/>
      <c r="BTA240" s="146"/>
      <c r="BTB240" s="146"/>
      <c r="BTC240" s="146"/>
      <c r="BTD240" s="146"/>
      <c r="BTE240" s="146"/>
      <c r="BTF240" s="146"/>
      <c r="BTG240" s="146"/>
      <c r="BTH240" s="146"/>
      <c r="BTI240" s="146"/>
      <c r="BTJ240" s="146"/>
      <c r="BTK240" s="146"/>
      <c r="BTL240" s="146"/>
      <c r="BTM240" s="146"/>
      <c r="BTN240" s="146"/>
      <c r="BTO240" s="146"/>
      <c r="BTP240" s="146"/>
      <c r="BTQ240" s="146"/>
      <c r="BTR240" s="146"/>
      <c r="BTS240" s="146"/>
      <c r="BTT240" s="146"/>
      <c r="BTU240" s="146"/>
      <c r="BTV240" s="146"/>
      <c r="BTW240" s="146"/>
      <c r="BTX240" s="146"/>
      <c r="BTY240" s="146"/>
      <c r="BTZ240" s="146"/>
      <c r="BUA240" s="146"/>
      <c r="BUB240" s="146"/>
      <c r="BUC240" s="146"/>
      <c r="BUD240" s="146"/>
      <c r="BUE240" s="146"/>
      <c r="BUF240" s="146"/>
      <c r="BUG240" s="146"/>
      <c r="BUH240" s="146"/>
      <c r="BUI240" s="146"/>
      <c r="BUJ240" s="146"/>
      <c r="BUK240" s="146"/>
      <c r="BUL240" s="146"/>
      <c r="BUM240" s="146"/>
      <c r="BUN240" s="146"/>
      <c r="BUO240" s="146"/>
      <c r="BUP240" s="146"/>
      <c r="BUQ240" s="146"/>
      <c r="BUR240" s="146"/>
      <c r="BUS240" s="146"/>
      <c r="BUT240" s="146"/>
      <c r="BUU240" s="146"/>
      <c r="BUV240" s="146"/>
      <c r="BUW240" s="146"/>
      <c r="BUX240" s="146"/>
      <c r="BUY240" s="146"/>
      <c r="BUZ240" s="146"/>
      <c r="BVA240" s="146"/>
      <c r="BVB240" s="146"/>
      <c r="BVC240" s="146"/>
      <c r="BVD240" s="146"/>
      <c r="BVE240" s="146"/>
      <c r="BVF240" s="146"/>
      <c r="BVG240" s="146"/>
      <c r="BVH240" s="146"/>
      <c r="BVI240" s="146"/>
      <c r="BVJ240" s="146"/>
      <c r="BVK240" s="146"/>
      <c r="BVL240" s="146"/>
      <c r="BVM240" s="146"/>
      <c r="BVN240" s="146"/>
      <c r="BVO240" s="146"/>
      <c r="BVP240" s="146"/>
      <c r="BVQ240" s="146"/>
      <c r="BVR240" s="146"/>
      <c r="BVS240" s="146"/>
      <c r="BVT240" s="146"/>
      <c r="BVU240" s="146"/>
      <c r="BVV240" s="146"/>
      <c r="BVW240" s="146"/>
      <c r="BVX240" s="146"/>
      <c r="BVY240" s="146"/>
      <c r="BVZ240" s="146"/>
      <c r="BWA240" s="146"/>
      <c r="BWB240" s="146"/>
      <c r="BWC240" s="146"/>
      <c r="BWD240" s="146"/>
      <c r="BWE240" s="146"/>
      <c r="BWF240" s="146"/>
      <c r="BWG240" s="146"/>
      <c r="BWH240" s="146"/>
      <c r="BWI240" s="146"/>
      <c r="BWJ240" s="146"/>
      <c r="BWK240" s="146"/>
      <c r="BWL240" s="146"/>
      <c r="BWM240" s="146"/>
      <c r="BWN240" s="146"/>
      <c r="BWO240" s="146"/>
      <c r="BWP240" s="146"/>
      <c r="BWQ240" s="146"/>
      <c r="BWR240" s="146"/>
      <c r="BWS240" s="146"/>
      <c r="BWT240" s="146"/>
      <c r="BWU240" s="146"/>
      <c r="BWV240" s="146"/>
      <c r="BWW240" s="146"/>
      <c r="BWX240" s="146"/>
      <c r="BWY240" s="146"/>
      <c r="BWZ240" s="146"/>
      <c r="BXA240" s="146"/>
      <c r="BXB240" s="146"/>
      <c r="BXC240" s="146"/>
      <c r="BXD240" s="146"/>
      <c r="BXE240" s="146"/>
      <c r="BXF240" s="146"/>
      <c r="BXG240" s="146"/>
      <c r="BXH240" s="146"/>
      <c r="BXI240" s="146"/>
      <c r="BXJ240" s="146"/>
      <c r="BXK240" s="146"/>
      <c r="BXL240" s="146"/>
      <c r="BXM240" s="146"/>
      <c r="BXN240" s="146"/>
      <c r="BXO240" s="146"/>
      <c r="BXP240" s="146"/>
      <c r="BXQ240" s="146"/>
      <c r="BXR240" s="146"/>
      <c r="BXS240" s="146"/>
      <c r="BXT240" s="146"/>
      <c r="BXU240" s="146"/>
      <c r="BXV240" s="146"/>
      <c r="BXW240" s="146"/>
      <c r="BXX240" s="146"/>
      <c r="BXY240" s="146"/>
      <c r="BXZ240" s="146"/>
      <c r="BYA240" s="146"/>
      <c r="BYB240" s="146"/>
      <c r="BYC240" s="146"/>
      <c r="BYD240" s="146"/>
      <c r="BYE240" s="146"/>
      <c r="BYF240" s="146"/>
      <c r="BYG240" s="146"/>
      <c r="BYH240" s="146"/>
      <c r="BYI240" s="146"/>
      <c r="BYJ240" s="146"/>
      <c r="BYK240" s="146"/>
      <c r="BYL240" s="146"/>
      <c r="BYM240" s="146"/>
      <c r="BYN240" s="146"/>
      <c r="BYO240" s="146"/>
      <c r="BYP240" s="146"/>
      <c r="BYQ240" s="146"/>
      <c r="BYR240" s="146"/>
      <c r="BYS240" s="146"/>
      <c r="BYT240" s="146"/>
      <c r="BYU240" s="146"/>
      <c r="BYV240" s="146"/>
      <c r="BYW240" s="146"/>
      <c r="BYX240" s="146"/>
      <c r="BYY240" s="146"/>
      <c r="BYZ240" s="146"/>
      <c r="BZA240" s="146"/>
      <c r="BZB240" s="146"/>
      <c r="BZC240" s="146"/>
      <c r="BZD240" s="146"/>
      <c r="BZE240" s="146"/>
      <c r="BZF240" s="146"/>
      <c r="BZG240" s="146"/>
      <c r="BZH240" s="146"/>
      <c r="BZI240" s="146"/>
      <c r="BZJ240" s="146"/>
      <c r="BZK240" s="146"/>
      <c r="BZL240" s="146"/>
      <c r="BZM240" s="146"/>
      <c r="BZN240" s="146"/>
      <c r="BZO240" s="146"/>
      <c r="BZP240" s="146"/>
      <c r="BZQ240" s="146"/>
      <c r="BZR240" s="146"/>
      <c r="BZS240" s="146"/>
      <c r="BZT240" s="146"/>
      <c r="BZU240" s="146"/>
      <c r="BZV240" s="146"/>
      <c r="BZW240" s="146"/>
      <c r="BZX240" s="146"/>
      <c r="BZY240" s="146"/>
      <c r="BZZ240" s="146"/>
      <c r="CAA240" s="146"/>
      <c r="CAB240" s="146"/>
      <c r="CAC240" s="146"/>
      <c r="CAD240" s="146"/>
      <c r="CAE240" s="146"/>
      <c r="CAF240" s="146"/>
      <c r="CAG240" s="146"/>
      <c r="CAH240" s="146"/>
      <c r="CAI240" s="146"/>
      <c r="CAJ240" s="146"/>
      <c r="CAK240" s="146"/>
      <c r="CAL240" s="146"/>
      <c r="CAM240" s="146"/>
      <c r="CAN240" s="146"/>
      <c r="CAO240" s="146"/>
      <c r="CAP240" s="146"/>
      <c r="CAQ240" s="146"/>
      <c r="CAR240" s="146"/>
      <c r="CAS240" s="146"/>
      <c r="CAT240" s="146"/>
      <c r="CAU240" s="146"/>
      <c r="CAV240" s="146"/>
      <c r="CAW240" s="146"/>
      <c r="CAX240" s="146"/>
      <c r="CAY240" s="146"/>
      <c r="CAZ240" s="146"/>
      <c r="CBA240" s="146"/>
      <c r="CBB240" s="146"/>
      <c r="CBC240" s="146"/>
      <c r="CBD240" s="146"/>
      <c r="CBE240" s="146"/>
      <c r="CBF240" s="146"/>
      <c r="CBG240" s="146"/>
      <c r="CBH240" s="146"/>
      <c r="CBI240" s="146"/>
      <c r="CBJ240" s="146"/>
      <c r="CBK240" s="146"/>
      <c r="CBL240" s="146"/>
      <c r="CBM240" s="146"/>
      <c r="CBN240" s="146"/>
      <c r="CBO240" s="146"/>
      <c r="CBP240" s="146"/>
      <c r="CBQ240" s="146"/>
      <c r="CBR240" s="146"/>
      <c r="CBS240" s="146"/>
      <c r="CBT240" s="146"/>
      <c r="CBU240" s="146"/>
      <c r="CBV240" s="146"/>
      <c r="CBW240" s="146"/>
      <c r="CBX240" s="146"/>
      <c r="CBY240" s="146"/>
      <c r="CBZ240" s="146"/>
      <c r="CCA240" s="146"/>
      <c r="CCB240" s="146"/>
      <c r="CCC240" s="146"/>
      <c r="CCD240" s="146"/>
      <c r="CCE240" s="146"/>
      <c r="CCF240" s="146"/>
      <c r="CCG240" s="146"/>
      <c r="CCH240" s="146"/>
      <c r="CCI240" s="146"/>
      <c r="CCJ240" s="146"/>
      <c r="CCK240" s="146"/>
      <c r="CCL240" s="146"/>
      <c r="CCM240" s="146"/>
      <c r="CCN240" s="146"/>
      <c r="CCO240" s="146"/>
      <c r="CCP240" s="146"/>
      <c r="CCQ240" s="146"/>
      <c r="CCR240" s="146"/>
      <c r="CCS240" s="146"/>
      <c r="CCT240" s="146"/>
      <c r="CCU240" s="146"/>
      <c r="CCV240" s="146"/>
      <c r="CCW240" s="146"/>
      <c r="CCX240" s="146"/>
      <c r="CCY240" s="146"/>
      <c r="CCZ240" s="146"/>
      <c r="CDA240" s="146"/>
      <c r="CDB240" s="146"/>
      <c r="CDC240" s="146"/>
      <c r="CDD240" s="146"/>
      <c r="CDE240" s="146"/>
      <c r="CDF240" s="146"/>
      <c r="CDG240" s="146"/>
      <c r="CDH240" s="146"/>
      <c r="CDI240" s="146"/>
      <c r="CDJ240" s="146"/>
      <c r="CDK240" s="146"/>
      <c r="CDL240" s="146"/>
      <c r="CDM240" s="146"/>
      <c r="CDN240" s="146"/>
      <c r="CDO240" s="146"/>
      <c r="CDP240" s="146"/>
      <c r="CDQ240" s="146"/>
      <c r="CDR240" s="146"/>
      <c r="CDS240" s="146"/>
      <c r="CDT240" s="146"/>
      <c r="CDU240" s="146"/>
      <c r="CDV240" s="146"/>
      <c r="CDW240" s="146"/>
      <c r="CDX240" s="146"/>
      <c r="CDY240" s="146"/>
      <c r="CDZ240" s="146"/>
      <c r="CEA240" s="146"/>
      <c r="CEB240" s="146"/>
      <c r="CEC240" s="146"/>
      <c r="CED240" s="146"/>
      <c r="CEE240" s="146"/>
      <c r="CEF240" s="146"/>
      <c r="CEG240" s="146"/>
      <c r="CEH240" s="146"/>
      <c r="CEI240" s="146"/>
      <c r="CEJ240" s="146"/>
      <c r="CEK240" s="146"/>
      <c r="CEL240" s="146"/>
      <c r="CEM240" s="146"/>
      <c r="CEN240" s="146"/>
      <c r="CEO240" s="146"/>
      <c r="CEP240" s="146"/>
      <c r="CEQ240" s="146"/>
      <c r="CER240" s="146"/>
      <c r="CES240" s="146"/>
      <c r="CET240" s="146"/>
      <c r="CEU240" s="146"/>
      <c r="CEV240" s="146"/>
      <c r="CEW240" s="146"/>
      <c r="CEX240" s="146"/>
      <c r="CEY240" s="146"/>
      <c r="CEZ240" s="146"/>
      <c r="CFA240" s="146"/>
      <c r="CFB240" s="146"/>
      <c r="CFC240" s="146"/>
      <c r="CFD240" s="146"/>
      <c r="CFE240" s="146"/>
      <c r="CFF240" s="146"/>
      <c r="CFG240" s="146"/>
      <c r="CFH240" s="146"/>
      <c r="CFI240" s="146"/>
      <c r="CFJ240" s="146"/>
      <c r="CFK240" s="146"/>
      <c r="CFL240" s="146"/>
      <c r="CFM240" s="146"/>
      <c r="CFN240" s="146"/>
      <c r="CFO240" s="146"/>
      <c r="CFP240" s="146"/>
      <c r="CFQ240" s="146"/>
      <c r="CFR240" s="146"/>
      <c r="CFS240" s="146"/>
      <c r="CFT240" s="146"/>
      <c r="CFU240" s="146"/>
      <c r="CFV240" s="146"/>
      <c r="CFW240" s="146"/>
      <c r="CFX240" s="146"/>
      <c r="CFY240" s="146"/>
      <c r="CFZ240" s="146"/>
      <c r="CGA240" s="146"/>
      <c r="CGB240" s="146"/>
      <c r="CGC240" s="146"/>
      <c r="CGD240" s="146"/>
      <c r="CGE240" s="146"/>
      <c r="CGF240" s="146"/>
      <c r="CGG240" s="146"/>
      <c r="CGH240" s="146"/>
      <c r="CGI240" s="146"/>
      <c r="CGJ240" s="146"/>
      <c r="CGK240" s="146"/>
      <c r="CGL240" s="146"/>
      <c r="CGM240" s="146"/>
      <c r="CGN240" s="146"/>
      <c r="CGO240" s="146"/>
      <c r="CGP240" s="146"/>
      <c r="CGQ240" s="146"/>
      <c r="CGR240" s="146"/>
      <c r="CGS240" s="146"/>
      <c r="CGT240" s="146"/>
      <c r="CGU240" s="146"/>
      <c r="CGV240" s="146"/>
      <c r="CGW240" s="146"/>
      <c r="CGX240" s="146"/>
      <c r="CGY240" s="146"/>
      <c r="CGZ240" s="146"/>
      <c r="CHA240" s="146"/>
      <c r="CHB240" s="146"/>
      <c r="CHC240" s="146"/>
      <c r="CHD240" s="146"/>
      <c r="CHE240" s="146"/>
      <c r="CHF240" s="146"/>
      <c r="CHG240" s="146"/>
      <c r="CHH240" s="146"/>
      <c r="CHI240" s="146"/>
      <c r="CHJ240" s="146"/>
      <c r="CHK240" s="146"/>
      <c r="CHL240" s="146"/>
      <c r="CHM240" s="146"/>
      <c r="CHN240" s="146"/>
      <c r="CHO240" s="146"/>
      <c r="CHP240" s="146"/>
      <c r="CHQ240" s="146"/>
      <c r="CHR240" s="146"/>
      <c r="CHS240" s="146"/>
      <c r="CHT240" s="146"/>
      <c r="CHU240" s="146"/>
      <c r="CHV240" s="146"/>
      <c r="CHW240" s="146"/>
      <c r="CHX240" s="146"/>
      <c r="CHY240" s="146"/>
      <c r="CHZ240" s="146"/>
      <c r="CIA240" s="146"/>
      <c r="CIB240" s="146"/>
      <c r="CIC240" s="146"/>
      <c r="CID240" s="146"/>
      <c r="CIE240" s="146"/>
      <c r="CIF240" s="146"/>
      <c r="CIG240" s="146"/>
      <c r="CIH240" s="146"/>
      <c r="CII240" s="146"/>
      <c r="CIJ240" s="146"/>
      <c r="CIK240" s="146"/>
      <c r="CIL240" s="146"/>
      <c r="CIM240" s="146"/>
      <c r="CIN240" s="146"/>
      <c r="CIO240" s="146"/>
      <c r="CIP240" s="146"/>
      <c r="CIQ240" s="146"/>
      <c r="CIR240" s="146"/>
      <c r="CIS240" s="146"/>
      <c r="CIT240" s="146"/>
      <c r="CIU240" s="146"/>
      <c r="CIV240" s="146"/>
      <c r="CIW240" s="146"/>
      <c r="CIX240" s="146"/>
      <c r="CIY240" s="146"/>
      <c r="CIZ240" s="146"/>
      <c r="CJA240" s="146"/>
      <c r="CJB240" s="146"/>
      <c r="CJC240" s="146"/>
      <c r="CJD240" s="146"/>
      <c r="CJE240" s="146"/>
      <c r="CJF240" s="146"/>
      <c r="CJG240" s="146"/>
      <c r="CJH240" s="146"/>
      <c r="CJI240" s="146"/>
      <c r="CJJ240" s="146"/>
      <c r="CJK240" s="146"/>
      <c r="CJL240" s="146"/>
      <c r="CJM240" s="146"/>
      <c r="CJN240" s="146"/>
      <c r="CJO240" s="146"/>
      <c r="CJP240" s="146"/>
      <c r="CJQ240" s="146"/>
      <c r="CJR240" s="146"/>
      <c r="CJS240" s="146"/>
      <c r="CJT240" s="146"/>
      <c r="CJU240" s="146"/>
      <c r="CJV240" s="146"/>
      <c r="CJW240" s="146"/>
      <c r="CJX240" s="146"/>
      <c r="CJY240" s="146"/>
      <c r="CJZ240" s="146"/>
      <c r="CKA240" s="146"/>
      <c r="CKB240" s="146"/>
      <c r="CKC240" s="146"/>
      <c r="CKD240" s="146"/>
      <c r="CKE240" s="146"/>
      <c r="CKF240" s="146"/>
      <c r="CKG240" s="146"/>
      <c r="CKH240" s="146"/>
      <c r="CKI240" s="146"/>
      <c r="CKJ240" s="146"/>
      <c r="CKK240" s="146"/>
      <c r="CKL240" s="146"/>
      <c r="CKM240" s="146"/>
      <c r="CKN240" s="146"/>
      <c r="CKO240" s="146"/>
      <c r="CKP240" s="146"/>
      <c r="CKQ240" s="146"/>
      <c r="CKR240" s="146"/>
      <c r="CKS240" s="146"/>
      <c r="CKT240" s="146"/>
      <c r="CKU240" s="146"/>
      <c r="CKV240" s="146"/>
      <c r="CKW240" s="146"/>
      <c r="CKX240" s="146"/>
      <c r="CKY240" s="146"/>
      <c r="CKZ240" s="146"/>
      <c r="CLA240" s="146"/>
      <c r="CLB240" s="146"/>
      <c r="CLC240" s="146"/>
      <c r="CLD240" s="146"/>
      <c r="CLE240" s="146"/>
      <c r="CLF240" s="146"/>
      <c r="CLG240" s="146"/>
      <c r="CLH240" s="146"/>
      <c r="CLI240" s="146"/>
      <c r="CLJ240" s="146"/>
      <c r="CLK240" s="146"/>
      <c r="CLL240" s="146"/>
      <c r="CLM240" s="146"/>
      <c r="CLN240" s="146"/>
      <c r="CLO240" s="146"/>
      <c r="CLP240" s="146"/>
      <c r="CLQ240" s="146"/>
      <c r="CLR240" s="146"/>
      <c r="CLS240" s="146"/>
      <c r="CLT240" s="146"/>
      <c r="CLU240" s="146"/>
      <c r="CLV240" s="146"/>
      <c r="CLW240" s="146"/>
      <c r="CLX240" s="146"/>
      <c r="CLY240" s="146"/>
      <c r="CLZ240" s="146"/>
      <c r="CMA240" s="146"/>
      <c r="CMB240" s="146"/>
      <c r="CMC240" s="146"/>
      <c r="CMD240" s="146"/>
      <c r="CME240" s="146"/>
      <c r="CMF240" s="146"/>
      <c r="CMG240" s="146"/>
      <c r="CMH240" s="146"/>
      <c r="CMI240" s="146"/>
      <c r="CMJ240" s="146"/>
      <c r="CMK240" s="146"/>
      <c r="CML240" s="146"/>
      <c r="CMM240" s="146"/>
      <c r="CMN240" s="146"/>
      <c r="CMO240" s="146"/>
      <c r="CMP240" s="146"/>
      <c r="CMQ240" s="146"/>
      <c r="CMR240" s="146"/>
      <c r="CMS240" s="146"/>
      <c r="CMT240" s="146"/>
      <c r="CMU240" s="146"/>
      <c r="CMV240" s="146"/>
      <c r="CMW240" s="146"/>
      <c r="CMX240" s="146"/>
      <c r="CMY240" s="146"/>
      <c r="CMZ240" s="146"/>
      <c r="CNA240" s="146"/>
      <c r="CNB240" s="146"/>
      <c r="CNC240" s="146"/>
      <c r="CND240" s="146"/>
      <c r="CNE240" s="146"/>
      <c r="CNF240" s="146"/>
      <c r="CNG240" s="146"/>
      <c r="CNH240" s="146"/>
      <c r="CNI240" s="146"/>
      <c r="CNJ240" s="146"/>
      <c r="CNK240" s="146"/>
      <c r="CNL240" s="146"/>
      <c r="CNM240" s="146"/>
      <c r="CNN240" s="146"/>
      <c r="CNO240" s="146"/>
      <c r="CNP240" s="146"/>
      <c r="CNQ240" s="146"/>
      <c r="CNR240" s="146"/>
      <c r="CNS240" s="146"/>
      <c r="CNT240" s="146"/>
      <c r="CNU240" s="146"/>
      <c r="CNV240" s="146"/>
      <c r="CNW240" s="146"/>
      <c r="CNX240" s="146"/>
      <c r="CNY240" s="146"/>
      <c r="CNZ240" s="146"/>
      <c r="COA240" s="146"/>
      <c r="COB240" s="146"/>
      <c r="COC240" s="146"/>
      <c r="COD240" s="146"/>
      <c r="COE240" s="146"/>
      <c r="COF240" s="146"/>
      <c r="COG240" s="146"/>
      <c r="COH240" s="146"/>
      <c r="COI240" s="146"/>
      <c r="COJ240" s="146"/>
      <c r="COK240" s="146"/>
      <c r="COL240" s="146"/>
      <c r="COM240" s="146"/>
      <c r="CON240" s="146"/>
      <c r="COO240" s="146"/>
      <c r="COP240" s="146"/>
      <c r="COQ240" s="146"/>
      <c r="COR240" s="146"/>
      <c r="COS240" s="146"/>
      <c r="COT240" s="146"/>
      <c r="COU240" s="146"/>
      <c r="COV240" s="146"/>
      <c r="COW240" s="146"/>
      <c r="COX240" s="146"/>
      <c r="COY240" s="146"/>
      <c r="COZ240" s="146"/>
      <c r="CPA240" s="146"/>
      <c r="CPB240" s="146"/>
      <c r="CPC240" s="146"/>
      <c r="CPD240" s="146"/>
      <c r="CPE240" s="146"/>
      <c r="CPF240" s="146"/>
      <c r="CPG240" s="146"/>
      <c r="CPH240" s="146"/>
      <c r="CPI240" s="146"/>
      <c r="CPJ240" s="146"/>
      <c r="CPK240" s="146"/>
      <c r="CPL240" s="146"/>
      <c r="CPM240" s="146"/>
      <c r="CPN240" s="146"/>
      <c r="CPO240" s="146"/>
      <c r="CPP240" s="146"/>
      <c r="CPQ240" s="146"/>
      <c r="CPR240" s="146"/>
      <c r="CPS240" s="146"/>
      <c r="CPT240" s="146"/>
      <c r="CPU240" s="146"/>
      <c r="CPV240" s="146"/>
      <c r="CPW240" s="146"/>
      <c r="CPX240" s="146"/>
      <c r="CPY240" s="146"/>
      <c r="CPZ240" s="146"/>
      <c r="CQA240" s="146"/>
      <c r="CQB240" s="146"/>
      <c r="CQC240" s="146"/>
      <c r="CQD240" s="146"/>
      <c r="CQE240" s="146"/>
      <c r="CQF240" s="146"/>
      <c r="CQG240" s="146"/>
      <c r="CQH240" s="146"/>
      <c r="CQI240" s="146"/>
      <c r="CQJ240" s="146"/>
      <c r="CQK240" s="146"/>
      <c r="CQL240" s="146"/>
      <c r="CQM240" s="146"/>
      <c r="CQN240" s="146"/>
      <c r="CQO240" s="146"/>
      <c r="CQP240" s="146"/>
      <c r="CQQ240" s="146"/>
      <c r="CQR240" s="146"/>
      <c r="CQS240" s="146"/>
      <c r="CQT240" s="146"/>
      <c r="CQU240" s="146"/>
      <c r="CQV240" s="146"/>
      <c r="CQW240" s="146"/>
      <c r="CQX240" s="146"/>
      <c r="CQY240" s="146"/>
      <c r="CQZ240" s="146"/>
      <c r="CRA240" s="146"/>
      <c r="CRB240" s="146"/>
      <c r="CRC240" s="146"/>
      <c r="CRD240" s="146"/>
      <c r="CRE240" s="146"/>
      <c r="CRF240" s="146"/>
      <c r="CRG240" s="146"/>
      <c r="CRH240" s="146"/>
      <c r="CRI240" s="146"/>
      <c r="CRJ240" s="146"/>
      <c r="CRK240" s="146"/>
      <c r="CRL240" s="146"/>
      <c r="CRM240" s="146"/>
      <c r="CRN240" s="146"/>
      <c r="CRO240" s="146"/>
      <c r="CRP240" s="146"/>
      <c r="CRQ240" s="146"/>
      <c r="CRR240" s="146"/>
      <c r="CRS240" s="146"/>
      <c r="CRT240" s="146"/>
      <c r="CRU240" s="146"/>
      <c r="CRV240" s="146"/>
      <c r="CRW240" s="146"/>
      <c r="CRX240" s="146"/>
      <c r="CRY240" s="146"/>
      <c r="CRZ240" s="146"/>
      <c r="CSA240" s="146"/>
      <c r="CSB240" s="146"/>
      <c r="CSC240" s="146"/>
      <c r="CSD240" s="146"/>
      <c r="CSE240" s="146"/>
      <c r="CSF240" s="146"/>
      <c r="CSG240" s="146"/>
      <c r="CSH240" s="146"/>
      <c r="CSI240" s="146"/>
      <c r="CSJ240" s="146"/>
      <c r="CSK240" s="146"/>
      <c r="CSL240" s="146"/>
      <c r="CSM240" s="146"/>
      <c r="CSN240" s="146"/>
      <c r="CSO240" s="146"/>
      <c r="CSP240" s="146"/>
      <c r="CSQ240" s="146"/>
      <c r="CSR240" s="146"/>
      <c r="CSS240" s="146"/>
      <c r="CST240" s="146"/>
      <c r="CSU240" s="146"/>
      <c r="CSV240" s="146"/>
      <c r="CSW240" s="146"/>
      <c r="CSX240" s="146"/>
      <c r="CSY240" s="146"/>
      <c r="CSZ240" s="146"/>
      <c r="CTA240" s="146"/>
      <c r="CTB240" s="146"/>
      <c r="CTC240" s="146"/>
      <c r="CTD240" s="146"/>
      <c r="CTE240" s="146"/>
      <c r="CTF240" s="146"/>
      <c r="CTG240" s="146"/>
      <c r="CTH240" s="146"/>
      <c r="CTI240" s="146"/>
      <c r="CTJ240" s="146"/>
      <c r="CTK240" s="146"/>
      <c r="CTL240" s="146"/>
      <c r="CTM240" s="146"/>
      <c r="CTN240" s="146"/>
      <c r="CTO240" s="146"/>
      <c r="CTP240" s="146"/>
      <c r="CTQ240" s="146"/>
      <c r="CTR240" s="146"/>
      <c r="CTS240" s="146"/>
      <c r="CTT240" s="146"/>
      <c r="CTU240" s="146"/>
      <c r="CTV240" s="146"/>
      <c r="CTW240" s="146"/>
      <c r="CTX240" s="146"/>
      <c r="CTY240" s="146"/>
      <c r="CTZ240" s="146"/>
      <c r="CUA240" s="146"/>
      <c r="CUB240" s="146"/>
      <c r="CUC240" s="146"/>
      <c r="CUD240" s="146"/>
      <c r="CUE240" s="146"/>
      <c r="CUF240" s="146"/>
      <c r="CUG240" s="146"/>
      <c r="CUH240" s="146"/>
      <c r="CUI240" s="146"/>
      <c r="CUJ240" s="146"/>
      <c r="CUK240" s="146"/>
      <c r="CUL240" s="146"/>
      <c r="CUM240" s="146"/>
      <c r="CUN240" s="146"/>
      <c r="CUO240" s="146"/>
      <c r="CUP240" s="146"/>
      <c r="CUQ240" s="146"/>
      <c r="CUR240" s="146"/>
      <c r="CUS240" s="146"/>
      <c r="CUT240" s="146"/>
      <c r="CUU240" s="146"/>
      <c r="CUV240" s="146"/>
      <c r="CUW240" s="146"/>
      <c r="CUX240" s="146"/>
      <c r="CUY240" s="146"/>
      <c r="CUZ240" s="146"/>
      <c r="CVA240" s="146"/>
      <c r="CVB240" s="146"/>
      <c r="CVC240" s="146"/>
      <c r="CVD240" s="146"/>
      <c r="CVE240" s="146"/>
      <c r="CVF240" s="146"/>
      <c r="CVG240" s="146"/>
      <c r="CVH240" s="146"/>
      <c r="CVI240" s="146"/>
      <c r="CVJ240" s="146"/>
      <c r="CVK240" s="146"/>
      <c r="CVL240" s="146"/>
      <c r="CVM240" s="146"/>
      <c r="CVN240" s="146"/>
      <c r="CVO240" s="146"/>
      <c r="CVP240" s="146"/>
      <c r="CVQ240" s="146"/>
      <c r="CVR240" s="146"/>
      <c r="CVS240" s="146"/>
      <c r="CVT240" s="146"/>
      <c r="CVU240" s="146"/>
      <c r="CVV240" s="146"/>
      <c r="CVW240" s="146"/>
      <c r="CVX240" s="146"/>
      <c r="CVY240" s="146"/>
      <c r="CVZ240" s="146"/>
      <c r="CWA240" s="146"/>
      <c r="CWB240" s="146"/>
      <c r="CWC240" s="146"/>
      <c r="CWD240" s="146"/>
      <c r="CWE240" s="146"/>
      <c r="CWF240" s="146"/>
      <c r="CWG240" s="146"/>
      <c r="CWH240" s="146"/>
      <c r="CWI240" s="146"/>
      <c r="CWJ240" s="146"/>
      <c r="CWK240" s="146"/>
      <c r="CWL240" s="146"/>
      <c r="CWM240" s="146"/>
      <c r="CWN240" s="146"/>
      <c r="CWO240" s="146"/>
      <c r="CWP240" s="146"/>
      <c r="CWQ240" s="146"/>
      <c r="CWR240" s="146"/>
      <c r="CWS240" s="146"/>
      <c r="CWT240" s="146"/>
      <c r="CWU240" s="146"/>
      <c r="CWV240" s="146"/>
      <c r="CWW240" s="146"/>
      <c r="CWX240" s="146"/>
      <c r="CWY240" s="146"/>
      <c r="CWZ240" s="146"/>
      <c r="CXA240" s="146"/>
      <c r="CXB240" s="146"/>
      <c r="CXC240" s="146"/>
      <c r="CXD240" s="146"/>
      <c r="CXE240" s="146"/>
      <c r="CXF240" s="146"/>
      <c r="CXG240" s="146"/>
      <c r="CXH240" s="146"/>
      <c r="CXI240" s="146"/>
      <c r="CXJ240" s="146"/>
      <c r="CXK240" s="146"/>
      <c r="CXL240" s="146"/>
      <c r="CXM240" s="146"/>
      <c r="CXN240" s="146"/>
      <c r="CXO240" s="146"/>
      <c r="CXP240" s="146"/>
      <c r="CXQ240" s="146"/>
      <c r="CXR240" s="146"/>
      <c r="CXS240" s="146"/>
      <c r="CXT240" s="146"/>
      <c r="CXU240" s="146"/>
      <c r="CXV240" s="146"/>
      <c r="CXW240" s="146"/>
      <c r="CXX240" s="146"/>
      <c r="CXY240" s="146"/>
      <c r="CXZ240" s="146"/>
      <c r="CYA240" s="146"/>
      <c r="CYB240" s="146"/>
      <c r="CYC240" s="146"/>
      <c r="CYD240" s="146"/>
      <c r="CYE240" s="146"/>
      <c r="CYF240" s="146"/>
      <c r="CYG240" s="146"/>
      <c r="CYH240" s="146"/>
      <c r="CYI240" s="146"/>
      <c r="CYJ240" s="146"/>
      <c r="CYK240" s="146"/>
      <c r="CYL240" s="146"/>
      <c r="CYM240" s="146"/>
      <c r="CYN240" s="146"/>
      <c r="CYO240" s="146"/>
      <c r="CYP240" s="146"/>
      <c r="CYQ240" s="146"/>
      <c r="CYR240" s="146"/>
      <c r="CYS240" s="146"/>
      <c r="CYT240" s="146"/>
      <c r="CYU240" s="146"/>
      <c r="CYV240" s="146"/>
      <c r="CYW240" s="146"/>
      <c r="CYX240" s="146"/>
      <c r="CYY240" s="146"/>
      <c r="CYZ240" s="146"/>
      <c r="CZA240" s="146"/>
      <c r="CZB240" s="146"/>
      <c r="CZC240" s="146"/>
      <c r="CZD240" s="146"/>
      <c r="CZE240" s="146"/>
      <c r="CZF240" s="146"/>
      <c r="CZG240" s="146"/>
      <c r="CZH240" s="146"/>
      <c r="CZI240" s="146"/>
      <c r="CZJ240" s="146"/>
      <c r="CZK240" s="146"/>
      <c r="CZL240" s="146"/>
      <c r="CZM240" s="146"/>
      <c r="CZN240" s="146"/>
      <c r="CZO240" s="146"/>
      <c r="CZP240" s="146"/>
      <c r="CZQ240" s="146"/>
      <c r="CZR240" s="146"/>
      <c r="CZS240" s="146"/>
      <c r="CZT240" s="146"/>
      <c r="CZU240" s="146"/>
      <c r="CZV240" s="146"/>
      <c r="CZW240" s="146"/>
      <c r="CZX240" s="146"/>
      <c r="CZY240" s="146"/>
      <c r="CZZ240" s="146"/>
      <c r="DAA240" s="146"/>
      <c r="DAB240" s="146"/>
      <c r="DAC240" s="146"/>
      <c r="DAD240" s="146"/>
      <c r="DAE240" s="146"/>
      <c r="DAF240" s="146"/>
      <c r="DAG240" s="146"/>
      <c r="DAH240" s="146"/>
      <c r="DAI240" s="146"/>
      <c r="DAJ240" s="146"/>
      <c r="DAK240" s="146"/>
      <c r="DAL240" s="146"/>
      <c r="DAM240" s="146"/>
      <c r="DAN240" s="146"/>
      <c r="DAO240" s="146"/>
      <c r="DAP240" s="146"/>
      <c r="DAQ240" s="146"/>
      <c r="DAR240" s="146"/>
      <c r="DAS240" s="146"/>
      <c r="DAT240" s="146"/>
      <c r="DAU240" s="146"/>
      <c r="DAV240" s="146"/>
      <c r="DAW240" s="146"/>
      <c r="DAX240" s="146"/>
      <c r="DAY240" s="146"/>
      <c r="DAZ240" s="146"/>
      <c r="DBA240" s="146"/>
      <c r="DBB240" s="146"/>
      <c r="DBC240" s="146"/>
      <c r="DBD240" s="146"/>
      <c r="DBE240" s="146"/>
      <c r="DBF240" s="146"/>
      <c r="DBG240" s="146"/>
      <c r="DBH240" s="146"/>
      <c r="DBI240" s="146"/>
      <c r="DBJ240" s="146"/>
      <c r="DBK240" s="146"/>
      <c r="DBL240" s="146"/>
      <c r="DBM240" s="146"/>
      <c r="DBN240" s="146"/>
      <c r="DBO240" s="146"/>
      <c r="DBP240" s="146"/>
      <c r="DBQ240" s="146"/>
      <c r="DBR240" s="146"/>
      <c r="DBS240" s="146"/>
      <c r="DBT240" s="146"/>
      <c r="DBU240" s="146"/>
      <c r="DBV240" s="146"/>
      <c r="DBW240" s="146"/>
      <c r="DBX240" s="146"/>
      <c r="DBY240" s="146"/>
      <c r="DBZ240" s="146"/>
      <c r="DCA240" s="146"/>
      <c r="DCB240" s="146"/>
      <c r="DCC240" s="146"/>
      <c r="DCD240" s="146"/>
      <c r="DCE240" s="146"/>
      <c r="DCF240" s="146"/>
      <c r="DCG240" s="146"/>
      <c r="DCH240" s="146"/>
      <c r="DCI240" s="146"/>
      <c r="DCJ240" s="146"/>
      <c r="DCK240" s="146"/>
      <c r="DCL240" s="146"/>
      <c r="DCM240" s="146"/>
      <c r="DCN240" s="146"/>
      <c r="DCO240" s="146"/>
      <c r="DCP240" s="146"/>
      <c r="DCQ240" s="146"/>
      <c r="DCR240" s="146"/>
      <c r="DCS240" s="146"/>
      <c r="DCT240" s="146"/>
      <c r="DCU240" s="146"/>
      <c r="DCV240" s="146"/>
      <c r="DCW240" s="146"/>
      <c r="DCX240" s="146"/>
      <c r="DCY240" s="146"/>
      <c r="DCZ240" s="146"/>
      <c r="DDA240" s="146"/>
      <c r="DDB240" s="146"/>
      <c r="DDC240" s="146"/>
      <c r="DDD240" s="146"/>
      <c r="DDE240" s="146"/>
      <c r="DDF240" s="146"/>
      <c r="DDG240" s="146"/>
      <c r="DDH240" s="146"/>
      <c r="DDI240" s="146"/>
      <c r="DDJ240" s="146"/>
      <c r="DDK240" s="146"/>
      <c r="DDL240" s="146"/>
      <c r="DDM240" s="146"/>
      <c r="DDN240" s="146"/>
      <c r="DDO240" s="146"/>
      <c r="DDP240" s="146"/>
      <c r="DDQ240" s="146"/>
      <c r="DDR240" s="146"/>
      <c r="DDS240" s="146"/>
      <c r="DDT240" s="146"/>
      <c r="DDU240" s="146"/>
      <c r="DDV240" s="146"/>
      <c r="DDW240" s="146"/>
      <c r="DDX240" s="146"/>
      <c r="DDY240" s="146"/>
      <c r="DDZ240" s="146"/>
      <c r="DEA240" s="146"/>
      <c r="DEB240" s="146"/>
      <c r="DEC240" s="146"/>
      <c r="DED240" s="146"/>
      <c r="DEE240" s="146"/>
      <c r="DEF240" s="146"/>
      <c r="DEG240" s="146"/>
      <c r="DEH240" s="146"/>
      <c r="DEI240" s="146"/>
      <c r="DEJ240" s="146"/>
      <c r="DEK240" s="146"/>
      <c r="DEL240" s="146"/>
      <c r="DEM240" s="146"/>
      <c r="DEN240" s="146"/>
      <c r="DEO240" s="146"/>
      <c r="DEP240" s="146"/>
      <c r="DEQ240" s="146"/>
      <c r="DER240" s="146"/>
      <c r="DES240" s="146"/>
      <c r="DET240" s="146"/>
      <c r="DEU240" s="146"/>
      <c r="DEV240" s="146"/>
      <c r="DEW240" s="146"/>
      <c r="DEX240" s="146"/>
      <c r="DEY240" s="146"/>
      <c r="DEZ240" s="146"/>
      <c r="DFA240" s="146"/>
      <c r="DFB240" s="146"/>
      <c r="DFC240" s="146"/>
      <c r="DFD240" s="146"/>
      <c r="DFE240" s="146"/>
      <c r="DFF240" s="146"/>
      <c r="DFG240" s="146"/>
      <c r="DFH240" s="146"/>
      <c r="DFI240" s="146"/>
      <c r="DFJ240" s="146"/>
      <c r="DFK240" s="146"/>
      <c r="DFL240" s="146"/>
      <c r="DFM240" s="146"/>
      <c r="DFN240" s="146"/>
      <c r="DFO240" s="146"/>
      <c r="DFP240" s="146"/>
      <c r="DFQ240" s="146"/>
      <c r="DFR240" s="146"/>
      <c r="DFS240" s="146"/>
      <c r="DFT240" s="146"/>
      <c r="DFU240" s="146"/>
      <c r="DFV240" s="146"/>
      <c r="DFW240" s="146"/>
      <c r="DFX240" s="146"/>
      <c r="DFY240" s="146"/>
      <c r="DFZ240" s="146"/>
      <c r="DGA240" s="146"/>
      <c r="DGB240" s="146"/>
      <c r="DGC240" s="146"/>
      <c r="DGD240" s="146"/>
      <c r="DGE240" s="146"/>
      <c r="DGF240" s="146"/>
      <c r="DGG240" s="146"/>
      <c r="DGH240" s="146"/>
      <c r="DGI240" s="146"/>
      <c r="DGJ240" s="146"/>
      <c r="DGK240" s="146"/>
      <c r="DGL240" s="146"/>
      <c r="DGM240" s="146"/>
      <c r="DGN240" s="146"/>
      <c r="DGO240" s="146"/>
      <c r="DGP240" s="146"/>
      <c r="DGQ240" s="146"/>
      <c r="DGR240" s="146"/>
      <c r="DGS240" s="146"/>
      <c r="DGT240" s="146"/>
      <c r="DGU240" s="146"/>
      <c r="DGV240" s="146"/>
      <c r="DGW240" s="146"/>
      <c r="DGX240" s="146"/>
      <c r="DGY240" s="146"/>
      <c r="DGZ240" s="146"/>
      <c r="DHA240" s="146"/>
      <c r="DHB240" s="146"/>
      <c r="DHC240" s="146"/>
      <c r="DHD240" s="146"/>
      <c r="DHE240" s="146"/>
      <c r="DHF240" s="146"/>
      <c r="DHG240" s="146"/>
      <c r="DHH240" s="146"/>
      <c r="DHI240" s="146"/>
      <c r="DHJ240" s="146"/>
      <c r="DHK240" s="146"/>
      <c r="DHL240" s="146"/>
      <c r="DHM240" s="146"/>
      <c r="DHN240" s="146"/>
      <c r="DHO240" s="146"/>
      <c r="DHP240" s="146"/>
      <c r="DHQ240" s="146"/>
      <c r="DHR240" s="146"/>
      <c r="DHS240" s="146"/>
      <c r="DHT240" s="146"/>
      <c r="DHU240" s="146"/>
      <c r="DHV240" s="146"/>
      <c r="DHW240" s="146"/>
      <c r="DHX240" s="146"/>
      <c r="DHY240" s="146"/>
      <c r="DHZ240" s="146"/>
      <c r="DIA240" s="146"/>
      <c r="DIB240" s="146"/>
      <c r="DIC240" s="146"/>
      <c r="DID240" s="146"/>
      <c r="DIE240" s="146"/>
      <c r="DIF240" s="146"/>
      <c r="DIG240" s="146"/>
      <c r="DIH240" s="146"/>
      <c r="DII240" s="146"/>
      <c r="DIJ240" s="146"/>
      <c r="DIK240" s="146"/>
      <c r="DIL240" s="146"/>
      <c r="DIM240" s="146"/>
      <c r="DIN240" s="146"/>
      <c r="DIO240" s="146"/>
      <c r="DIP240" s="146"/>
      <c r="DIQ240" s="146"/>
      <c r="DIR240" s="146"/>
      <c r="DIS240" s="146"/>
      <c r="DIT240" s="146"/>
      <c r="DIU240" s="146"/>
      <c r="DIV240" s="146"/>
      <c r="DIW240" s="146"/>
      <c r="DIX240" s="146"/>
      <c r="DIY240" s="146"/>
      <c r="DIZ240" s="146"/>
      <c r="DJA240" s="146"/>
      <c r="DJB240" s="146"/>
      <c r="DJC240" s="146"/>
      <c r="DJD240" s="146"/>
      <c r="DJE240" s="146"/>
      <c r="DJF240" s="146"/>
      <c r="DJG240" s="146"/>
      <c r="DJH240" s="146"/>
      <c r="DJI240" s="146"/>
      <c r="DJJ240" s="146"/>
      <c r="DJK240" s="146"/>
      <c r="DJL240" s="146"/>
      <c r="DJM240" s="146"/>
      <c r="DJN240" s="146"/>
      <c r="DJO240" s="146"/>
      <c r="DJP240" s="146"/>
      <c r="DJQ240" s="146"/>
      <c r="DJR240" s="146"/>
      <c r="DJS240" s="146"/>
      <c r="DJT240" s="146"/>
      <c r="DJU240" s="146"/>
      <c r="DJV240" s="146"/>
      <c r="DJW240" s="146"/>
      <c r="DJX240" s="146"/>
      <c r="DJY240" s="146"/>
      <c r="DJZ240" s="146"/>
      <c r="DKA240" s="146"/>
      <c r="DKB240" s="146"/>
      <c r="DKC240" s="146"/>
      <c r="DKD240" s="146"/>
      <c r="DKE240" s="146"/>
      <c r="DKF240" s="146"/>
      <c r="DKG240" s="146"/>
      <c r="DKH240" s="146"/>
      <c r="DKI240" s="146"/>
      <c r="DKJ240" s="146"/>
      <c r="DKK240" s="146"/>
      <c r="DKL240" s="146"/>
      <c r="DKM240" s="146"/>
      <c r="DKN240" s="146"/>
      <c r="DKO240" s="146"/>
      <c r="DKP240" s="146"/>
      <c r="DKQ240" s="146"/>
      <c r="DKR240" s="146"/>
      <c r="DKS240" s="146"/>
      <c r="DKT240" s="146"/>
      <c r="DKU240" s="146"/>
      <c r="DKV240" s="146"/>
      <c r="DKW240" s="146"/>
      <c r="DKX240" s="146"/>
      <c r="DKY240" s="146"/>
      <c r="DKZ240" s="146"/>
      <c r="DLA240" s="146"/>
      <c r="DLB240" s="146"/>
      <c r="DLC240" s="146"/>
      <c r="DLD240" s="146"/>
      <c r="DLE240" s="146"/>
      <c r="DLF240" s="146"/>
      <c r="DLG240" s="146"/>
      <c r="DLH240" s="146"/>
      <c r="DLI240" s="146"/>
      <c r="DLJ240" s="146"/>
      <c r="DLK240" s="146"/>
      <c r="DLL240" s="146"/>
      <c r="DLM240" s="146"/>
      <c r="DLN240" s="146"/>
      <c r="DLO240" s="146"/>
      <c r="DLP240" s="146"/>
      <c r="DLQ240" s="146"/>
      <c r="DLR240" s="146"/>
      <c r="DLS240" s="146"/>
      <c r="DLT240" s="146"/>
      <c r="DLU240" s="146"/>
      <c r="DLV240" s="146"/>
      <c r="DLW240" s="146"/>
      <c r="DLX240" s="146"/>
      <c r="DLY240" s="146"/>
      <c r="DLZ240" s="146"/>
      <c r="DMA240" s="146"/>
      <c r="DMB240" s="146"/>
      <c r="DMC240" s="146"/>
      <c r="DMD240" s="146"/>
      <c r="DME240" s="146"/>
      <c r="DMF240" s="146"/>
      <c r="DMG240" s="146"/>
      <c r="DMH240" s="146"/>
      <c r="DMI240" s="146"/>
      <c r="DMJ240" s="146"/>
      <c r="DMK240" s="146"/>
      <c r="DML240" s="146"/>
      <c r="DMM240" s="146"/>
      <c r="DMN240" s="146"/>
      <c r="DMO240" s="146"/>
      <c r="DMP240" s="146"/>
      <c r="DMQ240" s="146"/>
      <c r="DMR240" s="146"/>
      <c r="DMS240" s="146"/>
      <c r="DMT240" s="146"/>
      <c r="DMU240" s="146"/>
      <c r="DMV240" s="146"/>
      <c r="DMW240" s="146"/>
      <c r="DMX240" s="146"/>
      <c r="DMY240" s="146"/>
      <c r="DMZ240" s="146"/>
      <c r="DNA240" s="146"/>
      <c r="DNB240" s="146"/>
      <c r="DNC240" s="146"/>
      <c r="DND240" s="146"/>
      <c r="DNE240" s="146"/>
      <c r="DNF240" s="146"/>
      <c r="DNG240" s="146"/>
      <c r="DNH240" s="146"/>
      <c r="DNI240" s="146"/>
      <c r="DNJ240" s="146"/>
      <c r="DNK240" s="146"/>
      <c r="DNL240" s="146"/>
      <c r="DNM240" s="146"/>
      <c r="DNN240" s="146"/>
      <c r="DNO240" s="146"/>
      <c r="DNP240" s="146"/>
      <c r="DNQ240" s="146"/>
      <c r="DNR240" s="146"/>
      <c r="DNS240" s="146"/>
      <c r="DNT240" s="146"/>
      <c r="DNU240" s="146"/>
      <c r="DNV240" s="146"/>
      <c r="DNW240" s="146"/>
      <c r="DNX240" s="146"/>
      <c r="DNY240" s="146"/>
      <c r="DNZ240" s="146"/>
      <c r="DOA240" s="146"/>
      <c r="DOB240" s="146"/>
      <c r="DOC240" s="146"/>
      <c r="DOD240" s="146"/>
      <c r="DOE240" s="146"/>
      <c r="DOF240" s="146"/>
      <c r="DOG240" s="146"/>
      <c r="DOH240" s="146"/>
      <c r="DOI240" s="146"/>
      <c r="DOJ240" s="146"/>
      <c r="DOK240" s="146"/>
      <c r="DOL240" s="146"/>
      <c r="DOM240" s="146"/>
      <c r="DON240" s="146"/>
      <c r="DOO240" s="146"/>
      <c r="DOP240" s="146"/>
      <c r="DOQ240" s="146"/>
      <c r="DOR240" s="146"/>
      <c r="DOS240" s="146"/>
      <c r="DOT240" s="146"/>
      <c r="DOU240" s="146"/>
      <c r="DOV240" s="146"/>
      <c r="DOW240" s="146"/>
      <c r="DOX240" s="146"/>
      <c r="DOY240" s="146"/>
      <c r="DOZ240" s="146"/>
      <c r="DPA240" s="146"/>
      <c r="DPB240" s="146"/>
      <c r="DPC240" s="146"/>
      <c r="DPD240" s="146"/>
      <c r="DPE240" s="146"/>
      <c r="DPF240" s="146"/>
      <c r="DPG240" s="146"/>
      <c r="DPH240" s="146"/>
      <c r="DPI240" s="146"/>
      <c r="DPJ240" s="146"/>
      <c r="DPK240" s="146"/>
      <c r="DPL240" s="146"/>
      <c r="DPM240" s="146"/>
      <c r="DPN240" s="146"/>
      <c r="DPO240" s="146"/>
      <c r="DPP240" s="146"/>
      <c r="DPQ240" s="146"/>
      <c r="DPR240" s="146"/>
      <c r="DPS240" s="146"/>
      <c r="DPT240" s="146"/>
      <c r="DPU240" s="146"/>
      <c r="DPV240" s="146"/>
      <c r="DPW240" s="146"/>
      <c r="DPX240" s="146"/>
      <c r="DPY240" s="146"/>
      <c r="DPZ240" s="146"/>
      <c r="DQA240" s="146"/>
      <c r="DQB240" s="146"/>
      <c r="DQC240" s="146"/>
      <c r="DQD240" s="146"/>
      <c r="DQE240" s="146"/>
      <c r="DQF240" s="146"/>
      <c r="DQG240" s="146"/>
      <c r="DQH240" s="146"/>
      <c r="DQI240" s="146"/>
      <c r="DQJ240" s="146"/>
      <c r="DQK240" s="146"/>
      <c r="DQL240" s="146"/>
      <c r="DQM240" s="146"/>
      <c r="DQN240" s="146"/>
      <c r="DQO240" s="146"/>
      <c r="DQP240" s="146"/>
      <c r="DQQ240" s="146"/>
      <c r="DQR240" s="146"/>
      <c r="DQS240" s="146"/>
      <c r="DQT240" s="146"/>
      <c r="DQU240" s="146"/>
      <c r="DQV240" s="146"/>
      <c r="DQW240" s="146"/>
      <c r="DQX240" s="146"/>
      <c r="DQY240" s="146"/>
      <c r="DQZ240" s="146"/>
      <c r="DRA240" s="146"/>
      <c r="DRB240" s="146"/>
      <c r="DRC240" s="146"/>
      <c r="DRD240" s="146"/>
      <c r="DRE240" s="146"/>
      <c r="DRF240" s="146"/>
      <c r="DRG240" s="146"/>
      <c r="DRH240" s="146"/>
      <c r="DRI240" s="146"/>
      <c r="DRJ240" s="146"/>
      <c r="DRK240" s="146"/>
      <c r="DRL240" s="146"/>
      <c r="DRM240" s="146"/>
      <c r="DRN240" s="146"/>
      <c r="DRO240" s="146"/>
      <c r="DRP240" s="146"/>
      <c r="DRQ240" s="146"/>
      <c r="DRR240" s="146"/>
      <c r="DRS240" s="146"/>
      <c r="DRT240" s="146"/>
      <c r="DRU240" s="146"/>
      <c r="DRV240" s="146"/>
      <c r="DRW240" s="146"/>
      <c r="DRX240" s="146"/>
      <c r="DRY240" s="146"/>
      <c r="DRZ240" s="146"/>
      <c r="DSA240" s="146"/>
      <c r="DSB240" s="146"/>
      <c r="DSC240" s="146"/>
      <c r="DSD240" s="146"/>
      <c r="DSE240" s="146"/>
      <c r="DSF240" s="146"/>
      <c r="DSG240" s="146"/>
      <c r="DSH240" s="146"/>
      <c r="DSI240" s="146"/>
      <c r="DSJ240" s="146"/>
      <c r="DSK240" s="146"/>
      <c r="DSL240" s="146"/>
      <c r="DSM240" s="146"/>
      <c r="DSN240" s="146"/>
      <c r="DSO240" s="146"/>
      <c r="DSP240" s="146"/>
      <c r="DSQ240" s="146"/>
      <c r="DSR240" s="146"/>
      <c r="DSS240" s="146"/>
      <c r="DST240" s="146"/>
      <c r="DSU240" s="146"/>
      <c r="DSV240" s="146"/>
      <c r="DSW240" s="146"/>
      <c r="DSX240" s="146"/>
      <c r="DSY240" s="146"/>
      <c r="DSZ240" s="146"/>
      <c r="DTA240" s="146"/>
      <c r="DTB240" s="146"/>
      <c r="DTC240" s="146"/>
      <c r="DTD240" s="146"/>
      <c r="DTE240" s="146"/>
      <c r="DTF240" s="146"/>
      <c r="DTG240" s="146"/>
      <c r="DTH240" s="146"/>
      <c r="DTI240" s="146"/>
      <c r="DTJ240" s="146"/>
      <c r="DTK240" s="146"/>
      <c r="DTL240" s="146"/>
      <c r="DTM240" s="146"/>
      <c r="DTN240" s="146"/>
      <c r="DTO240" s="146"/>
      <c r="DTP240" s="146"/>
      <c r="DTQ240" s="146"/>
      <c r="DTR240" s="146"/>
      <c r="DTS240" s="146"/>
      <c r="DTT240" s="146"/>
      <c r="DTU240" s="146"/>
      <c r="DTV240" s="146"/>
      <c r="DTW240" s="146"/>
      <c r="DTX240" s="146"/>
      <c r="DTY240" s="146"/>
      <c r="DTZ240" s="146"/>
      <c r="DUA240" s="146"/>
      <c r="DUB240" s="146"/>
      <c r="DUC240" s="146"/>
      <c r="DUD240" s="146"/>
      <c r="DUE240" s="146"/>
      <c r="DUF240" s="146"/>
      <c r="DUG240" s="146"/>
      <c r="DUH240" s="146"/>
      <c r="DUI240" s="146"/>
      <c r="DUJ240" s="146"/>
      <c r="DUK240" s="146"/>
      <c r="DUL240" s="146"/>
      <c r="DUM240" s="146"/>
      <c r="DUN240" s="146"/>
      <c r="DUO240" s="146"/>
      <c r="DUP240" s="146"/>
      <c r="DUQ240" s="146"/>
      <c r="DUR240" s="146"/>
      <c r="DUS240" s="146"/>
      <c r="DUT240" s="146"/>
      <c r="DUU240" s="146"/>
      <c r="DUV240" s="146"/>
      <c r="DUW240" s="146"/>
      <c r="DUX240" s="146"/>
      <c r="DUY240" s="146"/>
      <c r="DUZ240" s="146"/>
      <c r="DVA240" s="146"/>
      <c r="DVB240" s="146"/>
      <c r="DVC240" s="146"/>
      <c r="DVD240" s="146"/>
      <c r="DVE240" s="146"/>
      <c r="DVF240" s="146"/>
      <c r="DVG240" s="146"/>
      <c r="DVH240" s="146"/>
      <c r="DVI240" s="146"/>
      <c r="DVJ240" s="146"/>
      <c r="DVK240" s="146"/>
      <c r="DVL240" s="146"/>
      <c r="DVM240" s="146"/>
      <c r="DVN240" s="146"/>
      <c r="DVO240" s="146"/>
      <c r="DVP240" s="146"/>
      <c r="DVQ240" s="146"/>
      <c r="DVR240" s="146"/>
      <c r="DVS240" s="146"/>
      <c r="DVT240" s="146"/>
      <c r="DVU240" s="146"/>
      <c r="DVV240" s="146"/>
      <c r="DVW240" s="146"/>
      <c r="DVX240" s="146"/>
      <c r="DVY240" s="146"/>
      <c r="DVZ240" s="146"/>
      <c r="DWA240" s="146"/>
      <c r="DWB240" s="146"/>
      <c r="DWC240" s="146"/>
      <c r="DWD240" s="146"/>
      <c r="DWE240" s="146"/>
      <c r="DWF240" s="146"/>
      <c r="DWG240" s="146"/>
      <c r="DWH240" s="146"/>
      <c r="DWI240" s="146"/>
      <c r="DWJ240" s="146"/>
      <c r="DWK240" s="146"/>
      <c r="DWL240" s="146"/>
      <c r="DWM240" s="146"/>
      <c r="DWN240" s="146"/>
      <c r="DWO240" s="146"/>
      <c r="DWP240" s="146"/>
      <c r="DWQ240" s="146"/>
      <c r="DWR240" s="146"/>
      <c r="DWS240" s="146"/>
      <c r="DWT240" s="146"/>
      <c r="DWU240" s="146"/>
      <c r="DWV240" s="146"/>
      <c r="DWW240" s="146"/>
      <c r="DWX240" s="146"/>
      <c r="DWY240" s="146"/>
      <c r="DWZ240" s="146"/>
      <c r="DXA240" s="146"/>
      <c r="DXB240" s="146"/>
      <c r="DXC240" s="146"/>
      <c r="DXD240" s="146"/>
      <c r="DXE240" s="146"/>
      <c r="DXF240" s="146"/>
      <c r="DXG240" s="146"/>
      <c r="DXH240" s="146"/>
      <c r="DXI240" s="146"/>
      <c r="DXJ240" s="146"/>
      <c r="DXK240" s="146"/>
      <c r="DXL240" s="146"/>
      <c r="DXM240" s="146"/>
      <c r="DXN240" s="146"/>
      <c r="DXO240" s="146"/>
      <c r="DXP240" s="146"/>
      <c r="DXQ240" s="146"/>
      <c r="DXR240" s="146"/>
      <c r="DXS240" s="146"/>
      <c r="DXT240" s="146"/>
      <c r="DXU240" s="146"/>
      <c r="DXV240" s="146"/>
      <c r="DXW240" s="146"/>
      <c r="DXX240" s="146"/>
      <c r="DXY240" s="146"/>
      <c r="DXZ240" s="146"/>
      <c r="DYA240" s="146"/>
      <c r="DYB240" s="146"/>
      <c r="DYC240" s="146"/>
      <c r="DYD240" s="146"/>
      <c r="DYE240" s="146"/>
      <c r="DYF240" s="146"/>
      <c r="DYG240" s="146"/>
      <c r="DYH240" s="146"/>
      <c r="DYI240" s="146"/>
      <c r="DYJ240" s="146"/>
      <c r="DYK240" s="146"/>
      <c r="DYL240" s="146"/>
      <c r="DYM240" s="146"/>
      <c r="DYN240" s="146"/>
      <c r="DYO240" s="146"/>
      <c r="DYP240" s="146"/>
      <c r="DYQ240" s="146"/>
      <c r="DYR240" s="146"/>
      <c r="DYS240" s="146"/>
      <c r="DYT240" s="146"/>
      <c r="DYU240" s="146"/>
      <c r="DYV240" s="146"/>
      <c r="DYW240" s="146"/>
      <c r="DYX240" s="146"/>
      <c r="DYY240" s="146"/>
      <c r="DYZ240" s="146"/>
      <c r="DZA240" s="146"/>
      <c r="DZB240" s="146"/>
      <c r="DZC240" s="146"/>
      <c r="DZD240" s="146"/>
      <c r="DZE240" s="146"/>
      <c r="DZF240" s="146"/>
      <c r="DZG240" s="146"/>
      <c r="DZH240" s="146"/>
      <c r="DZI240" s="146"/>
      <c r="DZJ240" s="146"/>
      <c r="DZK240" s="146"/>
      <c r="DZL240" s="146"/>
      <c r="DZM240" s="146"/>
      <c r="DZN240" s="146"/>
      <c r="DZO240" s="146"/>
      <c r="DZP240" s="146"/>
      <c r="DZQ240" s="146"/>
      <c r="DZR240" s="146"/>
      <c r="DZS240" s="146"/>
      <c r="DZT240" s="146"/>
      <c r="DZU240" s="146"/>
      <c r="DZV240" s="146"/>
      <c r="DZW240" s="146"/>
      <c r="DZX240" s="146"/>
      <c r="DZY240" s="146"/>
      <c r="DZZ240" s="146"/>
      <c r="EAA240" s="146"/>
      <c r="EAB240" s="146"/>
      <c r="EAC240" s="146"/>
      <c r="EAD240" s="146"/>
      <c r="EAE240" s="146"/>
      <c r="EAF240" s="146"/>
      <c r="EAG240" s="146"/>
      <c r="EAH240" s="146"/>
      <c r="EAI240" s="146"/>
      <c r="EAJ240" s="146"/>
      <c r="EAK240" s="146"/>
      <c r="EAL240" s="146"/>
      <c r="EAM240" s="146"/>
      <c r="EAN240" s="146"/>
      <c r="EAO240" s="146"/>
      <c r="EAP240" s="146"/>
      <c r="EAQ240" s="146"/>
      <c r="EAR240" s="146"/>
      <c r="EAS240" s="146"/>
      <c r="EAT240" s="146"/>
      <c r="EAU240" s="146"/>
      <c r="EAV240" s="146"/>
      <c r="EAW240" s="146"/>
      <c r="EAX240" s="146"/>
      <c r="EAY240" s="146"/>
      <c r="EAZ240" s="146"/>
      <c r="EBA240" s="146"/>
      <c r="EBB240" s="146"/>
      <c r="EBC240" s="146"/>
      <c r="EBD240" s="146"/>
      <c r="EBE240" s="146"/>
      <c r="EBF240" s="146"/>
      <c r="EBG240" s="146"/>
      <c r="EBH240" s="146"/>
      <c r="EBI240" s="146"/>
      <c r="EBJ240" s="146"/>
      <c r="EBK240" s="146"/>
      <c r="EBL240" s="146"/>
      <c r="EBM240" s="146"/>
      <c r="EBN240" s="146"/>
      <c r="EBO240" s="146"/>
      <c r="EBP240" s="146"/>
      <c r="EBQ240" s="146"/>
      <c r="EBR240" s="146"/>
      <c r="EBS240" s="146"/>
      <c r="EBT240" s="146"/>
      <c r="EBU240" s="146"/>
      <c r="EBV240" s="146"/>
      <c r="EBW240" s="146"/>
      <c r="EBX240" s="146"/>
      <c r="EBY240" s="146"/>
      <c r="EBZ240" s="146"/>
      <c r="ECA240" s="146"/>
      <c r="ECB240" s="146"/>
      <c r="ECC240" s="146"/>
      <c r="ECD240" s="146"/>
      <c r="ECE240" s="146"/>
      <c r="ECF240" s="146"/>
      <c r="ECG240" s="146"/>
      <c r="ECH240" s="146"/>
      <c r="ECI240" s="146"/>
      <c r="ECJ240" s="146"/>
      <c r="ECK240" s="146"/>
      <c r="ECL240" s="146"/>
      <c r="ECM240" s="146"/>
      <c r="ECN240" s="146"/>
      <c r="ECO240" s="146"/>
      <c r="ECP240" s="146"/>
      <c r="ECQ240" s="146"/>
      <c r="ECR240" s="146"/>
      <c r="ECS240" s="146"/>
      <c r="ECT240" s="146"/>
      <c r="ECU240" s="146"/>
      <c r="ECV240" s="146"/>
      <c r="ECW240" s="146"/>
      <c r="ECX240" s="146"/>
      <c r="ECY240" s="146"/>
      <c r="ECZ240" s="146"/>
      <c r="EDA240" s="146"/>
      <c r="EDB240" s="146"/>
      <c r="EDC240" s="146"/>
      <c r="EDD240" s="146"/>
      <c r="EDE240" s="146"/>
      <c r="EDF240" s="146"/>
      <c r="EDG240" s="146"/>
      <c r="EDH240" s="146"/>
      <c r="EDI240" s="146"/>
      <c r="EDJ240" s="146"/>
      <c r="EDK240" s="146"/>
      <c r="EDL240" s="146"/>
      <c r="EDM240" s="146"/>
      <c r="EDN240" s="146"/>
      <c r="EDO240" s="146"/>
      <c r="EDP240" s="146"/>
      <c r="EDQ240" s="146"/>
      <c r="EDR240" s="146"/>
      <c r="EDS240" s="146"/>
      <c r="EDT240" s="146"/>
      <c r="EDU240" s="146"/>
      <c r="EDV240" s="146"/>
      <c r="EDW240" s="146"/>
      <c r="EDX240" s="146"/>
      <c r="EDY240" s="146"/>
      <c r="EDZ240" s="146"/>
      <c r="EEA240" s="146"/>
      <c r="EEB240" s="146"/>
      <c r="EEC240" s="146"/>
      <c r="EED240" s="146"/>
      <c r="EEE240" s="146"/>
      <c r="EEF240" s="146"/>
      <c r="EEG240" s="146"/>
      <c r="EEH240" s="146"/>
      <c r="EEI240" s="146"/>
      <c r="EEJ240" s="146"/>
      <c r="EEK240" s="146"/>
      <c r="EEL240" s="146"/>
      <c r="EEM240" s="146"/>
      <c r="EEN240" s="146"/>
      <c r="EEO240" s="146"/>
      <c r="EEP240" s="146"/>
      <c r="EEQ240" s="146"/>
      <c r="EER240" s="146"/>
      <c r="EES240" s="146"/>
      <c r="EET240" s="146"/>
      <c r="EEU240" s="146"/>
      <c r="EEV240" s="146"/>
      <c r="EEW240" s="146"/>
      <c r="EEX240" s="146"/>
      <c r="EEY240" s="146"/>
      <c r="EEZ240" s="146"/>
      <c r="EFA240" s="146"/>
      <c r="EFB240" s="146"/>
      <c r="EFC240" s="146"/>
      <c r="EFD240" s="146"/>
      <c r="EFE240" s="146"/>
      <c r="EFF240" s="146"/>
      <c r="EFG240" s="146"/>
      <c r="EFH240" s="146"/>
      <c r="EFI240" s="146"/>
      <c r="EFJ240" s="146"/>
      <c r="EFK240" s="146"/>
      <c r="EFL240" s="146"/>
      <c r="EFM240" s="146"/>
      <c r="EFN240" s="146"/>
      <c r="EFO240" s="146"/>
      <c r="EFP240" s="146"/>
      <c r="EFQ240" s="146"/>
      <c r="EFR240" s="146"/>
      <c r="EFS240" s="146"/>
      <c r="EFT240" s="146"/>
      <c r="EFU240" s="146"/>
      <c r="EFV240" s="146"/>
      <c r="EFW240" s="146"/>
      <c r="EFX240" s="146"/>
      <c r="EFY240" s="146"/>
      <c r="EFZ240" s="146"/>
      <c r="EGA240" s="146"/>
      <c r="EGB240" s="146"/>
      <c r="EGC240" s="146"/>
      <c r="EGD240" s="146"/>
      <c r="EGE240" s="146"/>
      <c r="EGF240" s="146"/>
      <c r="EGG240" s="146"/>
      <c r="EGH240" s="146"/>
      <c r="EGI240" s="146"/>
      <c r="EGJ240" s="146"/>
      <c r="EGK240" s="146"/>
      <c r="EGL240" s="146"/>
      <c r="EGM240" s="146"/>
      <c r="EGN240" s="146"/>
      <c r="EGO240" s="146"/>
      <c r="EGP240" s="146"/>
      <c r="EGQ240" s="146"/>
      <c r="EGR240" s="146"/>
      <c r="EGS240" s="146"/>
      <c r="EGT240" s="146"/>
      <c r="EGU240" s="146"/>
      <c r="EGV240" s="146"/>
      <c r="EGW240" s="146"/>
      <c r="EGX240" s="146"/>
      <c r="EGY240" s="146"/>
      <c r="EGZ240" s="146"/>
      <c r="EHA240" s="146"/>
      <c r="EHB240" s="146"/>
      <c r="EHC240" s="146"/>
      <c r="EHD240" s="146"/>
      <c r="EHE240" s="146"/>
      <c r="EHF240" s="146"/>
      <c r="EHG240" s="146"/>
      <c r="EHH240" s="146"/>
      <c r="EHI240" s="146"/>
      <c r="EHJ240" s="146"/>
      <c r="EHK240" s="146"/>
      <c r="EHL240" s="146"/>
      <c r="EHM240" s="146"/>
      <c r="EHN240" s="146"/>
      <c r="EHO240" s="146"/>
      <c r="EHP240" s="146"/>
      <c r="EHQ240" s="146"/>
      <c r="EHR240" s="146"/>
      <c r="EHS240" s="146"/>
      <c r="EHT240" s="146"/>
      <c r="EHU240" s="146"/>
      <c r="EHV240" s="146"/>
      <c r="EHW240" s="146"/>
      <c r="EHX240" s="146"/>
      <c r="EHY240" s="146"/>
      <c r="EHZ240" s="146"/>
      <c r="EIA240" s="146"/>
      <c r="EIB240" s="146"/>
      <c r="EIC240" s="146"/>
      <c r="EID240" s="146"/>
      <c r="EIE240" s="146"/>
      <c r="EIF240" s="146"/>
      <c r="EIG240" s="146"/>
      <c r="EIH240" s="146"/>
      <c r="EII240" s="146"/>
      <c r="EIJ240" s="146"/>
      <c r="EIK240" s="146"/>
      <c r="EIL240" s="146"/>
      <c r="EIM240" s="146"/>
      <c r="EIN240" s="146"/>
      <c r="EIO240" s="146"/>
      <c r="EIP240" s="146"/>
      <c r="EIQ240" s="146"/>
      <c r="EIR240" s="146"/>
      <c r="EIS240" s="146"/>
      <c r="EIT240" s="146"/>
      <c r="EIU240" s="146"/>
      <c r="EIV240" s="146"/>
      <c r="EIW240" s="146"/>
      <c r="EIX240" s="146"/>
      <c r="EIY240" s="146"/>
      <c r="EIZ240" s="146"/>
      <c r="EJA240" s="146"/>
      <c r="EJB240" s="146"/>
      <c r="EJC240" s="146"/>
      <c r="EJD240" s="146"/>
      <c r="EJE240" s="146"/>
      <c r="EJF240" s="146"/>
      <c r="EJG240" s="146"/>
      <c r="EJH240" s="146"/>
      <c r="EJI240" s="146"/>
      <c r="EJJ240" s="146"/>
      <c r="EJK240" s="146"/>
      <c r="EJL240" s="146"/>
      <c r="EJM240" s="146"/>
      <c r="EJN240" s="146"/>
      <c r="EJO240" s="146"/>
      <c r="EJP240" s="146"/>
      <c r="EJQ240" s="146"/>
      <c r="EJR240" s="146"/>
      <c r="EJS240" s="146"/>
      <c r="EJT240" s="146"/>
      <c r="EJU240" s="146"/>
      <c r="EJV240" s="146"/>
      <c r="EJW240" s="146"/>
      <c r="EJX240" s="146"/>
      <c r="EJY240" s="146"/>
      <c r="EJZ240" s="146"/>
      <c r="EKA240" s="146"/>
      <c r="EKB240" s="146"/>
      <c r="EKC240" s="146"/>
      <c r="EKD240" s="146"/>
      <c r="EKE240" s="146"/>
      <c r="EKF240" s="146"/>
      <c r="EKG240" s="146"/>
      <c r="EKH240" s="146"/>
      <c r="EKI240" s="146"/>
      <c r="EKJ240" s="146"/>
      <c r="EKK240" s="146"/>
      <c r="EKL240" s="146"/>
      <c r="EKM240" s="146"/>
      <c r="EKN240" s="146"/>
      <c r="EKO240" s="146"/>
      <c r="EKP240" s="146"/>
      <c r="EKQ240" s="146"/>
      <c r="EKR240" s="146"/>
      <c r="EKS240" s="146"/>
      <c r="EKT240" s="146"/>
      <c r="EKU240" s="146"/>
      <c r="EKV240" s="146"/>
      <c r="EKW240" s="146"/>
      <c r="EKX240" s="146"/>
      <c r="EKY240" s="146"/>
      <c r="EKZ240" s="146"/>
      <c r="ELA240" s="146"/>
      <c r="ELB240" s="146"/>
      <c r="ELC240" s="146"/>
      <c r="ELD240" s="146"/>
      <c r="ELE240" s="146"/>
      <c r="ELF240" s="146"/>
      <c r="ELG240" s="146"/>
      <c r="ELH240" s="146"/>
      <c r="ELI240" s="146"/>
      <c r="ELJ240" s="146"/>
      <c r="ELK240" s="146"/>
      <c r="ELL240" s="146"/>
      <c r="ELM240" s="146"/>
      <c r="ELN240" s="146"/>
      <c r="ELO240" s="146"/>
      <c r="ELP240" s="146"/>
      <c r="ELQ240" s="146"/>
      <c r="ELR240" s="146"/>
      <c r="ELS240" s="146"/>
      <c r="ELT240" s="146"/>
      <c r="ELU240" s="146"/>
      <c r="ELV240" s="146"/>
      <c r="ELW240" s="146"/>
      <c r="ELX240" s="146"/>
      <c r="ELY240" s="146"/>
      <c r="ELZ240" s="146"/>
      <c r="EMA240" s="146"/>
      <c r="EMB240" s="146"/>
      <c r="EMC240" s="146"/>
      <c r="EMD240" s="146"/>
      <c r="EME240" s="146"/>
      <c r="EMF240" s="146"/>
      <c r="EMG240" s="146"/>
      <c r="EMH240" s="146"/>
      <c r="EMI240" s="146"/>
      <c r="EMJ240" s="146"/>
      <c r="EMK240" s="146"/>
      <c r="EML240" s="146"/>
      <c r="EMM240" s="146"/>
      <c r="EMN240" s="146"/>
      <c r="EMO240" s="146"/>
      <c r="EMP240" s="146"/>
      <c r="EMQ240" s="146"/>
      <c r="EMR240" s="146"/>
      <c r="EMS240" s="146"/>
      <c r="EMT240" s="146"/>
      <c r="EMU240" s="146"/>
      <c r="EMV240" s="146"/>
      <c r="EMW240" s="146"/>
      <c r="EMX240" s="146"/>
      <c r="EMY240" s="146"/>
      <c r="EMZ240" s="146"/>
      <c r="ENA240" s="146"/>
      <c r="ENB240" s="146"/>
      <c r="ENC240" s="146"/>
      <c r="END240" s="146"/>
      <c r="ENE240" s="146"/>
      <c r="ENF240" s="146"/>
      <c r="ENG240" s="146"/>
      <c r="ENH240" s="146"/>
      <c r="ENI240" s="146"/>
      <c r="ENJ240" s="146"/>
      <c r="ENK240" s="146"/>
      <c r="ENL240" s="146"/>
      <c r="ENM240" s="146"/>
      <c r="ENN240" s="146"/>
      <c r="ENO240" s="146"/>
      <c r="ENP240" s="146"/>
      <c r="ENQ240" s="146"/>
      <c r="ENR240" s="146"/>
      <c r="ENS240" s="146"/>
      <c r="ENT240" s="146"/>
      <c r="ENU240" s="146"/>
      <c r="ENV240" s="146"/>
      <c r="ENW240" s="146"/>
      <c r="ENX240" s="146"/>
      <c r="ENY240" s="146"/>
      <c r="ENZ240" s="146"/>
      <c r="EOA240" s="146"/>
      <c r="EOB240" s="146"/>
      <c r="EOC240" s="146"/>
      <c r="EOD240" s="146"/>
      <c r="EOE240" s="146"/>
      <c r="EOF240" s="146"/>
      <c r="EOG240" s="146"/>
      <c r="EOH240" s="146"/>
      <c r="EOI240" s="146"/>
      <c r="EOJ240" s="146"/>
      <c r="EOK240" s="146"/>
      <c r="EOL240" s="146"/>
      <c r="EOM240" s="146"/>
      <c r="EON240" s="146"/>
      <c r="EOO240" s="146"/>
      <c r="EOP240" s="146"/>
      <c r="EOQ240" s="146"/>
      <c r="EOR240" s="146"/>
      <c r="EOS240" s="146"/>
      <c r="EOT240" s="146"/>
      <c r="EOU240" s="146"/>
      <c r="EOV240" s="146"/>
      <c r="EOW240" s="146"/>
      <c r="EOX240" s="146"/>
      <c r="EOY240" s="146"/>
      <c r="EOZ240" s="146"/>
      <c r="EPA240" s="146"/>
      <c r="EPB240" s="146"/>
      <c r="EPC240" s="146"/>
      <c r="EPD240" s="146"/>
      <c r="EPE240" s="146"/>
      <c r="EPF240" s="146"/>
      <c r="EPG240" s="146"/>
      <c r="EPH240" s="146"/>
      <c r="EPI240" s="146"/>
      <c r="EPJ240" s="146"/>
      <c r="EPK240" s="146"/>
      <c r="EPL240" s="146"/>
      <c r="EPM240" s="146"/>
      <c r="EPN240" s="146"/>
      <c r="EPO240" s="146"/>
      <c r="EPP240" s="146"/>
      <c r="EPQ240" s="146"/>
      <c r="EPR240" s="146"/>
      <c r="EPS240" s="146"/>
      <c r="EPT240" s="146"/>
      <c r="EPU240" s="146"/>
      <c r="EPV240" s="146"/>
      <c r="EPW240" s="146"/>
      <c r="EPX240" s="146"/>
      <c r="EPY240" s="146"/>
      <c r="EPZ240" s="146"/>
      <c r="EQA240" s="146"/>
      <c r="EQB240" s="146"/>
      <c r="EQC240" s="146"/>
      <c r="EQD240" s="146"/>
      <c r="EQE240" s="146"/>
      <c r="EQF240" s="146"/>
      <c r="EQG240" s="146"/>
      <c r="EQH240" s="146"/>
      <c r="EQI240" s="146"/>
      <c r="EQJ240" s="146"/>
      <c r="EQK240" s="146"/>
      <c r="EQL240" s="146"/>
      <c r="EQM240" s="146"/>
      <c r="EQN240" s="146"/>
      <c r="EQO240" s="146"/>
      <c r="EQP240" s="146"/>
      <c r="EQQ240" s="146"/>
      <c r="EQR240" s="146"/>
      <c r="EQS240" s="146"/>
      <c r="EQT240" s="146"/>
      <c r="EQU240" s="146"/>
      <c r="EQV240" s="146"/>
      <c r="EQW240" s="146"/>
      <c r="EQX240" s="146"/>
      <c r="EQY240" s="146"/>
      <c r="EQZ240" s="146"/>
      <c r="ERA240" s="146"/>
      <c r="ERB240" s="146"/>
      <c r="ERC240" s="146"/>
      <c r="ERD240" s="146"/>
      <c r="ERE240" s="146"/>
      <c r="ERF240" s="146"/>
      <c r="ERG240" s="146"/>
      <c r="ERH240" s="146"/>
      <c r="ERI240" s="146"/>
      <c r="ERJ240" s="146"/>
      <c r="ERK240" s="146"/>
      <c r="ERL240" s="146"/>
      <c r="ERM240" s="146"/>
      <c r="ERN240" s="146"/>
      <c r="ERO240" s="146"/>
      <c r="ERP240" s="146"/>
      <c r="ERQ240" s="146"/>
      <c r="ERR240" s="146"/>
      <c r="ERS240" s="146"/>
      <c r="ERT240" s="146"/>
      <c r="ERU240" s="146"/>
      <c r="ERV240" s="146"/>
      <c r="ERW240" s="146"/>
      <c r="ERX240" s="146"/>
      <c r="ERY240" s="146"/>
      <c r="ERZ240" s="146"/>
      <c r="ESA240" s="146"/>
      <c r="ESB240" s="146"/>
      <c r="ESC240" s="146"/>
      <c r="ESD240" s="146"/>
      <c r="ESE240" s="146"/>
      <c r="ESF240" s="146"/>
      <c r="ESG240" s="146"/>
      <c r="ESH240" s="146"/>
      <c r="ESI240" s="146"/>
      <c r="ESJ240" s="146"/>
      <c r="ESK240" s="146"/>
      <c r="ESL240" s="146"/>
      <c r="ESM240" s="146"/>
      <c r="ESN240" s="146"/>
      <c r="ESO240" s="146"/>
      <c r="ESP240" s="146"/>
      <c r="ESQ240" s="146"/>
      <c r="ESR240" s="146"/>
      <c r="ESS240" s="146"/>
      <c r="EST240" s="146"/>
      <c r="ESU240" s="146"/>
      <c r="ESV240" s="146"/>
      <c r="ESW240" s="146"/>
      <c r="ESX240" s="146"/>
      <c r="ESY240" s="146"/>
      <c r="ESZ240" s="146"/>
      <c r="ETA240" s="146"/>
      <c r="ETB240" s="146"/>
      <c r="ETC240" s="146"/>
      <c r="ETD240" s="146"/>
      <c r="ETE240" s="146"/>
      <c r="ETF240" s="146"/>
      <c r="ETG240" s="146"/>
      <c r="ETH240" s="146"/>
      <c r="ETI240" s="146"/>
      <c r="ETJ240" s="146"/>
      <c r="ETK240" s="146"/>
      <c r="ETL240" s="146"/>
      <c r="ETM240" s="146"/>
      <c r="ETN240" s="146"/>
      <c r="ETO240" s="146"/>
      <c r="ETP240" s="146"/>
      <c r="ETQ240" s="146"/>
      <c r="ETR240" s="146"/>
      <c r="ETS240" s="146"/>
      <c r="ETT240" s="146"/>
      <c r="ETU240" s="146"/>
      <c r="ETV240" s="146"/>
      <c r="ETW240" s="146"/>
      <c r="ETX240" s="146"/>
      <c r="ETY240" s="146"/>
      <c r="ETZ240" s="146"/>
      <c r="EUA240" s="146"/>
      <c r="EUB240" s="146"/>
      <c r="EUC240" s="146"/>
      <c r="EUD240" s="146"/>
      <c r="EUE240" s="146"/>
      <c r="EUF240" s="146"/>
      <c r="EUG240" s="146"/>
      <c r="EUH240" s="146"/>
      <c r="EUI240" s="146"/>
      <c r="EUJ240" s="146"/>
      <c r="EUK240" s="146"/>
      <c r="EUL240" s="146"/>
      <c r="EUM240" s="146"/>
      <c r="EUN240" s="146"/>
      <c r="EUO240" s="146"/>
      <c r="EUP240" s="146"/>
      <c r="EUQ240" s="146"/>
      <c r="EUR240" s="146"/>
      <c r="EUS240" s="146"/>
      <c r="EUT240" s="146"/>
      <c r="EUU240" s="146"/>
      <c r="EUV240" s="146"/>
      <c r="EUW240" s="146"/>
      <c r="EUX240" s="146"/>
      <c r="EUY240" s="146"/>
      <c r="EUZ240" s="146"/>
      <c r="EVA240" s="146"/>
      <c r="EVB240" s="146"/>
      <c r="EVC240" s="146"/>
      <c r="EVD240" s="146"/>
      <c r="EVE240" s="146"/>
      <c r="EVF240" s="146"/>
      <c r="EVG240" s="146"/>
      <c r="EVH240" s="146"/>
      <c r="EVI240" s="146"/>
      <c r="EVJ240" s="146"/>
      <c r="EVK240" s="146"/>
      <c r="EVL240" s="146"/>
      <c r="EVM240" s="146"/>
      <c r="EVN240" s="146"/>
      <c r="EVO240" s="146"/>
      <c r="EVP240" s="146"/>
      <c r="EVQ240" s="146"/>
      <c r="EVR240" s="146"/>
      <c r="EVS240" s="146"/>
      <c r="EVT240" s="146"/>
      <c r="EVU240" s="146"/>
      <c r="EVV240" s="146"/>
      <c r="EVW240" s="146"/>
      <c r="EVX240" s="146"/>
      <c r="EVY240" s="146"/>
      <c r="EVZ240" s="146"/>
      <c r="EWA240" s="146"/>
      <c r="EWB240" s="146"/>
      <c r="EWC240" s="146"/>
      <c r="EWD240" s="146"/>
      <c r="EWE240" s="146"/>
      <c r="EWF240" s="146"/>
      <c r="EWG240" s="146"/>
      <c r="EWH240" s="146"/>
      <c r="EWI240" s="146"/>
      <c r="EWJ240" s="146"/>
      <c r="EWK240" s="146"/>
      <c r="EWL240" s="146"/>
      <c r="EWM240" s="146"/>
      <c r="EWN240" s="146"/>
      <c r="EWO240" s="146"/>
      <c r="EWP240" s="146"/>
      <c r="EWQ240" s="146"/>
      <c r="EWR240" s="146"/>
      <c r="EWS240" s="146"/>
      <c r="EWT240" s="146"/>
      <c r="EWU240" s="146"/>
      <c r="EWV240" s="146"/>
      <c r="EWW240" s="146"/>
      <c r="EWX240" s="146"/>
      <c r="EWY240" s="146"/>
      <c r="EWZ240" s="146"/>
      <c r="EXA240" s="146"/>
      <c r="EXB240" s="146"/>
      <c r="EXC240" s="146"/>
      <c r="EXD240" s="146"/>
      <c r="EXE240" s="146"/>
      <c r="EXF240" s="146"/>
      <c r="EXG240" s="146"/>
      <c r="EXH240" s="146"/>
      <c r="EXI240" s="146"/>
      <c r="EXJ240" s="146"/>
      <c r="EXK240" s="146"/>
      <c r="EXL240" s="146"/>
      <c r="EXM240" s="146"/>
      <c r="EXN240" s="146"/>
      <c r="EXO240" s="146"/>
      <c r="EXP240" s="146"/>
      <c r="EXQ240" s="146"/>
      <c r="EXR240" s="146"/>
      <c r="EXS240" s="146"/>
      <c r="EXT240" s="146"/>
      <c r="EXU240" s="146"/>
      <c r="EXV240" s="146"/>
      <c r="EXW240" s="146"/>
      <c r="EXX240" s="146"/>
      <c r="EXY240" s="146"/>
      <c r="EXZ240" s="146"/>
      <c r="EYA240" s="146"/>
      <c r="EYB240" s="146"/>
      <c r="EYC240" s="146"/>
      <c r="EYD240" s="146"/>
      <c r="EYE240" s="146"/>
      <c r="EYF240" s="146"/>
      <c r="EYG240" s="146"/>
      <c r="EYH240" s="146"/>
      <c r="EYI240" s="146"/>
      <c r="EYJ240" s="146"/>
      <c r="EYK240" s="146"/>
      <c r="EYL240" s="146"/>
      <c r="EYM240" s="146"/>
      <c r="EYN240" s="146"/>
      <c r="EYO240" s="146"/>
      <c r="EYP240" s="146"/>
      <c r="EYQ240" s="146"/>
      <c r="EYR240" s="146"/>
      <c r="EYS240" s="146"/>
      <c r="EYT240" s="146"/>
      <c r="EYU240" s="146"/>
      <c r="EYV240" s="146"/>
      <c r="EYW240" s="146"/>
      <c r="EYX240" s="146"/>
      <c r="EYY240" s="146"/>
      <c r="EYZ240" s="146"/>
      <c r="EZA240" s="146"/>
      <c r="EZB240" s="146"/>
      <c r="EZC240" s="146"/>
      <c r="EZD240" s="146"/>
      <c r="EZE240" s="146"/>
      <c r="EZF240" s="146"/>
      <c r="EZG240" s="146"/>
      <c r="EZH240" s="146"/>
      <c r="EZI240" s="146"/>
      <c r="EZJ240" s="146"/>
      <c r="EZK240" s="146"/>
      <c r="EZL240" s="146"/>
      <c r="EZM240" s="146"/>
      <c r="EZN240" s="146"/>
      <c r="EZO240" s="146"/>
      <c r="EZP240" s="146"/>
      <c r="EZQ240" s="146"/>
      <c r="EZR240" s="146"/>
      <c r="EZS240" s="146"/>
      <c r="EZT240" s="146"/>
      <c r="EZU240" s="146"/>
      <c r="EZV240" s="146"/>
      <c r="EZW240" s="146"/>
      <c r="EZX240" s="146"/>
      <c r="EZY240" s="146"/>
      <c r="EZZ240" s="146"/>
      <c r="FAA240" s="146"/>
      <c r="FAB240" s="146"/>
      <c r="FAC240" s="146"/>
      <c r="FAD240" s="146"/>
      <c r="FAE240" s="146"/>
      <c r="FAF240" s="146"/>
      <c r="FAG240" s="146"/>
      <c r="FAH240" s="146"/>
      <c r="FAI240" s="146"/>
      <c r="FAJ240" s="146"/>
      <c r="FAK240" s="146"/>
      <c r="FAL240" s="146"/>
      <c r="FAM240" s="146"/>
      <c r="FAN240" s="146"/>
      <c r="FAO240" s="146"/>
      <c r="FAP240" s="146"/>
      <c r="FAQ240" s="146"/>
      <c r="FAR240" s="146"/>
      <c r="FAS240" s="146"/>
      <c r="FAT240" s="146"/>
      <c r="FAU240" s="146"/>
      <c r="FAV240" s="146"/>
      <c r="FAW240" s="146"/>
      <c r="FAX240" s="146"/>
      <c r="FAY240" s="146"/>
      <c r="FAZ240" s="146"/>
      <c r="FBA240" s="146"/>
      <c r="FBB240" s="146"/>
      <c r="FBC240" s="146"/>
      <c r="FBD240" s="146"/>
      <c r="FBE240" s="146"/>
      <c r="FBF240" s="146"/>
      <c r="FBG240" s="146"/>
      <c r="FBH240" s="146"/>
      <c r="FBI240" s="146"/>
      <c r="FBJ240" s="146"/>
      <c r="FBK240" s="146"/>
      <c r="FBL240" s="146"/>
      <c r="FBM240" s="146"/>
      <c r="FBN240" s="146"/>
      <c r="FBO240" s="146"/>
      <c r="FBP240" s="146"/>
      <c r="FBQ240" s="146"/>
      <c r="FBR240" s="146"/>
      <c r="FBS240" s="146"/>
      <c r="FBT240" s="146"/>
      <c r="FBU240" s="146"/>
      <c r="FBV240" s="146"/>
      <c r="FBW240" s="146"/>
      <c r="FBX240" s="146"/>
      <c r="FBY240" s="146"/>
      <c r="FBZ240" s="146"/>
      <c r="FCA240" s="146"/>
      <c r="FCB240" s="146"/>
      <c r="FCC240" s="146"/>
      <c r="FCD240" s="146"/>
      <c r="FCE240" s="146"/>
      <c r="FCF240" s="146"/>
      <c r="FCG240" s="146"/>
      <c r="FCH240" s="146"/>
      <c r="FCI240" s="146"/>
      <c r="FCJ240" s="146"/>
      <c r="FCK240" s="146"/>
      <c r="FCL240" s="146"/>
      <c r="FCM240" s="146"/>
      <c r="FCN240" s="146"/>
      <c r="FCO240" s="146"/>
      <c r="FCP240" s="146"/>
      <c r="FCQ240" s="146"/>
      <c r="FCR240" s="146"/>
      <c r="FCS240" s="146"/>
      <c r="FCT240" s="146"/>
      <c r="FCU240" s="146"/>
      <c r="FCV240" s="146"/>
      <c r="FCW240" s="146"/>
      <c r="FCX240" s="146"/>
      <c r="FCY240" s="146"/>
      <c r="FCZ240" s="146"/>
      <c r="FDA240" s="146"/>
      <c r="FDB240" s="146"/>
      <c r="FDC240" s="146"/>
      <c r="FDD240" s="146"/>
      <c r="FDE240" s="146"/>
      <c r="FDF240" s="146"/>
      <c r="FDG240" s="146"/>
      <c r="FDH240" s="146"/>
      <c r="FDI240" s="146"/>
      <c r="FDJ240" s="146"/>
      <c r="FDK240" s="146"/>
      <c r="FDL240" s="146"/>
      <c r="FDM240" s="146"/>
      <c r="FDN240" s="146"/>
      <c r="FDO240" s="146"/>
      <c r="FDP240" s="146"/>
      <c r="FDQ240" s="146"/>
      <c r="FDR240" s="146"/>
      <c r="FDS240" s="146"/>
      <c r="FDT240" s="146"/>
      <c r="FDU240" s="146"/>
      <c r="FDV240" s="146"/>
      <c r="FDW240" s="146"/>
      <c r="FDX240" s="146"/>
      <c r="FDY240" s="146"/>
      <c r="FDZ240" s="146"/>
      <c r="FEA240" s="146"/>
      <c r="FEB240" s="146"/>
      <c r="FEC240" s="146"/>
      <c r="FED240" s="146"/>
      <c r="FEE240" s="146"/>
      <c r="FEF240" s="146"/>
      <c r="FEG240" s="146"/>
      <c r="FEH240" s="146"/>
      <c r="FEI240" s="146"/>
      <c r="FEJ240" s="146"/>
      <c r="FEK240" s="146"/>
      <c r="FEL240" s="146"/>
      <c r="FEM240" s="146"/>
      <c r="FEN240" s="146"/>
      <c r="FEO240" s="146"/>
      <c r="FEP240" s="146"/>
      <c r="FEQ240" s="146"/>
      <c r="FER240" s="146"/>
      <c r="FES240" s="146"/>
      <c r="FET240" s="146"/>
      <c r="FEU240" s="146"/>
      <c r="FEV240" s="146"/>
      <c r="FEW240" s="146"/>
      <c r="FEX240" s="146"/>
      <c r="FEY240" s="146"/>
      <c r="FEZ240" s="146"/>
      <c r="FFA240" s="146"/>
      <c r="FFB240" s="146"/>
      <c r="FFC240" s="146"/>
      <c r="FFD240" s="146"/>
      <c r="FFE240" s="146"/>
      <c r="FFF240" s="146"/>
      <c r="FFG240" s="146"/>
      <c r="FFH240" s="146"/>
      <c r="FFI240" s="146"/>
      <c r="FFJ240" s="146"/>
      <c r="FFK240" s="146"/>
      <c r="FFL240" s="146"/>
      <c r="FFM240" s="146"/>
      <c r="FFN240" s="146"/>
      <c r="FFO240" s="146"/>
      <c r="FFP240" s="146"/>
      <c r="FFQ240" s="146"/>
      <c r="FFR240" s="146"/>
      <c r="FFS240" s="146"/>
      <c r="FFT240" s="146"/>
      <c r="FFU240" s="146"/>
      <c r="FFV240" s="146"/>
      <c r="FFW240" s="146"/>
      <c r="FFX240" s="146"/>
      <c r="FFY240" s="146"/>
      <c r="FFZ240" s="146"/>
      <c r="FGA240" s="146"/>
      <c r="FGB240" s="146"/>
      <c r="FGC240" s="146"/>
      <c r="FGD240" s="146"/>
      <c r="FGE240" s="146"/>
      <c r="FGF240" s="146"/>
      <c r="FGG240" s="146"/>
      <c r="FGH240" s="146"/>
      <c r="FGI240" s="146"/>
      <c r="FGJ240" s="146"/>
      <c r="FGK240" s="146"/>
      <c r="FGL240" s="146"/>
      <c r="FGM240" s="146"/>
      <c r="FGN240" s="146"/>
      <c r="FGO240" s="146"/>
      <c r="FGP240" s="146"/>
      <c r="FGQ240" s="146"/>
      <c r="FGR240" s="146"/>
      <c r="FGS240" s="146"/>
      <c r="FGT240" s="146"/>
      <c r="FGU240" s="146"/>
      <c r="FGV240" s="146"/>
      <c r="FGW240" s="146"/>
      <c r="FGX240" s="146"/>
      <c r="FGY240" s="146"/>
      <c r="FGZ240" s="146"/>
      <c r="FHA240" s="146"/>
      <c r="FHB240" s="146"/>
      <c r="FHC240" s="146"/>
      <c r="FHD240" s="146"/>
      <c r="FHE240" s="146"/>
      <c r="FHF240" s="146"/>
      <c r="FHG240" s="146"/>
      <c r="FHH240" s="146"/>
      <c r="FHI240" s="146"/>
      <c r="FHJ240" s="146"/>
      <c r="FHK240" s="146"/>
      <c r="FHL240" s="146"/>
      <c r="FHM240" s="146"/>
      <c r="FHN240" s="146"/>
      <c r="FHO240" s="146"/>
      <c r="FHP240" s="146"/>
      <c r="FHQ240" s="146"/>
      <c r="FHR240" s="146"/>
      <c r="FHS240" s="146"/>
      <c r="FHT240" s="146"/>
      <c r="FHU240" s="146"/>
      <c r="FHV240" s="146"/>
      <c r="FHW240" s="146"/>
      <c r="FHX240" s="146"/>
      <c r="FHY240" s="146"/>
      <c r="FHZ240" s="146"/>
      <c r="FIA240" s="146"/>
      <c r="FIB240" s="146"/>
      <c r="FIC240" s="146"/>
      <c r="FID240" s="146"/>
      <c r="FIE240" s="146"/>
      <c r="FIF240" s="146"/>
      <c r="FIG240" s="146"/>
      <c r="FIH240" s="146"/>
      <c r="FII240" s="146"/>
      <c r="FIJ240" s="146"/>
      <c r="FIK240" s="146"/>
      <c r="FIL240" s="146"/>
      <c r="FIM240" s="146"/>
      <c r="FIN240" s="146"/>
      <c r="FIO240" s="146"/>
      <c r="FIP240" s="146"/>
      <c r="FIQ240" s="146"/>
      <c r="FIR240" s="146"/>
      <c r="FIS240" s="146"/>
      <c r="FIT240" s="146"/>
      <c r="FIU240" s="146"/>
      <c r="FIV240" s="146"/>
      <c r="FIW240" s="146"/>
      <c r="FIX240" s="146"/>
      <c r="FIY240" s="146"/>
      <c r="FIZ240" s="146"/>
      <c r="FJA240" s="146"/>
      <c r="FJB240" s="146"/>
      <c r="FJC240" s="146"/>
      <c r="FJD240" s="146"/>
      <c r="FJE240" s="146"/>
      <c r="FJF240" s="146"/>
      <c r="FJG240" s="146"/>
      <c r="FJH240" s="146"/>
      <c r="FJI240" s="146"/>
      <c r="FJJ240" s="146"/>
      <c r="FJK240" s="146"/>
      <c r="FJL240" s="146"/>
      <c r="FJM240" s="146"/>
      <c r="FJN240" s="146"/>
      <c r="FJO240" s="146"/>
      <c r="FJP240" s="146"/>
      <c r="FJQ240" s="146"/>
      <c r="FJR240" s="146"/>
      <c r="FJS240" s="146"/>
      <c r="FJT240" s="146"/>
      <c r="FJU240" s="146"/>
      <c r="FJV240" s="146"/>
      <c r="FJW240" s="146"/>
      <c r="FJX240" s="146"/>
      <c r="FJY240" s="146"/>
      <c r="FJZ240" s="146"/>
      <c r="FKA240" s="146"/>
      <c r="FKB240" s="146"/>
      <c r="FKC240" s="146"/>
      <c r="FKD240" s="146"/>
      <c r="FKE240" s="146"/>
      <c r="FKF240" s="146"/>
      <c r="FKG240" s="146"/>
      <c r="FKH240" s="146"/>
      <c r="FKI240" s="146"/>
      <c r="FKJ240" s="146"/>
      <c r="FKK240" s="146"/>
      <c r="FKL240" s="146"/>
      <c r="FKM240" s="146"/>
      <c r="FKN240" s="146"/>
      <c r="FKO240" s="146"/>
      <c r="FKP240" s="146"/>
      <c r="FKQ240" s="146"/>
      <c r="FKR240" s="146"/>
      <c r="FKS240" s="146"/>
      <c r="FKT240" s="146"/>
      <c r="FKU240" s="146"/>
      <c r="FKV240" s="146"/>
      <c r="FKW240" s="146"/>
      <c r="FKX240" s="146"/>
      <c r="FKY240" s="146"/>
      <c r="FKZ240" s="146"/>
      <c r="FLA240" s="146"/>
      <c r="FLB240" s="146"/>
      <c r="FLC240" s="146"/>
      <c r="FLD240" s="146"/>
      <c r="FLE240" s="146"/>
      <c r="FLF240" s="146"/>
      <c r="FLG240" s="146"/>
      <c r="FLH240" s="146"/>
      <c r="FLI240" s="146"/>
      <c r="FLJ240" s="146"/>
      <c r="FLK240" s="146"/>
      <c r="FLL240" s="146"/>
      <c r="FLM240" s="146"/>
      <c r="FLN240" s="146"/>
      <c r="FLO240" s="146"/>
      <c r="FLP240" s="146"/>
      <c r="FLQ240" s="146"/>
      <c r="FLR240" s="146"/>
      <c r="FLS240" s="146"/>
      <c r="FLT240" s="146"/>
      <c r="FLU240" s="146"/>
      <c r="FLV240" s="146"/>
      <c r="FLW240" s="146"/>
      <c r="FLX240" s="146"/>
      <c r="FLY240" s="146"/>
      <c r="FLZ240" s="146"/>
      <c r="FMA240" s="146"/>
      <c r="FMB240" s="146"/>
      <c r="FMC240" s="146"/>
      <c r="FMD240" s="146"/>
      <c r="FME240" s="146"/>
      <c r="FMF240" s="146"/>
      <c r="FMG240" s="146"/>
      <c r="FMH240" s="146"/>
      <c r="FMI240" s="146"/>
      <c r="FMJ240" s="146"/>
      <c r="FMK240" s="146"/>
      <c r="FML240" s="146"/>
      <c r="FMM240" s="146"/>
      <c r="FMN240" s="146"/>
      <c r="FMO240" s="146"/>
      <c r="FMP240" s="146"/>
      <c r="FMQ240" s="146"/>
      <c r="FMR240" s="146"/>
      <c r="FMS240" s="146"/>
      <c r="FMT240" s="146"/>
      <c r="FMU240" s="146"/>
      <c r="FMV240" s="146"/>
      <c r="FMW240" s="146"/>
      <c r="FMX240" s="146"/>
      <c r="FMY240" s="146"/>
      <c r="FMZ240" s="146"/>
      <c r="FNA240" s="146"/>
      <c r="FNB240" s="146"/>
      <c r="FNC240" s="146"/>
      <c r="FND240" s="146"/>
      <c r="FNE240" s="146"/>
      <c r="FNF240" s="146"/>
      <c r="FNG240" s="146"/>
      <c r="FNH240" s="146"/>
      <c r="FNI240" s="146"/>
      <c r="FNJ240" s="146"/>
      <c r="FNK240" s="146"/>
      <c r="FNL240" s="146"/>
      <c r="FNM240" s="146"/>
      <c r="FNN240" s="146"/>
      <c r="FNO240" s="146"/>
      <c r="FNP240" s="146"/>
      <c r="FNQ240" s="146"/>
      <c r="FNR240" s="146"/>
      <c r="FNS240" s="146"/>
      <c r="FNT240" s="146"/>
      <c r="FNU240" s="146"/>
      <c r="FNV240" s="146"/>
      <c r="FNW240" s="146"/>
      <c r="FNX240" s="146"/>
      <c r="FNY240" s="146"/>
      <c r="FNZ240" s="146"/>
      <c r="FOA240" s="146"/>
      <c r="FOB240" s="146"/>
      <c r="FOC240" s="146"/>
      <c r="FOD240" s="146"/>
      <c r="FOE240" s="146"/>
      <c r="FOF240" s="146"/>
      <c r="FOG240" s="146"/>
      <c r="FOH240" s="146"/>
      <c r="FOI240" s="146"/>
      <c r="FOJ240" s="146"/>
      <c r="FOK240" s="146"/>
      <c r="FOL240" s="146"/>
      <c r="FOM240" s="146"/>
      <c r="FON240" s="146"/>
      <c r="FOO240" s="146"/>
      <c r="FOP240" s="146"/>
      <c r="FOQ240" s="146"/>
      <c r="FOR240" s="146"/>
      <c r="FOS240" s="146"/>
      <c r="FOT240" s="146"/>
      <c r="FOU240" s="146"/>
      <c r="FOV240" s="146"/>
      <c r="FOW240" s="146"/>
      <c r="FOX240" s="146"/>
      <c r="FOY240" s="146"/>
      <c r="FOZ240" s="146"/>
      <c r="FPA240" s="146"/>
      <c r="FPB240" s="146"/>
      <c r="FPC240" s="146"/>
      <c r="FPD240" s="146"/>
      <c r="FPE240" s="146"/>
      <c r="FPF240" s="146"/>
      <c r="FPG240" s="146"/>
      <c r="FPH240" s="146"/>
      <c r="FPI240" s="146"/>
      <c r="FPJ240" s="146"/>
      <c r="FPK240" s="146"/>
      <c r="FPL240" s="146"/>
      <c r="FPM240" s="146"/>
      <c r="FPN240" s="146"/>
      <c r="FPO240" s="146"/>
      <c r="FPP240" s="146"/>
      <c r="FPQ240" s="146"/>
      <c r="FPR240" s="146"/>
      <c r="FPS240" s="146"/>
      <c r="FPT240" s="146"/>
      <c r="FPU240" s="146"/>
      <c r="FPV240" s="146"/>
      <c r="FPW240" s="146"/>
      <c r="FPX240" s="146"/>
      <c r="FPY240" s="146"/>
      <c r="FPZ240" s="146"/>
      <c r="FQA240" s="146"/>
      <c r="FQB240" s="146"/>
      <c r="FQC240" s="146"/>
      <c r="FQD240" s="146"/>
      <c r="FQE240" s="146"/>
      <c r="FQF240" s="146"/>
      <c r="FQG240" s="146"/>
      <c r="FQH240" s="146"/>
      <c r="FQI240" s="146"/>
      <c r="FQJ240" s="146"/>
      <c r="FQK240" s="146"/>
      <c r="FQL240" s="146"/>
      <c r="FQM240" s="146"/>
      <c r="FQN240" s="146"/>
      <c r="FQO240" s="146"/>
      <c r="FQP240" s="146"/>
      <c r="FQQ240" s="146"/>
      <c r="FQR240" s="146"/>
      <c r="FQS240" s="146"/>
      <c r="FQT240" s="146"/>
      <c r="FQU240" s="146"/>
      <c r="FQV240" s="146"/>
      <c r="FQW240" s="146"/>
      <c r="FQX240" s="146"/>
      <c r="FQY240" s="146"/>
      <c r="FQZ240" s="146"/>
      <c r="FRA240" s="146"/>
      <c r="FRB240" s="146"/>
      <c r="FRC240" s="146"/>
      <c r="FRD240" s="146"/>
      <c r="FRE240" s="146"/>
      <c r="FRF240" s="146"/>
      <c r="FRG240" s="146"/>
      <c r="FRH240" s="146"/>
      <c r="FRI240" s="146"/>
      <c r="FRJ240" s="146"/>
      <c r="FRK240" s="146"/>
      <c r="FRL240" s="146"/>
      <c r="FRM240" s="146"/>
      <c r="FRN240" s="146"/>
      <c r="FRO240" s="146"/>
      <c r="FRP240" s="146"/>
      <c r="FRQ240" s="146"/>
      <c r="FRR240" s="146"/>
      <c r="FRS240" s="146"/>
      <c r="FRT240" s="146"/>
      <c r="FRU240" s="146"/>
      <c r="FRV240" s="146"/>
      <c r="FRW240" s="146"/>
      <c r="FRX240" s="146"/>
      <c r="FRY240" s="146"/>
      <c r="FRZ240" s="146"/>
      <c r="FSA240" s="146"/>
      <c r="FSB240" s="146"/>
      <c r="FSC240" s="146"/>
      <c r="FSD240" s="146"/>
      <c r="FSE240" s="146"/>
      <c r="FSF240" s="146"/>
      <c r="FSG240" s="146"/>
      <c r="FSH240" s="146"/>
      <c r="FSI240" s="146"/>
      <c r="FSJ240" s="146"/>
      <c r="FSK240" s="146"/>
      <c r="FSL240" s="146"/>
      <c r="FSM240" s="146"/>
      <c r="FSN240" s="146"/>
      <c r="FSO240" s="146"/>
      <c r="FSP240" s="146"/>
      <c r="FSQ240" s="146"/>
      <c r="FSR240" s="146"/>
      <c r="FSS240" s="146"/>
      <c r="FST240" s="146"/>
      <c r="FSU240" s="146"/>
      <c r="FSV240" s="146"/>
      <c r="FSW240" s="146"/>
      <c r="FSX240" s="146"/>
      <c r="FSY240" s="146"/>
      <c r="FSZ240" s="146"/>
      <c r="FTA240" s="146"/>
      <c r="FTB240" s="146"/>
      <c r="FTC240" s="146"/>
      <c r="FTD240" s="146"/>
      <c r="FTE240" s="146"/>
      <c r="FTF240" s="146"/>
      <c r="FTG240" s="146"/>
      <c r="FTH240" s="146"/>
      <c r="FTI240" s="146"/>
      <c r="FTJ240" s="146"/>
      <c r="FTK240" s="146"/>
      <c r="FTL240" s="146"/>
      <c r="FTM240" s="146"/>
      <c r="FTN240" s="146"/>
      <c r="FTO240" s="146"/>
      <c r="FTP240" s="146"/>
      <c r="FTQ240" s="146"/>
      <c r="FTR240" s="146"/>
      <c r="FTS240" s="146"/>
      <c r="FTT240" s="146"/>
      <c r="FTU240" s="146"/>
      <c r="FTV240" s="146"/>
      <c r="FTW240" s="146"/>
      <c r="FTX240" s="146"/>
      <c r="FTY240" s="146"/>
      <c r="FTZ240" s="146"/>
      <c r="FUA240" s="146"/>
      <c r="FUB240" s="146"/>
      <c r="FUC240" s="146"/>
      <c r="FUD240" s="146"/>
      <c r="FUE240" s="146"/>
      <c r="FUF240" s="146"/>
      <c r="FUG240" s="146"/>
      <c r="FUH240" s="146"/>
      <c r="FUI240" s="146"/>
      <c r="FUJ240" s="146"/>
      <c r="FUK240" s="146"/>
      <c r="FUL240" s="146"/>
      <c r="FUM240" s="146"/>
      <c r="FUN240" s="146"/>
      <c r="FUO240" s="146"/>
      <c r="FUP240" s="146"/>
      <c r="FUQ240" s="146"/>
      <c r="FUR240" s="146"/>
      <c r="FUS240" s="146"/>
      <c r="FUT240" s="146"/>
      <c r="FUU240" s="146"/>
      <c r="FUV240" s="146"/>
      <c r="FUW240" s="146"/>
      <c r="FUX240" s="146"/>
      <c r="FUY240" s="146"/>
      <c r="FUZ240" s="146"/>
      <c r="FVA240" s="146"/>
      <c r="FVB240" s="146"/>
      <c r="FVC240" s="146"/>
      <c r="FVD240" s="146"/>
      <c r="FVE240" s="146"/>
      <c r="FVF240" s="146"/>
      <c r="FVG240" s="146"/>
      <c r="FVH240" s="146"/>
      <c r="FVI240" s="146"/>
      <c r="FVJ240" s="146"/>
      <c r="FVK240" s="146"/>
      <c r="FVL240" s="146"/>
      <c r="FVM240" s="146"/>
      <c r="FVN240" s="146"/>
      <c r="FVO240" s="146"/>
      <c r="FVP240" s="146"/>
      <c r="FVQ240" s="146"/>
      <c r="FVR240" s="146"/>
      <c r="FVS240" s="146"/>
      <c r="FVT240" s="146"/>
      <c r="FVU240" s="146"/>
      <c r="FVV240" s="146"/>
      <c r="FVW240" s="146"/>
      <c r="FVX240" s="146"/>
      <c r="FVY240" s="146"/>
      <c r="FVZ240" s="146"/>
      <c r="FWA240" s="146"/>
      <c r="FWB240" s="146"/>
      <c r="FWC240" s="146"/>
      <c r="FWD240" s="146"/>
      <c r="FWE240" s="146"/>
      <c r="FWF240" s="146"/>
      <c r="FWG240" s="146"/>
      <c r="FWH240" s="146"/>
      <c r="FWI240" s="146"/>
      <c r="FWJ240" s="146"/>
      <c r="FWK240" s="146"/>
      <c r="FWL240" s="146"/>
      <c r="FWM240" s="146"/>
      <c r="FWN240" s="146"/>
      <c r="FWO240" s="146"/>
      <c r="FWP240" s="146"/>
      <c r="FWQ240" s="146"/>
      <c r="FWR240" s="146"/>
      <c r="FWS240" s="146"/>
      <c r="FWT240" s="146"/>
      <c r="FWU240" s="146"/>
      <c r="FWV240" s="146"/>
      <c r="FWW240" s="146"/>
      <c r="FWX240" s="146"/>
      <c r="FWY240" s="146"/>
      <c r="FWZ240" s="146"/>
      <c r="FXA240" s="146"/>
      <c r="FXB240" s="146"/>
      <c r="FXC240" s="146"/>
      <c r="FXD240" s="146"/>
      <c r="FXE240" s="146"/>
      <c r="FXF240" s="146"/>
      <c r="FXG240" s="146"/>
      <c r="FXH240" s="146"/>
      <c r="FXI240" s="146"/>
      <c r="FXJ240" s="146"/>
      <c r="FXK240" s="146"/>
      <c r="FXL240" s="146"/>
      <c r="FXM240" s="146"/>
      <c r="FXN240" s="146"/>
      <c r="FXO240" s="146"/>
      <c r="FXP240" s="146"/>
      <c r="FXQ240" s="146"/>
      <c r="FXR240" s="146"/>
      <c r="FXS240" s="146"/>
      <c r="FXT240" s="146"/>
      <c r="FXU240" s="146"/>
      <c r="FXV240" s="146"/>
      <c r="FXW240" s="146"/>
      <c r="FXX240" s="146"/>
      <c r="FXY240" s="146"/>
      <c r="FXZ240" s="146"/>
      <c r="FYA240" s="146"/>
      <c r="FYB240" s="146"/>
      <c r="FYC240" s="146"/>
      <c r="FYD240" s="146"/>
      <c r="FYE240" s="146"/>
      <c r="FYF240" s="146"/>
      <c r="FYG240" s="146"/>
      <c r="FYH240" s="146"/>
      <c r="FYI240" s="146"/>
      <c r="FYJ240" s="146"/>
      <c r="FYK240" s="146"/>
      <c r="FYL240" s="146"/>
      <c r="FYM240" s="146"/>
      <c r="FYN240" s="146"/>
      <c r="FYO240" s="146"/>
      <c r="FYP240" s="146"/>
      <c r="FYQ240" s="146"/>
      <c r="FYR240" s="146"/>
      <c r="FYS240" s="146"/>
      <c r="FYT240" s="146"/>
      <c r="FYU240" s="146"/>
      <c r="FYV240" s="146"/>
      <c r="FYW240" s="146"/>
      <c r="FYX240" s="146"/>
      <c r="FYY240" s="146"/>
      <c r="FYZ240" s="146"/>
      <c r="FZA240" s="146"/>
      <c r="FZB240" s="146"/>
      <c r="FZC240" s="146"/>
      <c r="FZD240" s="146"/>
      <c r="FZE240" s="146"/>
      <c r="FZF240" s="146"/>
      <c r="FZG240" s="146"/>
      <c r="FZH240" s="146"/>
      <c r="FZI240" s="146"/>
      <c r="FZJ240" s="146"/>
      <c r="FZK240" s="146"/>
      <c r="FZL240" s="146"/>
      <c r="FZM240" s="146"/>
      <c r="FZN240" s="146"/>
      <c r="FZO240" s="146"/>
      <c r="FZP240" s="146"/>
      <c r="FZQ240" s="146"/>
      <c r="FZR240" s="146"/>
      <c r="FZS240" s="146"/>
      <c r="FZT240" s="146"/>
      <c r="FZU240" s="146"/>
      <c r="FZV240" s="146"/>
      <c r="FZW240" s="146"/>
      <c r="FZX240" s="146"/>
      <c r="FZY240" s="146"/>
      <c r="FZZ240" s="146"/>
      <c r="GAA240" s="146"/>
      <c r="GAB240" s="146"/>
      <c r="GAC240" s="146"/>
      <c r="GAD240" s="146"/>
      <c r="GAE240" s="146"/>
      <c r="GAF240" s="146"/>
      <c r="GAG240" s="146"/>
      <c r="GAH240" s="146"/>
      <c r="GAI240" s="146"/>
      <c r="GAJ240" s="146"/>
      <c r="GAK240" s="146"/>
      <c r="GAL240" s="146"/>
      <c r="GAM240" s="146"/>
      <c r="GAN240" s="146"/>
      <c r="GAO240" s="146"/>
      <c r="GAP240" s="146"/>
      <c r="GAQ240" s="146"/>
      <c r="GAR240" s="146"/>
      <c r="GAS240" s="146"/>
      <c r="GAT240" s="146"/>
      <c r="GAU240" s="146"/>
      <c r="GAV240" s="146"/>
      <c r="GAW240" s="146"/>
      <c r="GAX240" s="146"/>
      <c r="GAY240" s="146"/>
      <c r="GAZ240" s="146"/>
      <c r="GBA240" s="146"/>
      <c r="GBB240" s="146"/>
      <c r="GBC240" s="146"/>
      <c r="GBD240" s="146"/>
      <c r="GBE240" s="146"/>
      <c r="GBF240" s="146"/>
      <c r="GBG240" s="146"/>
      <c r="GBH240" s="146"/>
      <c r="GBI240" s="146"/>
      <c r="GBJ240" s="146"/>
      <c r="GBK240" s="146"/>
      <c r="GBL240" s="146"/>
      <c r="GBM240" s="146"/>
      <c r="GBN240" s="146"/>
      <c r="GBO240" s="146"/>
      <c r="GBP240" s="146"/>
      <c r="GBQ240" s="146"/>
      <c r="GBR240" s="146"/>
      <c r="GBS240" s="146"/>
      <c r="GBT240" s="146"/>
      <c r="GBU240" s="146"/>
      <c r="GBV240" s="146"/>
      <c r="GBW240" s="146"/>
      <c r="GBX240" s="146"/>
      <c r="GBY240" s="146"/>
      <c r="GBZ240" s="146"/>
      <c r="GCA240" s="146"/>
      <c r="GCB240" s="146"/>
      <c r="GCC240" s="146"/>
      <c r="GCD240" s="146"/>
      <c r="GCE240" s="146"/>
      <c r="GCF240" s="146"/>
      <c r="GCG240" s="146"/>
      <c r="GCH240" s="146"/>
      <c r="GCI240" s="146"/>
      <c r="GCJ240" s="146"/>
      <c r="GCK240" s="146"/>
      <c r="GCL240" s="146"/>
      <c r="GCM240" s="146"/>
      <c r="GCN240" s="146"/>
      <c r="GCO240" s="146"/>
      <c r="GCP240" s="146"/>
      <c r="GCQ240" s="146"/>
      <c r="GCR240" s="146"/>
      <c r="GCS240" s="146"/>
      <c r="GCT240" s="146"/>
      <c r="GCU240" s="146"/>
      <c r="GCV240" s="146"/>
      <c r="GCW240" s="146"/>
      <c r="GCX240" s="146"/>
      <c r="GCY240" s="146"/>
      <c r="GCZ240" s="146"/>
      <c r="GDA240" s="146"/>
      <c r="GDB240" s="146"/>
      <c r="GDC240" s="146"/>
      <c r="GDD240" s="146"/>
      <c r="GDE240" s="146"/>
      <c r="GDF240" s="146"/>
      <c r="GDG240" s="146"/>
      <c r="GDH240" s="146"/>
      <c r="GDI240" s="146"/>
      <c r="GDJ240" s="146"/>
      <c r="GDK240" s="146"/>
      <c r="GDL240" s="146"/>
      <c r="GDM240" s="146"/>
      <c r="GDN240" s="146"/>
      <c r="GDO240" s="146"/>
      <c r="GDP240" s="146"/>
      <c r="GDQ240" s="146"/>
      <c r="GDR240" s="146"/>
      <c r="GDS240" s="146"/>
      <c r="GDT240" s="146"/>
      <c r="GDU240" s="146"/>
      <c r="GDV240" s="146"/>
      <c r="GDW240" s="146"/>
      <c r="GDX240" s="146"/>
      <c r="GDY240" s="146"/>
      <c r="GDZ240" s="146"/>
      <c r="GEA240" s="146"/>
      <c r="GEB240" s="146"/>
      <c r="GEC240" s="146"/>
      <c r="GED240" s="146"/>
      <c r="GEE240" s="146"/>
      <c r="GEF240" s="146"/>
      <c r="GEG240" s="146"/>
      <c r="GEH240" s="146"/>
      <c r="GEI240" s="146"/>
      <c r="GEJ240" s="146"/>
      <c r="GEK240" s="146"/>
      <c r="GEL240" s="146"/>
      <c r="GEM240" s="146"/>
      <c r="GEN240" s="146"/>
      <c r="GEO240" s="146"/>
      <c r="GEP240" s="146"/>
      <c r="GEQ240" s="146"/>
      <c r="GER240" s="146"/>
      <c r="GES240" s="146"/>
      <c r="GET240" s="146"/>
      <c r="GEU240" s="146"/>
      <c r="GEV240" s="146"/>
      <c r="GEW240" s="146"/>
      <c r="GEX240" s="146"/>
      <c r="GEY240" s="146"/>
      <c r="GEZ240" s="146"/>
      <c r="GFA240" s="146"/>
      <c r="GFB240" s="146"/>
      <c r="GFC240" s="146"/>
      <c r="GFD240" s="146"/>
      <c r="GFE240" s="146"/>
      <c r="GFF240" s="146"/>
      <c r="GFG240" s="146"/>
      <c r="GFH240" s="146"/>
      <c r="GFI240" s="146"/>
      <c r="GFJ240" s="146"/>
      <c r="GFK240" s="146"/>
      <c r="GFL240" s="146"/>
      <c r="GFM240" s="146"/>
      <c r="GFN240" s="146"/>
      <c r="GFO240" s="146"/>
      <c r="GFP240" s="146"/>
      <c r="GFQ240" s="146"/>
      <c r="GFR240" s="146"/>
      <c r="GFS240" s="146"/>
      <c r="GFT240" s="146"/>
      <c r="GFU240" s="146"/>
      <c r="GFV240" s="146"/>
      <c r="GFW240" s="146"/>
      <c r="GFX240" s="146"/>
      <c r="GFY240" s="146"/>
      <c r="GFZ240" s="146"/>
      <c r="GGA240" s="146"/>
      <c r="GGB240" s="146"/>
      <c r="GGC240" s="146"/>
      <c r="GGD240" s="146"/>
      <c r="GGE240" s="146"/>
      <c r="GGF240" s="146"/>
      <c r="GGG240" s="146"/>
      <c r="GGH240" s="146"/>
      <c r="GGI240" s="146"/>
      <c r="GGJ240" s="146"/>
      <c r="GGK240" s="146"/>
      <c r="GGL240" s="146"/>
      <c r="GGM240" s="146"/>
      <c r="GGN240" s="146"/>
      <c r="GGO240" s="146"/>
      <c r="GGP240" s="146"/>
      <c r="GGQ240" s="146"/>
      <c r="GGR240" s="146"/>
      <c r="GGS240" s="146"/>
      <c r="GGT240" s="146"/>
      <c r="GGU240" s="146"/>
      <c r="GGV240" s="146"/>
      <c r="GGW240" s="146"/>
      <c r="GGX240" s="146"/>
      <c r="GGY240" s="146"/>
      <c r="GGZ240" s="146"/>
      <c r="GHA240" s="146"/>
      <c r="GHB240" s="146"/>
      <c r="GHC240" s="146"/>
      <c r="GHD240" s="146"/>
      <c r="GHE240" s="146"/>
      <c r="GHF240" s="146"/>
      <c r="GHG240" s="146"/>
      <c r="GHH240" s="146"/>
      <c r="GHI240" s="146"/>
      <c r="GHJ240" s="146"/>
      <c r="GHK240" s="146"/>
      <c r="GHL240" s="146"/>
      <c r="GHM240" s="146"/>
      <c r="GHN240" s="146"/>
      <c r="GHO240" s="146"/>
      <c r="GHP240" s="146"/>
      <c r="GHQ240" s="146"/>
      <c r="GHR240" s="146"/>
      <c r="GHS240" s="146"/>
      <c r="GHT240" s="146"/>
      <c r="GHU240" s="146"/>
      <c r="GHV240" s="146"/>
      <c r="GHW240" s="146"/>
      <c r="GHX240" s="146"/>
      <c r="GHY240" s="146"/>
      <c r="GHZ240" s="146"/>
      <c r="GIA240" s="146"/>
      <c r="GIB240" s="146"/>
      <c r="GIC240" s="146"/>
      <c r="GID240" s="146"/>
      <c r="GIE240" s="146"/>
      <c r="GIF240" s="146"/>
      <c r="GIG240" s="146"/>
      <c r="GIH240" s="146"/>
      <c r="GII240" s="146"/>
      <c r="GIJ240" s="146"/>
      <c r="GIK240" s="146"/>
      <c r="GIL240" s="146"/>
      <c r="GIM240" s="146"/>
      <c r="GIN240" s="146"/>
      <c r="GIO240" s="146"/>
      <c r="GIP240" s="146"/>
      <c r="GIQ240" s="146"/>
      <c r="GIR240" s="146"/>
      <c r="GIS240" s="146"/>
      <c r="GIT240" s="146"/>
      <c r="GIU240" s="146"/>
      <c r="GIV240" s="146"/>
      <c r="GIW240" s="146"/>
      <c r="GIX240" s="146"/>
      <c r="GIY240" s="146"/>
      <c r="GIZ240" s="146"/>
      <c r="GJA240" s="146"/>
      <c r="GJB240" s="146"/>
      <c r="GJC240" s="146"/>
      <c r="GJD240" s="146"/>
      <c r="GJE240" s="146"/>
      <c r="GJF240" s="146"/>
      <c r="GJG240" s="146"/>
      <c r="GJH240" s="146"/>
      <c r="GJI240" s="146"/>
      <c r="GJJ240" s="146"/>
      <c r="GJK240" s="146"/>
      <c r="GJL240" s="146"/>
      <c r="GJM240" s="146"/>
      <c r="GJN240" s="146"/>
      <c r="GJO240" s="146"/>
      <c r="GJP240" s="146"/>
      <c r="GJQ240" s="146"/>
      <c r="GJR240" s="146"/>
      <c r="GJS240" s="146"/>
      <c r="GJT240" s="146"/>
      <c r="GJU240" s="146"/>
      <c r="GJV240" s="146"/>
      <c r="GJW240" s="146"/>
      <c r="GJX240" s="146"/>
      <c r="GJY240" s="146"/>
      <c r="GJZ240" s="146"/>
      <c r="GKA240" s="146"/>
      <c r="GKB240" s="146"/>
      <c r="GKC240" s="146"/>
      <c r="GKD240" s="146"/>
      <c r="GKE240" s="146"/>
      <c r="GKF240" s="146"/>
      <c r="GKG240" s="146"/>
      <c r="GKH240" s="146"/>
      <c r="GKI240" s="146"/>
      <c r="GKJ240" s="146"/>
      <c r="GKK240" s="146"/>
      <c r="GKL240" s="146"/>
      <c r="GKM240" s="146"/>
      <c r="GKN240" s="146"/>
      <c r="GKO240" s="146"/>
      <c r="GKP240" s="146"/>
      <c r="GKQ240" s="146"/>
      <c r="GKR240" s="146"/>
      <c r="GKS240" s="146"/>
      <c r="GKT240" s="146"/>
      <c r="GKU240" s="146"/>
      <c r="GKV240" s="146"/>
      <c r="GKW240" s="146"/>
      <c r="GKX240" s="146"/>
      <c r="GKY240" s="146"/>
      <c r="GKZ240" s="146"/>
      <c r="GLA240" s="146"/>
      <c r="GLB240" s="146"/>
      <c r="GLC240" s="146"/>
      <c r="GLD240" s="146"/>
      <c r="GLE240" s="146"/>
      <c r="GLF240" s="146"/>
      <c r="GLG240" s="146"/>
      <c r="GLH240" s="146"/>
      <c r="GLI240" s="146"/>
      <c r="GLJ240" s="146"/>
      <c r="GLK240" s="146"/>
      <c r="GLL240" s="146"/>
      <c r="GLM240" s="146"/>
      <c r="GLN240" s="146"/>
      <c r="GLO240" s="146"/>
      <c r="GLP240" s="146"/>
      <c r="GLQ240" s="146"/>
      <c r="GLR240" s="146"/>
      <c r="GLS240" s="146"/>
      <c r="GLT240" s="146"/>
      <c r="GLU240" s="146"/>
      <c r="GLV240" s="146"/>
      <c r="GLW240" s="146"/>
      <c r="GLX240" s="146"/>
      <c r="GLY240" s="146"/>
      <c r="GLZ240" s="146"/>
      <c r="GMA240" s="146"/>
      <c r="GMB240" s="146"/>
      <c r="GMC240" s="146"/>
      <c r="GMD240" s="146"/>
      <c r="GME240" s="146"/>
      <c r="GMF240" s="146"/>
      <c r="GMG240" s="146"/>
      <c r="GMH240" s="146"/>
      <c r="GMI240" s="146"/>
      <c r="GMJ240" s="146"/>
      <c r="GMK240" s="146"/>
      <c r="GML240" s="146"/>
      <c r="GMM240" s="146"/>
      <c r="GMN240" s="146"/>
      <c r="GMO240" s="146"/>
      <c r="GMP240" s="146"/>
      <c r="GMQ240" s="146"/>
      <c r="GMR240" s="146"/>
      <c r="GMS240" s="146"/>
      <c r="GMT240" s="146"/>
      <c r="GMU240" s="146"/>
      <c r="GMV240" s="146"/>
      <c r="GMW240" s="146"/>
      <c r="GMX240" s="146"/>
      <c r="GMY240" s="146"/>
      <c r="GMZ240" s="146"/>
      <c r="GNA240" s="146"/>
      <c r="GNB240" s="146"/>
      <c r="GNC240" s="146"/>
      <c r="GND240" s="146"/>
      <c r="GNE240" s="146"/>
      <c r="GNF240" s="146"/>
      <c r="GNG240" s="146"/>
      <c r="GNH240" s="146"/>
      <c r="GNI240" s="146"/>
      <c r="GNJ240" s="146"/>
      <c r="GNK240" s="146"/>
      <c r="GNL240" s="146"/>
      <c r="GNM240" s="146"/>
      <c r="GNN240" s="146"/>
      <c r="GNO240" s="146"/>
      <c r="GNP240" s="146"/>
      <c r="GNQ240" s="146"/>
      <c r="GNR240" s="146"/>
      <c r="GNS240" s="146"/>
      <c r="GNT240" s="146"/>
      <c r="GNU240" s="146"/>
      <c r="GNV240" s="146"/>
      <c r="GNW240" s="146"/>
      <c r="GNX240" s="146"/>
      <c r="GNY240" s="146"/>
      <c r="GNZ240" s="146"/>
      <c r="GOA240" s="146"/>
      <c r="GOB240" s="146"/>
      <c r="GOC240" s="146"/>
      <c r="GOD240" s="146"/>
      <c r="GOE240" s="146"/>
      <c r="GOF240" s="146"/>
      <c r="GOG240" s="146"/>
      <c r="GOH240" s="146"/>
      <c r="GOI240" s="146"/>
      <c r="GOJ240" s="146"/>
      <c r="GOK240" s="146"/>
      <c r="GOL240" s="146"/>
      <c r="GOM240" s="146"/>
      <c r="GON240" s="146"/>
      <c r="GOO240" s="146"/>
      <c r="GOP240" s="146"/>
      <c r="GOQ240" s="146"/>
      <c r="GOR240" s="146"/>
      <c r="GOS240" s="146"/>
      <c r="GOT240" s="146"/>
      <c r="GOU240" s="146"/>
      <c r="GOV240" s="146"/>
      <c r="GOW240" s="146"/>
      <c r="GOX240" s="146"/>
      <c r="GOY240" s="146"/>
      <c r="GOZ240" s="146"/>
      <c r="GPA240" s="146"/>
      <c r="GPB240" s="146"/>
      <c r="GPC240" s="146"/>
      <c r="GPD240" s="146"/>
      <c r="GPE240" s="146"/>
      <c r="GPF240" s="146"/>
      <c r="GPG240" s="146"/>
      <c r="GPH240" s="146"/>
      <c r="GPI240" s="146"/>
      <c r="GPJ240" s="146"/>
      <c r="GPK240" s="146"/>
      <c r="GPL240" s="146"/>
      <c r="GPM240" s="146"/>
      <c r="GPN240" s="146"/>
      <c r="GPO240" s="146"/>
      <c r="GPP240" s="146"/>
      <c r="GPQ240" s="146"/>
      <c r="GPR240" s="146"/>
      <c r="GPS240" s="146"/>
      <c r="GPT240" s="146"/>
      <c r="GPU240" s="146"/>
      <c r="GPV240" s="146"/>
      <c r="GPW240" s="146"/>
      <c r="GPX240" s="146"/>
      <c r="GPY240" s="146"/>
      <c r="GPZ240" s="146"/>
      <c r="GQA240" s="146"/>
      <c r="GQB240" s="146"/>
      <c r="GQC240" s="146"/>
      <c r="GQD240" s="146"/>
      <c r="GQE240" s="146"/>
      <c r="GQF240" s="146"/>
      <c r="GQG240" s="146"/>
      <c r="GQH240" s="146"/>
      <c r="GQI240" s="146"/>
      <c r="GQJ240" s="146"/>
      <c r="GQK240" s="146"/>
      <c r="GQL240" s="146"/>
      <c r="GQM240" s="146"/>
      <c r="GQN240" s="146"/>
      <c r="GQO240" s="146"/>
      <c r="GQP240" s="146"/>
      <c r="GQQ240" s="146"/>
      <c r="GQR240" s="146"/>
      <c r="GQS240" s="146"/>
      <c r="GQT240" s="146"/>
      <c r="GQU240" s="146"/>
      <c r="GQV240" s="146"/>
      <c r="GQW240" s="146"/>
      <c r="GQX240" s="146"/>
      <c r="GQY240" s="146"/>
      <c r="GQZ240" s="146"/>
      <c r="GRA240" s="146"/>
      <c r="GRB240" s="146"/>
      <c r="GRC240" s="146"/>
      <c r="GRD240" s="146"/>
      <c r="GRE240" s="146"/>
      <c r="GRF240" s="146"/>
      <c r="GRG240" s="146"/>
      <c r="GRH240" s="146"/>
      <c r="GRI240" s="146"/>
      <c r="GRJ240" s="146"/>
      <c r="GRK240" s="146"/>
      <c r="GRL240" s="146"/>
      <c r="GRM240" s="146"/>
      <c r="GRN240" s="146"/>
      <c r="GRO240" s="146"/>
      <c r="GRP240" s="146"/>
      <c r="GRQ240" s="146"/>
      <c r="GRR240" s="146"/>
      <c r="GRS240" s="146"/>
      <c r="GRT240" s="146"/>
      <c r="GRU240" s="146"/>
      <c r="GRV240" s="146"/>
      <c r="GRW240" s="146"/>
      <c r="GRX240" s="146"/>
      <c r="GRY240" s="146"/>
      <c r="GRZ240" s="146"/>
      <c r="GSA240" s="146"/>
      <c r="GSB240" s="146"/>
      <c r="GSC240" s="146"/>
      <c r="GSD240" s="146"/>
      <c r="GSE240" s="146"/>
      <c r="GSF240" s="146"/>
      <c r="GSG240" s="146"/>
      <c r="GSH240" s="146"/>
      <c r="GSI240" s="146"/>
      <c r="GSJ240" s="146"/>
      <c r="GSK240" s="146"/>
      <c r="GSL240" s="146"/>
      <c r="GSM240" s="146"/>
      <c r="GSN240" s="146"/>
      <c r="GSO240" s="146"/>
      <c r="GSP240" s="146"/>
      <c r="GSQ240" s="146"/>
      <c r="GSR240" s="146"/>
      <c r="GSS240" s="146"/>
      <c r="GST240" s="146"/>
      <c r="GSU240" s="146"/>
      <c r="GSV240" s="146"/>
      <c r="GSW240" s="146"/>
      <c r="GSX240" s="146"/>
      <c r="GSY240" s="146"/>
      <c r="GSZ240" s="146"/>
      <c r="GTA240" s="146"/>
      <c r="GTB240" s="146"/>
      <c r="GTC240" s="146"/>
      <c r="GTD240" s="146"/>
      <c r="GTE240" s="146"/>
      <c r="GTF240" s="146"/>
      <c r="GTG240" s="146"/>
      <c r="GTH240" s="146"/>
      <c r="GTI240" s="146"/>
      <c r="GTJ240" s="146"/>
      <c r="GTK240" s="146"/>
      <c r="GTL240" s="146"/>
      <c r="GTM240" s="146"/>
      <c r="GTN240" s="146"/>
      <c r="GTO240" s="146"/>
      <c r="GTP240" s="146"/>
      <c r="GTQ240" s="146"/>
      <c r="GTR240" s="146"/>
      <c r="GTS240" s="146"/>
      <c r="GTT240" s="146"/>
      <c r="GTU240" s="146"/>
      <c r="GTV240" s="146"/>
      <c r="GTW240" s="146"/>
      <c r="GTX240" s="146"/>
      <c r="GTY240" s="146"/>
      <c r="GTZ240" s="146"/>
      <c r="GUA240" s="146"/>
      <c r="GUB240" s="146"/>
      <c r="GUC240" s="146"/>
      <c r="GUD240" s="146"/>
      <c r="GUE240" s="146"/>
      <c r="GUF240" s="146"/>
      <c r="GUG240" s="146"/>
      <c r="GUH240" s="146"/>
      <c r="GUI240" s="146"/>
      <c r="GUJ240" s="146"/>
      <c r="GUK240" s="146"/>
      <c r="GUL240" s="146"/>
      <c r="GUM240" s="146"/>
      <c r="GUN240" s="146"/>
      <c r="GUO240" s="146"/>
      <c r="GUP240" s="146"/>
      <c r="GUQ240" s="146"/>
      <c r="GUR240" s="146"/>
      <c r="GUS240" s="146"/>
      <c r="GUT240" s="146"/>
      <c r="GUU240" s="146"/>
      <c r="GUV240" s="146"/>
      <c r="GUW240" s="146"/>
      <c r="GUX240" s="146"/>
      <c r="GUY240" s="146"/>
      <c r="GUZ240" s="146"/>
      <c r="GVA240" s="146"/>
      <c r="GVB240" s="146"/>
      <c r="GVC240" s="146"/>
      <c r="GVD240" s="146"/>
      <c r="GVE240" s="146"/>
      <c r="GVF240" s="146"/>
      <c r="GVG240" s="146"/>
      <c r="GVH240" s="146"/>
      <c r="GVI240" s="146"/>
      <c r="GVJ240" s="146"/>
      <c r="GVK240" s="146"/>
      <c r="GVL240" s="146"/>
      <c r="GVM240" s="146"/>
      <c r="GVN240" s="146"/>
      <c r="GVO240" s="146"/>
      <c r="GVP240" s="146"/>
      <c r="GVQ240" s="146"/>
      <c r="GVR240" s="146"/>
      <c r="GVS240" s="146"/>
      <c r="GVT240" s="146"/>
      <c r="GVU240" s="146"/>
      <c r="GVV240" s="146"/>
      <c r="GVW240" s="146"/>
      <c r="GVX240" s="146"/>
      <c r="GVY240" s="146"/>
      <c r="GVZ240" s="146"/>
      <c r="GWA240" s="146"/>
      <c r="GWB240" s="146"/>
      <c r="GWC240" s="146"/>
      <c r="GWD240" s="146"/>
      <c r="GWE240" s="146"/>
      <c r="GWF240" s="146"/>
      <c r="GWG240" s="146"/>
      <c r="GWH240" s="146"/>
      <c r="GWI240" s="146"/>
      <c r="GWJ240" s="146"/>
      <c r="GWK240" s="146"/>
      <c r="GWL240" s="146"/>
      <c r="GWM240" s="146"/>
      <c r="GWN240" s="146"/>
      <c r="GWO240" s="146"/>
      <c r="GWP240" s="146"/>
      <c r="GWQ240" s="146"/>
      <c r="GWR240" s="146"/>
      <c r="GWS240" s="146"/>
      <c r="GWT240" s="146"/>
      <c r="GWU240" s="146"/>
      <c r="GWV240" s="146"/>
      <c r="GWW240" s="146"/>
      <c r="GWX240" s="146"/>
      <c r="GWY240" s="146"/>
      <c r="GWZ240" s="146"/>
      <c r="GXA240" s="146"/>
      <c r="GXB240" s="146"/>
      <c r="GXC240" s="146"/>
      <c r="GXD240" s="146"/>
      <c r="GXE240" s="146"/>
      <c r="GXF240" s="146"/>
      <c r="GXG240" s="146"/>
      <c r="GXH240" s="146"/>
      <c r="GXI240" s="146"/>
      <c r="GXJ240" s="146"/>
      <c r="GXK240" s="146"/>
      <c r="GXL240" s="146"/>
      <c r="GXM240" s="146"/>
      <c r="GXN240" s="146"/>
      <c r="GXO240" s="146"/>
      <c r="GXP240" s="146"/>
      <c r="GXQ240" s="146"/>
      <c r="GXR240" s="146"/>
      <c r="GXS240" s="146"/>
      <c r="GXT240" s="146"/>
      <c r="GXU240" s="146"/>
      <c r="GXV240" s="146"/>
      <c r="GXW240" s="146"/>
      <c r="GXX240" s="146"/>
      <c r="GXY240" s="146"/>
      <c r="GXZ240" s="146"/>
      <c r="GYA240" s="146"/>
      <c r="GYB240" s="146"/>
      <c r="GYC240" s="146"/>
      <c r="GYD240" s="146"/>
      <c r="GYE240" s="146"/>
      <c r="GYF240" s="146"/>
      <c r="GYG240" s="146"/>
      <c r="GYH240" s="146"/>
      <c r="GYI240" s="146"/>
      <c r="GYJ240" s="146"/>
      <c r="GYK240" s="146"/>
      <c r="GYL240" s="146"/>
      <c r="GYM240" s="146"/>
      <c r="GYN240" s="146"/>
      <c r="GYO240" s="146"/>
      <c r="GYP240" s="146"/>
      <c r="GYQ240" s="146"/>
      <c r="GYR240" s="146"/>
      <c r="GYS240" s="146"/>
      <c r="GYT240" s="146"/>
      <c r="GYU240" s="146"/>
      <c r="GYV240" s="146"/>
      <c r="GYW240" s="146"/>
      <c r="GYX240" s="146"/>
      <c r="GYY240" s="146"/>
      <c r="GYZ240" s="146"/>
      <c r="GZA240" s="146"/>
      <c r="GZB240" s="146"/>
      <c r="GZC240" s="146"/>
      <c r="GZD240" s="146"/>
      <c r="GZE240" s="146"/>
      <c r="GZF240" s="146"/>
      <c r="GZG240" s="146"/>
      <c r="GZH240" s="146"/>
      <c r="GZI240" s="146"/>
      <c r="GZJ240" s="146"/>
      <c r="GZK240" s="146"/>
      <c r="GZL240" s="146"/>
      <c r="GZM240" s="146"/>
      <c r="GZN240" s="146"/>
      <c r="GZO240" s="146"/>
      <c r="GZP240" s="146"/>
      <c r="GZQ240" s="146"/>
      <c r="GZR240" s="146"/>
      <c r="GZS240" s="146"/>
      <c r="GZT240" s="146"/>
      <c r="GZU240" s="146"/>
      <c r="GZV240" s="146"/>
      <c r="GZW240" s="146"/>
      <c r="GZX240" s="146"/>
      <c r="GZY240" s="146"/>
      <c r="GZZ240" s="146"/>
      <c r="HAA240" s="146"/>
      <c r="HAB240" s="146"/>
      <c r="HAC240" s="146"/>
      <c r="HAD240" s="146"/>
      <c r="HAE240" s="146"/>
      <c r="HAF240" s="146"/>
      <c r="HAG240" s="146"/>
      <c r="HAH240" s="146"/>
      <c r="HAI240" s="146"/>
      <c r="HAJ240" s="146"/>
      <c r="HAK240" s="146"/>
      <c r="HAL240" s="146"/>
      <c r="HAM240" s="146"/>
      <c r="HAN240" s="146"/>
      <c r="HAO240" s="146"/>
      <c r="HAP240" s="146"/>
      <c r="HAQ240" s="146"/>
      <c r="HAR240" s="146"/>
      <c r="HAS240" s="146"/>
      <c r="HAT240" s="146"/>
      <c r="HAU240" s="146"/>
      <c r="HAV240" s="146"/>
      <c r="HAW240" s="146"/>
      <c r="HAX240" s="146"/>
      <c r="HAY240" s="146"/>
      <c r="HAZ240" s="146"/>
      <c r="HBA240" s="146"/>
      <c r="HBB240" s="146"/>
      <c r="HBC240" s="146"/>
      <c r="HBD240" s="146"/>
      <c r="HBE240" s="146"/>
      <c r="HBF240" s="146"/>
      <c r="HBG240" s="146"/>
      <c r="HBH240" s="146"/>
      <c r="HBI240" s="146"/>
      <c r="HBJ240" s="146"/>
      <c r="HBK240" s="146"/>
      <c r="HBL240" s="146"/>
      <c r="HBM240" s="146"/>
      <c r="HBN240" s="146"/>
      <c r="HBO240" s="146"/>
      <c r="HBP240" s="146"/>
      <c r="HBQ240" s="146"/>
      <c r="HBR240" s="146"/>
      <c r="HBS240" s="146"/>
      <c r="HBT240" s="146"/>
      <c r="HBU240" s="146"/>
      <c r="HBV240" s="146"/>
      <c r="HBW240" s="146"/>
      <c r="HBX240" s="146"/>
      <c r="HBY240" s="146"/>
      <c r="HBZ240" s="146"/>
      <c r="HCA240" s="146"/>
      <c r="HCB240" s="146"/>
      <c r="HCC240" s="146"/>
      <c r="HCD240" s="146"/>
      <c r="HCE240" s="146"/>
      <c r="HCF240" s="146"/>
      <c r="HCG240" s="146"/>
      <c r="HCH240" s="146"/>
      <c r="HCI240" s="146"/>
      <c r="HCJ240" s="146"/>
      <c r="HCK240" s="146"/>
      <c r="HCL240" s="146"/>
      <c r="HCM240" s="146"/>
      <c r="HCN240" s="146"/>
      <c r="HCO240" s="146"/>
      <c r="HCP240" s="146"/>
      <c r="HCQ240" s="146"/>
      <c r="HCR240" s="146"/>
      <c r="HCS240" s="146"/>
      <c r="HCT240" s="146"/>
      <c r="HCU240" s="146"/>
      <c r="HCV240" s="146"/>
      <c r="HCW240" s="146"/>
      <c r="HCX240" s="146"/>
      <c r="HCY240" s="146"/>
      <c r="HCZ240" s="146"/>
      <c r="HDA240" s="146"/>
      <c r="HDB240" s="146"/>
      <c r="HDC240" s="146"/>
      <c r="HDD240" s="146"/>
      <c r="HDE240" s="146"/>
      <c r="HDF240" s="146"/>
      <c r="HDG240" s="146"/>
      <c r="HDH240" s="146"/>
      <c r="HDI240" s="146"/>
      <c r="HDJ240" s="146"/>
      <c r="HDK240" s="146"/>
      <c r="HDL240" s="146"/>
      <c r="HDM240" s="146"/>
      <c r="HDN240" s="146"/>
      <c r="HDO240" s="146"/>
      <c r="HDP240" s="146"/>
      <c r="HDQ240" s="146"/>
      <c r="HDR240" s="146"/>
      <c r="HDS240" s="146"/>
      <c r="HDT240" s="146"/>
      <c r="HDU240" s="146"/>
      <c r="HDV240" s="146"/>
      <c r="HDW240" s="146"/>
      <c r="HDX240" s="146"/>
      <c r="HDY240" s="146"/>
      <c r="HDZ240" s="146"/>
      <c r="HEA240" s="146"/>
      <c r="HEB240" s="146"/>
      <c r="HEC240" s="146"/>
      <c r="HED240" s="146"/>
      <c r="HEE240" s="146"/>
      <c r="HEF240" s="146"/>
      <c r="HEG240" s="146"/>
      <c r="HEH240" s="146"/>
      <c r="HEI240" s="146"/>
      <c r="HEJ240" s="146"/>
      <c r="HEK240" s="146"/>
      <c r="HEL240" s="146"/>
      <c r="HEM240" s="146"/>
      <c r="HEN240" s="146"/>
      <c r="HEO240" s="146"/>
      <c r="HEP240" s="146"/>
      <c r="HEQ240" s="146"/>
      <c r="HER240" s="146"/>
      <c r="HES240" s="146"/>
      <c r="HET240" s="146"/>
      <c r="HEU240" s="146"/>
      <c r="HEV240" s="146"/>
      <c r="HEW240" s="146"/>
      <c r="HEX240" s="146"/>
      <c r="HEY240" s="146"/>
      <c r="HEZ240" s="146"/>
      <c r="HFA240" s="146"/>
      <c r="HFB240" s="146"/>
      <c r="HFC240" s="146"/>
      <c r="HFD240" s="146"/>
      <c r="HFE240" s="146"/>
      <c r="HFF240" s="146"/>
      <c r="HFG240" s="146"/>
      <c r="HFH240" s="146"/>
      <c r="HFI240" s="146"/>
      <c r="HFJ240" s="146"/>
      <c r="HFK240" s="146"/>
      <c r="HFL240" s="146"/>
      <c r="HFM240" s="146"/>
      <c r="HFN240" s="146"/>
      <c r="HFO240" s="146"/>
      <c r="HFP240" s="146"/>
      <c r="HFQ240" s="146"/>
      <c r="HFR240" s="146"/>
      <c r="HFS240" s="146"/>
      <c r="HFT240" s="146"/>
      <c r="HFU240" s="146"/>
      <c r="HFV240" s="146"/>
      <c r="HFW240" s="146"/>
      <c r="HFX240" s="146"/>
      <c r="HFY240" s="146"/>
      <c r="HFZ240" s="146"/>
      <c r="HGA240" s="146"/>
      <c r="HGB240" s="146"/>
      <c r="HGC240" s="146"/>
      <c r="HGD240" s="146"/>
      <c r="HGE240" s="146"/>
      <c r="HGF240" s="146"/>
      <c r="HGG240" s="146"/>
      <c r="HGH240" s="146"/>
      <c r="HGI240" s="146"/>
      <c r="HGJ240" s="146"/>
      <c r="HGK240" s="146"/>
      <c r="HGL240" s="146"/>
      <c r="HGM240" s="146"/>
      <c r="HGN240" s="146"/>
      <c r="HGO240" s="146"/>
      <c r="HGP240" s="146"/>
      <c r="HGQ240" s="146"/>
      <c r="HGR240" s="146"/>
      <c r="HGS240" s="146"/>
      <c r="HGT240" s="146"/>
      <c r="HGU240" s="146"/>
      <c r="HGV240" s="146"/>
      <c r="HGW240" s="146"/>
      <c r="HGX240" s="146"/>
      <c r="HGY240" s="146"/>
      <c r="HGZ240" s="146"/>
      <c r="HHA240" s="146"/>
      <c r="HHB240" s="146"/>
      <c r="HHC240" s="146"/>
      <c r="HHD240" s="146"/>
      <c r="HHE240" s="146"/>
      <c r="HHF240" s="146"/>
      <c r="HHG240" s="146"/>
      <c r="HHH240" s="146"/>
      <c r="HHI240" s="146"/>
      <c r="HHJ240" s="146"/>
      <c r="HHK240" s="146"/>
      <c r="HHL240" s="146"/>
      <c r="HHM240" s="146"/>
      <c r="HHN240" s="146"/>
      <c r="HHO240" s="146"/>
      <c r="HHP240" s="146"/>
      <c r="HHQ240" s="146"/>
      <c r="HHR240" s="146"/>
      <c r="HHS240" s="146"/>
      <c r="HHT240" s="146"/>
      <c r="HHU240" s="146"/>
      <c r="HHV240" s="146"/>
      <c r="HHW240" s="146"/>
      <c r="HHX240" s="146"/>
      <c r="HHY240" s="146"/>
      <c r="HHZ240" s="146"/>
      <c r="HIA240" s="146"/>
      <c r="HIB240" s="146"/>
      <c r="HIC240" s="146"/>
      <c r="HID240" s="146"/>
      <c r="HIE240" s="146"/>
      <c r="HIF240" s="146"/>
      <c r="HIG240" s="146"/>
      <c r="HIH240" s="146"/>
      <c r="HII240" s="146"/>
      <c r="HIJ240" s="146"/>
      <c r="HIK240" s="146"/>
      <c r="HIL240" s="146"/>
      <c r="HIM240" s="146"/>
      <c r="HIN240" s="146"/>
      <c r="HIO240" s="146"/>
      <c r="HIP240" s="146"/>
      <c r="HIQ240" s="146"/>
      <c r="HIR240" s="146"/>
      <c r="HIS240" s="146"/>
      <c r="HIT240" s="146"/>
      <c r="HIU240" s="146"/>
      <c r="HIV240" s="146"/>
      <c r="HIW240" s="146"/>
      <c r="HIX240" s="146"/>
      <c r="HIY240" s="146"/>
      <c r="HIZ240" s="146"/>
      <c r="HJA240" s="146"/>
      <c r="HJB240" s="146"/>
      <c r="HJC240" s="146"/>
      <c r="HJD240" s="146"/>
      <c r="HJE240" s="146"/>
      <c r="HJF240" s="146"/>
      <c r="HJG240" s="146"/>
      <c r="HJH240" s="146"/>
      <c r="HJI240" s="146"/>
      <c r="HJJ240" s="146"/>
      <c r="HJK240" s="146"/>
      <c r="HJL240" s="146"/>
      <c r="HJM240" s="146"/>
      <c r="HJN240" s="146"/>
      <c r="HJO240" s="146"/>
      <c r="HJP240" s="146"/>
      <c r="HJQ240" s="146"/>
      <c r="HJR240" s="146"/>
      <c r="HJS240" s="146"/>
      <c r="HJT240" s="146"/>
      <c r="HJU240" s="146"/>
      <c r="HJV240" s="146"/>
      <c r="HJW240" s="146"/>
      <c r="HJX240" s="146"/>
      <c r="HJY240" s="146"/>
      <c r="HJZ240" s="146"/>
      <c r="HKA240" s="146"/>
      <c r="HKB240" s="146"/>
      <c r="HKC240" s="146"/>
      <c r="HKD240" s="146"/>
      <c r="HKE240" s="146"/>
      <c r="HKF240" s="146"/>
      <c r="HKG240" s="146"/>
      <c r="HKH240" s="146"/>
      <c r="HKI240" s="146"/>
      <c r="HKJ240" s="146"/>
      <c r="HKK240" s="146"/>
      <c r="HKL240" s="146"/>
      <c r="HKM240" s="146"/>
      <c r="HKN240" s="146"/>
      <c r="HKO240" s="146"/>
      <c r="HKP240" s="146"/>
      <c r="HKQ240" s="146"/>
      <c r="HKR240" s="146"/>
      <c r="HKS240" s="146"/>
      <c r="HKT240" s="146"/>
      <c r="HKU240" s="146"/>
      <c r="HKV240" s="146"/>
      <c r="HKW240" s="146"/>
      <c r="HKX240" s="146"/>
      <c r="HKY240" s="146"/>
      <c r="HKZ240" s="146"/>
      <c r="HLA240" s="146"/>
      <c r="HLB240" s="146"/>
      <c r="HLC240" s="146"/>
      <c r="HLD240" s="146"/>
      <c r="HLE240" s="146"/>
      <c r="HLF240" s="146"/>
      <c r="HLG240" s="146"/>
      <c r="HLH240" s="146"/>
      <c r="HLI240" s="146"/>
      <c r="HLJ240" s="146"/>
      <c r="HLK240" s="146"/>
      <c r="HLL240" s="146"/>
      <c r="HLM240" s="146"/>
      <c r="HLN240" s="146"/>
      <c r="HLO240" s="146"/>
      <c r="HLP240" s="146"/>
      <c r="HLQ240" s="146"/>
      <c r="HLR240" s="146"/>
      <c r="HLS240" s="146"/>
      <c r="HLT240" s="146"/>
      <c r="HLU240" s="146"/>
      <c r="HLV240" s="146"/>
      <c r="HLW240" s="146"/>
      <c r="HLX240" s="146"/>
      <c r="HLY240" s="146"/>
      <c r="HLZ240" s="146"/>
      <c r="HMA240" s="146"/>
      <c r="HMB240" s="146"/>
      <c r="HMC240" s="146"/>
      <c r="HMD240" s="146"/>
      <c r="HME240" s="146"/>
      <c r="HMF240" s="146"/>
      <c r="HMG240" s="146"/>
      <c r="HMH240" s="146"/>
      <c r="HMI240" s="146"/>
      <c r="HMJ240" s="146"/>
      <c r="HMK240" s="146"/>
      <c r="HML240" s="146"/>
      <c r="HMM240" s="146"/>
      <c r="HMN240" s="146"/>
      <c r="HMO240" s="146"/>
      <c r="HMP240" s="146"/>
      <c r="HMQ240" s="146"/>
      <c r="HMR240" s="146"/>
      <c r="HMS240" s="146"/>
      <c r="HMT240" s="146"/>
      <c r="HMU240" s="146"/>
      <c r="HMV240" s="146"/>
      <c r="HMW240" s="146"/>
      <c r="HMX240" s="146"/>
      <c r="HMY240" s="146"/>
      <c r="HMZ240" s="146"/>
      <c r="HNA240" s="146"/>
      <c r="HNB240" s="146"/>
      <c r="HNC240" s="146"/>
      <c r="HND240" s="146"/>
      <c r="HNE240" s="146"/>
      <c r="HNF240" s="146"/>
      <c r="HNG240" s="146"/>
      <c r="HNH240" s="146"/>
      <c r="HNI240" s="146"/>
      <c r="HNJ240" s="146"/>
      <c r="HNK240" s="146"/>
      <c r="HNL240" s="146"/>
      <c r="HNM240" s="146"/>
      <c r="HNN240" s="146"/>
      <c r="HNO240" s="146"/>
      <c r="HNP240" s="146"/>
      <c r="HNQ240" s="146"/>
      <c r="HNR240" s="146"/>
      <c r="HNS240" s="146"/>
      <c r="HNT240" s="146"/>
      <c r="HNU240" s="146"/>
      <c r="HNV240" s="146"/>
      <c r="HNW240" s="146"/>
      <c r="HNX240" s="146"/>
      <c r="HNY240" s="146"/>
      <c r="HNZ240" s="146"/>
      <c r="HOA240" s="146"/>
      <c r="HOB240" s="146"/>
      <c r="HOC240" s="146"/>
      <c r="HOD240" s="146"/>
      <c r="HOE240" s="146"/>
      <c r="HOF240" s="146"/>
      <c r="HOG240" s="146"/>
      <c r="HOH240" s="146"/>
      <c r="HOI240" s="146"/>
      <c r="HOJ240" s="146"/>
      <c r="HOK240" s="146"/>
      <c r="HOL240" s="146"/>
      <c r="HOM240" s="146"/>
      <c r="HON240" s="146"/>
      <c r="HOO240" s="146"/>
      <c r="HOP240" s="146"/>
      <c r="HOQ240" s="146"/>
      <c r="HOR240" s="146"/>
      <c r="HOS240" s="146"/>
      <c r="HOT240" s="146"/>
      <c r="HOU240" s="146"/>
      <c r="HOV240" s="146"/>
      <c r="HOW240" s="146"/>
      <c r="HOX240" s="146"/>
      <c r="HOY240" s="146"/>
      <c r="HOZ240" s="146"/>
      <c r="HPA240" s="146"/>
      <c r="HPB240" s="146"/>
      <c r="HPC240" s="146"/>
      <c r="HPD240" s="146"/>
      <c r="HPE240" s="146"/>
      <c r="HPF240" s="146"/>
      <c r="HPG240" s="146"/>
      <c r="HPH240" s="146"/>
      <c r="HPI240" s="146"/>
      <c r="HPJ240" s="146"/>
      <c r="HPK240" s="146"/>
      <c r="HPL240" s="146"/>
      <c r="HPM240" s="146"/>
      <c r="HPN240" s="146"/>
      <c r="HPO240" s="146"/>
      <c r="HPP240" s="146"/>
      <c r="HPQ240" s="146"/>
      <c r="HPR240" s="146"/>
      <c r="HPS240" s="146"/>
      <c r="HPT240" s="146"/>
      <c r="HPU240" s="146"/>
      <c r="HPV240" s="146"/>
      <c r="HPW240" s="146"/>
      <c r="HPX240" s="146"/>
      <c r="HPY240" s="146"/>
      <c r="HPZ240" s="146"/>
      <c r="HQA240" s="146"/>
      <c r="HQB240" s="146"/>
      <c r="HQC240" s="146"/>
      <c r="HQD240" s="146"/>
      <c r="HQE240" s="146"/>
      <c r="HQF240" s="146"/>
      <c r="HQG240" s="146"/>
      <c r="HQH240" s="146"/>
      <c r="HQI240" s="146"/>
      <c r="HQJ240" s="146"/>
      <c r="HQK240" s="146"/>
      <c r="HQL240" s="146"/>
      <c r="HQM240" s="146"/>
      <c r="HQN240" s="146"/>
      <c r="HQO240" s="146"/>
      <c r="HQP240" s="146"/>
      <c r="HQQ240" s="146"/>
      <c r="HQR240" s="146"/>
      <c r="HQS240" s="146"/>
      <c r="HQT240" s="146"/>
      <c r="HQU240" s="146"/>
      <c r="HQV240" s="146"/>
      <c r="HQW240" s="146"/>
      <c r="HQX240" s="146"/>
      <c r="HQY240" s="146"/>
      <c r="HQZ240" s="146"/>
      <c r="HRA240" s="146"/>
      <c r="HRB240" s="146"/>
      <c r="HRC240" s="146"/>
      <c r="HRD240" s="146"/>
      <c r="HRE240" s="146"/>
      <c r="HRF240" s="146"/>
      <c r="HRG240" s="146"/>
      <c r="HRH240" s="146"/>
      <c r="HRI240" s="146"/>
      <c r="HRJ240" s="146"/>
      <c r="HRK240" s="146"/>
      <c r="HRL240" s="146"/>
      <c r="HRM240" s="146"/>
      <c r="HRN240" s="146"/>
      <c r="HRO240" s="146"/>
      <c r="HRP240" s="146"/>
      <c r="HRQ240" s="146"/>
      <c r="HRR240" s="146"/>
      <c r="HRS240" s="146"/>
      <c r="HRT240" s="146"/>
      <c r="HRU240" s="146"/>
      <c r="HRV240" s="146"/>
      <c r="HRW240" s="146"/>
      <c r="HRX240" s="146"/>
      <c r="HRY240" s="146"/>
      <c r="HRZ240" s="146"/>
      <c r="HSA240" s="146"/>
      <c r="HSB240" s="146"/>
      <c r="HSC240" s="146"/>
      <c r="HSD240" s="146"/>
      <c r="HSE240" s="146"/>
      <c r="HSF240" s="146"/>
      <c r="HSG240" s="146"/>
      <c r="HSH240" s="146"/>
      <c r="HSI240" s="146"/>
      <c r="HSJ240" s="146"/>
      <c r="HSK240" s="146"/>
      <c r="HSL240" s="146"/>
      <c r="HSM240" s="146"/>
      <c r="HSN240" s="146"/>
      <c r="HSO240" s="146"/>
      <c r="HSP240" s="146"/>
      <c r="HSQ240" s="146"/>
      <c r="HSR240" s="146"/>
      <c r="HSS240" s="146"/>
      <c r="HST240" s="146"/>
      <c r="HSU240" s="146"/>
      <c r="HSV240" s="146"/>
      <c r="HSW240" s="146"/>
      <c r="HSX240" s="146"/>
      <c r="HSY240" s="146"/>
      <c r="HSZ240" s="146"/>
      <c r="HTA240" s="146"/>
      <c r="HTB240" s="146"/>
      <c r="HTC240" s="146"/>
      <c r="HTD240" s="146"/>
      <c r="HTE240" s="146"/>
      <c r="HTF240" s="146"/>
      <c r="HTG240" s="146"/>
      <c r="HTH240" s="146"/>
      <c r="HTI240" s="146"/>
      <c r="HTJ240" s="146"/>
      <c r="HTK240" s="146"/>
      <c r="HTL240" s="146"/>
      <c r="HTM240" s="146"/>
      <c r="HTN240" s="146"/>
      <c r="HTO240" s="146"/>
      <c r="HTP240" s="146"/>
      <c r="HTQ240" s="146"/>
      <c r="HTR240" s="146"/>
      <c r="HTS240" s="146"/>
      <c r="HTT240" s="146"/>
      <c r="HTU240" s="146"/>
      <c r="HTV240" s="146"/>
      <c r="HTW240" s="146"/>
      <c r="HTX240" s="146"/>
      <c r="HTY240" s="146"/>
      <c r="HTZ240" s="146"/>
      <c r="HUA240" s="146"/>
      <c r="HUB240" s="146"/>
      <c r="HUC240" s="146"/>
      <c r="HUD240" s="146"/>
      <c r="HUE240" s="146"/>
      <c r="HUF240" s="146"/>
      <c r="HUG240" s="146"/>
      <c r="HUH240" s="146"/>
      <c r="HUI240" s="146"/>
      <c r="HUJ240" s="146"/>
      <c r="HUK240" s="146"/>
      <c r="HUL240" s="146"/>
      <c r="HUM240" s="146"/>
      <c r="HUN240" s="146"/>
      <c r="HUO240" s="146"/>
      <c r="HUP240" s="146"/>
      <c r="HUQ240" s="146"/>
      <c r="HUR240" s="146"/>
      <c r="HUS240" s="146"/>
      <c r="HUT240" s="146"/>
      <c r="HUU240" s="146"/>
      <c r="HUV240" s="146"/>
      <c r="HUW240" s="146"/>
      <c r="HUX240" s="146"/>
      <c r="HUY240" s="146"/>
      <c r="HUZ240" s="146"/>
      <c r="HVA240" s="146"/>
      <c r="HVB240" s="146"/>
      <c r="HVC240" s="146"/>
      <c r="HVD240" s="146"/>
      <c r="HVE240" s="146"/>
      <c r="HVF240" s="146"/>
      <c r="HVG240" s="146"/>
      <c r="HVH240" s="146"/>
      <c r="HVI240" s="146"/>
      <c r="HVJ240" s="146"/>
      <c r="HVK240" s="146"/>
      <c r="HVL240" s="146"/>
      <c r="HVM240" s="146"/>
      <c r="HVN240" s="146"/>
      <c r="HVO240" s="146"/>
      <c r="HVP240" s="146"/>
      <c r="HVQ240" s="146"/>
      <c r="HVR240" s="146"/>
      <c r="HVS240" s="146"/>
      <c r="HVT240" s="146"/>
      <c r="HVU240" s="146"/>
      <c r="HVV240" s="146"/>
      <c r="HVW240" s="146"/>
      <c r="HVX240" s="146"/>
      <c r="HVY240" s="146"/>
      <c r="HVZ240" s="146"/>
      <c r="HWA240" s="146"/>
      <c r="HWB240" s="146"/>
      <c r="HWC240" s="146"/>
      <c r="HWD240" s="146"/>
      <c r="HWE240" s="146"/>
      <c r="HWF240" s="146"/>
      <c r="HWG240" s="146"/>
      <c r="HWH240" s="146"/>
      <c r="HWI240" s="146"/>
      <c r="HWJ240" s="146"/>
      <c r="HWK240" s="146"/>
      <c r="HWL240" s="146"/>
      <c r="HWM240" s="146"/>
      <c r="HWN240" s="146"/>
      <c r="HWO240" s="146"/>
      <c r="HWP240" s="146"/>
      <c r="HWQ240" s="146"/>
      <c r="HWR240" s="146"/>
      <c r="HWS240" s="146"/>
      <c r="HWT240" s="146"/>
      <c r="HWU240" s="146"/>
      <c r="HWV240" s="146"/>
      <c r="HWW240" s="146"/>
      <c r="HWX240" s="146"/>
      <c r="HWY240" s="146"/>
      <c r="HWZ240" s="146"/>
      <c r="HXA240" s="146"/>
      <c r="HXB240" s="146"/>
      <c r="HXC240" s="146"/>
      <c r="HXD240" s="146"/>
      <c r="HXE240" s="146"/>
      <c r="HXF240" s="146"/>
      <c r="HXG240" s="146"/>
      <c r="HXH240" s="146"/>
      <c r="HXI240" s="146"/>
      <c r="HXJ240" s="146"/>
      <c r="HXK240" s="146"/>
      <c r="HXL240" s="146"/>
      <c r="HXM240" s="146"/>
      <c r="HXN240" s="146"/>
      <c r="HXO240" s="146"/>
      <c r="HXP240" s="146"/>
      <c r="HXQ240" s="146"/>
      <c r="HXR240" s="146"/>
      <c r="HXS240" s="146"/>
      <c r="HXT240" s="146"/>
      <c r="HXU240" s="146"/>
      <c r="HXV240" s="146"/>
      <c r="HXW240" s="146"/>
      <c r="HXX240" s="146"/>
      <c r="HXY240" s="146"/>
      <c r="HXZ240" s="146"/>
      <c r="HYA240" s="146"/>
      <c r="HYB240" s="146"/>
      <c r="HYC240" s="146"/>
      <c r="HYD240" s="146"/>
      <c r="HYE240" s="146"/>
      <c r="HYF240" s="146"/>
      <c r="HYG240" s="146"/>
      <c r="HYH240" s="146"/>
      <c r="HYI240" s="146"/>
      <c r="HYJ240" s="146"/>
      <c r="HYK240" s="146"/>
      <c r="HYL240" s="146"/>
      <c r="HYM240" s="146"/>
      <c r="HYN240" s="146"/>
      <c r="HYO240" s="146"/>
      <c r="HYP240" s="146"/>
      <c r="HYQ240" s="146"/>
      <c r="HYR240" s="146"/>
      <c r="HYS240" s="146"/>
      <c r="HYT240" s="146"/>
      <c r="HYU240" s="146"/>
      <c r="HYV240" s="146"/>
      <c r="HYW240" s="146"/>
      <c r="HYX240" s="146"/>
      <c r="HYY240" s="146"/>
      <c r="HYZ240" s="146"/>
      <c r="HZA240" s="146"/>
      <c r="HZB240" s="146"/>
      <c r="HZC240" s="146"/>
      <c r="HZD240" s="146"/>
      <c r="HZE240" s="146"/>
      <c r="HZF240" s="146"/>
      <c r="HZG240" s="146"/>
      <c r="HZH240" s="146"/>
      <c r="HZI240" s="146"/>
      <c r="HZJ240" s="146"/>
      <c r="HZK240" s="146"/>
      <c r="HZL240" s="146"/>
      <c r="HZM240" s="146"/>
      <c r="HZN240" s="146"/>
      <c r="HZO240" s="146"/>
      <c r="HZP240" s="146"/>
      <c r="HZQ240" s="146"/>
      <c r="HZR240" s="146"/>
      <c r="HZS240" s="146"/>
      <c r="HZT240" s="146"/>
      <c r="HZU240" s="146"/>
      <c r="HZV240" s="146"/>
      <c r="HZW240" s="146"/>
      <c r="HZX240" s="146"/>
      <c r="HZY240" s="146"/>
      <c r="HZZ240" s="146"/>
      <c r="IAA240" s="146"/>
      <c r="IAB240" s="146"/>
      <c r="IAC240" s="146"/>
      <c r="IAD240" s="146"/>
      <c r="IAE240" s="146"/>
      <c r="IAF240" s="146"/>
      <c r="IAG240" s="146"/>
      <c r="IAH240" s="146"/>
      <c r="IAI240" s="146"/>
      <c r="IAJ240" s="146"/>
      <c r="IAK240" s="146"/>
      <c r="IAL240" s="146"/>
      <c r="IAM240" s="146"/>
      <c r="IAN240" s="146"/>
      <c r="IAO240" s="146"/>
      <c r="IAP240" s="146"/>
      <c r="IAQ240" s="146"/>
      <c r="IAR240" s="146"/>
      <c r="IAS240" s="146"/>
      <c r="IAT240" s="146"/>
      <c r="IAU240" s="146"/>
      <c r="IAV240" s="146"/>
      <c r="IAW240" s="146"/>
      <c r="IAX240" s="146"/>
      <c r="IAY240" s="146"/>
      <c r="IAZ240" s="146"/>
      <c r="IBA240" s="146"/>
      <c r="IBB240" s="146"/>
      <c r="IBC240" s="146"/>
      <c r="IBD240" s="146"/>
      <c r="IBE240" s="146"/>
      <c r="IBF240" s="146"/>
      <c r="IBG240" s="146"/>
      <c r="IBH240" s="146"/>
      <c r="IBI240" s="146"/>
      <c r="IBJ240" s="146"/>
      <c r="IBK240" s="146"/>
      <c r="IBL240" s="146"/>
      <c r="IBM240" s="146"/>
      <c r="IBN240" s="146"/>
      <c r="IBO240" s="146"/>
      <c r="IBP240" s="146"/>
      <c r="IBQ240" s="146"/>
      <c r="IBR240" s="146"/>
      <c r="IBS240" s="146"/>
      <c r="IBT240" s="146"/>
      <c r="IBU240" s="146"/>
      <c r="IBV240" s="146"/>
      <c r="IBW240" s="146"/>
      <c r="IBX240" s="146"/>
      <c r="IBY240" s="146"/>
      <c r="IBZ240" s="146"/>
      <c r="ICA240" s="146"/>
      <c r="ICB240" s="146"/>
      <c r="ICC240" s="146"/>
      <c r="ICD240" s="146"/>
      <c r="ICE240" s="146"/>
      <c r="ICF240" s="146"/>
      <c r="ICG240" s="146"/>
      <c r="ICH240" s="146"/>
      <c r="ICI240" s="146"/>
      <c r="ICJ240" s="146"/>
      <c r="ICK240" s="146"/>
      <c r="ICL240" s="146"/>
      <c r="ICM240" s="146"/>
      <c r="ICN240" s="146"/>
      <c r="ICO240" s="146"/>
      <c r="ICP240" s="146"/>
      <c r="ICQ240" s="146"/>
      <c r="ICR240" s="146"/>
      <c r="ICS240" s="146"/>
      <c r="ICT240" s="146"/>
      <c r="ICU240" s="146"/>
      <c r="ICV240" s="146"/>
      <c r="ICW240" s="146"/>
      <c r="ICX240" s="146"/>
      <c r="ICY240" s="146"/>
      <c r="ICZ240" s="146"/>
      <c r="IDA240" s="146"/>
      <c r="IDB240" s="146"/>
      <c r="IDC240" s="146"/>
      <c r="IDD240" s="146"/>
      <c r="IDE240" s="146"/>
      <c r="IDF240" s="146"/>
      <c r="IDG240" s="146"/>
      <c r="IDH240" s="146"/>
      <c r="IDI240" s="146"/>
      <c r="IDJ240" s="146"/>
      <c r="IDK240" s="146"/>
      <c r="IDL240" s="146"/>
      <c r="IDM240" s="146"/>
      <c r="IDN240" s="146"/>
      <c r="IDO240" s="146"/>
      <c r="IDP240" s="146"/>
      <c r="IDQ240" s="146"/>
      <c r="IDR240" s="146"/>
      <c r="IDS240" s="146"/>
      <c r="IDT240" s="146"/>
      <c r="IDU240" s="146"/>
      <c r="IDV240" s="146"/>
      <c r="IDW240" s="146"/>
      <c r="IDX240" s="146"/>
      <c r="IDY240" s="146"/>
      <c r="IDZ240" s="146"/>
      <c r="IEA240" s="146"/>
      <c r="IEB240" s="146"/>
      <c r="IEC240" s="146"/>
      <c r="IED240" s="146"/>
      <c r="IEE240" s="146"/>
      <c r="IEF240" s="146"/>
      <c r="IEG240" s="146"/>
      <c r="IEH240" s="146"/>
      <c r="IEI240" s="146"/>
      <c r="IEJ240" s="146"/>
      <c r="IEK240" s="146"/>
      <c r="IEL240" s="146"/>
      <c r="IEM240" s="146"/>
      <c r="IEN240" s="146"/>
      <c r="IEO240" s="146"/>
      <c r="IEP240" s="146"/>
      <c r="IEQ240" s="146"/>
      <c r="IER240" s="146"/>
      <c r="IES240" s="146"/>
      <c r="IET240" s="146"/>
      <c r="IEU240" s="146"/>
      <c r="IEV240" s="146"/>
      <c r="IEW240" s="146"/>
      <c r="IEX240" s="146"/>
      <c r="IEY240" s="146"/>
      <c r="IEZ240" s="146"/>
      <c r="IFA240" s="146"/>
      <c r="IFB240" s="146"/>
      <c r="IFC240" s="146"/>
      <c r="IFD240" s="146"/>
      <c r="IFE240" s="146"/>
      <c r="IFF240" s="146"/>
      <c r="IFG240" s="146"/>
      <c r="IFH240" s="146"/>
      <c r="IFI240" s="146"/>
      <c r="IFJ240" s="146"/>
      <c r="IFK240" s="146"/>
      <c r="IFL240" s="146"/>
      <c r="IFM240" s="146"/>
      <c r="IFN240" s="146"/>
      <c r="IFO240" s="146"/>
      <c r="IFP240" s="146"/>
      <c r="IFQ240" s="146"/>
      <c r="IFR240" s="146"/>
      <c r="IFS240" s="146"/>
      <c r="IFT240" s="146"/>
      <c r="IFU240" s="146"/>
      <c r="IFV240" s="146"/>
      <c r="IFW240" s="146"/>
      <c r="IFX240" s="146"/>
      <c r="IFY240" s="146"/>
      <c r="IFZ240" s="146"/>
      <c r="IGA240" s="146"/>
      <c r="IGB240" s="146"/>
      <c r="IGC240" s="146"/>
      <c r="IGD240" s="146"/>
      <c r="IGE240" s="146"/>
      <c r="IGF240" s="146"/>
      <c r="IGG240" s="146"/>
      <c r="IGH240" s="146"/>
      <c r="IGI240" s="146"/>
      <c r="IGJ240" s="146"/>
      <c r="IGK240" s="146"/>
      <c r="IGL240" s="146"/>
      <c r="IGM240" s="146"/>
      <c r="IGN240" s="146"/>
      <c r="IGO240" s="146"/>
      <c r="IGP240" s="146"/>
      <c r="IGQ240" s="146"/>
      <c r="IGR240" s="146"/>
      <c r="IGS240" s="146"/>
      <c r="IGT240" s="146"/>
      <c r="IGU240" s="146"/>
      <c r="IGV240" s="146"/>
      <c r="IGW240" s="146"/>
      <c r="IGX240" s="146"/>
      <c r="IGY240" s="146"/>
      <c r="IGZ240" s="146"/>
      <c r="IHA240" s="146"/>
      <c r="IHB240" s="146"/>
      <c r="IHC240" s="146"/>
      <c r="IHD240" s="146"/>
      <c r="IHE240" s="146"/>
      <c r="IHF240" s="146"/>
      <c r="IHG240" s="146"/>
      <c r="IHH240" s="146"/>
      <c r="IHI240" s="146"/>
      <c r="IHJ240" s="146"/>
      <c r="IHK240" s="146"/>
      <c r="IHL240" s="146"/>
      <c r="IHM240" s="146"/>
      <c r="IHN240" s="146"/>
      <c r="IHO240" s="146"/>
      <c r="IHP240" s="146"/>
      <c r="IHQ240" s="146"/>
      <c r="IHR240" s="146"/>
      <c r="IHS240" s="146"/>
      <c r="IHT240" s="146"/>
      <c r="IHU240" s="146"/>
      <c r="IHV240" s="146"/>
      <c r="IHW240" s="146"/>
      <c r="IHX240" s="146"/>
      <c r="IHY240" s="146"/>
      <c r="IHZ240" s="146"/>
      <c r="IIA240" s="146"/>
      <c r="IIB240" s="146"/>
      <c r="IIC240" s="146"/>
      <c r="IID240" s="146"/>
      <c r="IIE240" s="146"/>
      <c r="IIF240" s="146"/>
      <c r="IIG240" s="146"/>
      <c r="IIH240" s="146"/>
      <c r="III240" s="146"/>
      <c r="IIJ240" s="146"/>
      <c r="IIK240" s="146"/>
      <c r="IIL240" s="146"/>
      <c r="IIM240" s="146"/>
      <c r="IIN240" s="146"/>
      <c r="IIO240" s="146"/>
      <c r="IIP240" s="146"/>
      <c r="IIQ240" s="146"/>
      <c r="IIR240" s="146"/>
      <c r="IIS240" s="146"/>
      <c r="IIT240" s="146"/>
      <c r="IIU240" s="146"/>
      <c r="IIV240" s="146"/>
      <c r="IIW240" s="146"/>
      <c r="IIX240" s="146"/>
      <c r="IIY240" s="146"/>
      <c r="IIZ240" s="146"/>
      <c r="IJA240" s="146"/>
      <c r="IJB240" s="146"/>
      <c r="IJC240" s="146"/>
      <c r="IJD240" s="146"/>
      <c r="IJE240" s="146"/>
      <c r="IJF240" s="146"/>
      <c r="IJG240" s="146"/>
      <c r="IJH240" s="146"/>
      <c r="IJI240" s="146"/>
      <c r="IJJ240" s="146"/>
      <c r="IJK240" s="146"/>
      <c r="IJL240" s="146"/>
      <c r="IJM240" s="146"/>
      <c r="IJN240" s="146"/>
      <c r="IJO240" s="146"/>
      <c r="IJP240" s="146"/>
      <c r="IJQ240" s="146"/>
      <c r="IJR240" s="146"/>
      <c r="IJS240" s="146"/>
      <c r="IJT240" s="146"/>
      <c r="IJU240" s="146"/>
      <c r="IJV240" s="146"/>
      <c r="IJW240" s="146"/>
      <c r="IJX240" s="146"/>
      <c r="IJY240" s="146"/>
      <c r="IJZ240" s="146"/>
      <c r="IKA240" s="146"/>
      <c r="IKB240" s="146"/>
      <c r="IKC240" s="146"/>
      <c r="IKD240" s="146"/>
      <c r="IKE240" s="146"/>
      <c r="IKF240" s="146"/>
      <c r="IKG240" s="146"/>
      <c r="IKH240" s="146"/>
      <c r="IKI240" s="146"/>
      <c r="IKJ240" s="146"/>
      <c r="IKK240" s="146"/>
      <c r="IKL240" s="146"/>
      <c r="IKM240" s="146"/>
      <c r="IKN240" s="146"/>
      <c r="IKO240" s="146"/>
      <c r="IKP240" s="146"/>
      <c r="IKQ240" s="146"/>
      <c r="IKR240" s="146"/>
      <c r="IKS240" s="146"/>
      <c r="IKT240" s="146"/>
      <c r="IKU240" s="146"/>
      <c r="IKV240" s="146"/>
      <c r="IKW240" s="146"/>
      <c r="IKX240" s="146"/>
      <c r="IKY240" s="146"/>
      <c r="IKZ240" s="146"/>
      <c r="ILA240" s="146"/>
      <c r="ILB240" s="146"/>
      <c r="ILC240" s="146"/>
      <c r="ILD240" s="146"/>
      <c r="ILE240" s="146"/>
      <c r="ILF240" s="146"/>
      <c r="ILG240" s="146"/>
      <c r="ILH240" s="146"/>
      <c r="ILI240" s="146"/>
      <c r="ILJ240" s="146"/>
      <c r="ILK240" s="146"/>
      <c r="ILL240" s="146"/>
      <c r="ILM240" s="146"/>
      <c r="ILN240" s="146"/>
      <c r="ILO240" s="146"/>
      <c r="ILP240" s="146"/>
      <c r="ILQ240" s="146"/>
      <c r="ILR240" s="146"/>
      <c r="ILS240" s="146"/>
      <c r="ILT240" s="146"/>
      <c r="ILU240" s="146"/>
      <c r="ILV240" s="146"/>
      <c r="ILW240" s="146"/>
      <c r="ILX240" s="146"/>
      <c r="ILY240" s="146"/>
      <c r="ILZ240" s="146"/>
      <c r="IMA240" s="146"/>
      <c r="IMB240" s="146"/>
      <c r="IMC240" s="146"/>
      <c r="IMD240" s="146"/>
      <c r="IME240" s="146"/>
      <c r="IMF240" s="146"/>
      <c r="IMG240" s="146"/>
      <c r="IMH240" s="146"/>
      <c r="IMI240" s="146"/>
      <c r="IMJ240" s="146"/>
      <c r="IMK240" s="146"/>
      <c r="IML240" s="146"/>
      <c r="IMM240" s="146"/>
      <c r="IMN240" s="146"/>
      <c r="IMO240" s="146"/>
      <c r="IMP240" s="146"/>
      <c r="IMQ240" s="146"/>
      <c r="IMR240" s="146"/>
      <c r="IMS240" s="146"/>
      <c r="IMT240" s="146"/>
      <c r="IMU240" s="146"/>
      <c r="IMV240" s="146"/>
      <c r="IMW240" s="146"/>
      <c r="IMX240" s="146"/>
      <c r="IMY240" s="146"/>
      <c r="IMZ240" s="146"/>
      <c r="INA240" s="146"/>
      <c r="INB240" s="146"/>
      <c r="INC240" s="146"/>
      <c r="IND240" s="146"/>
      <c r="INE240" s="146"/>
      <c r="INF240" s="146"/>
      <c r="ING240" s="146"/>
      <c r="INH240" s="146"/>
      <c r="INI240" s="146"/>
      <c r="INJ240" s="146"/>
      <c r="INK240" s="146"/>
      <c r="INL240" s="146"/>
      <c r="INM240" s="146"/>
      <c r="INN240" s="146"/>
      <c r="INO240" s="146"/>
      <c r="INP240" s="146"/>
      <c r="INQ240" s="146"/>
      <c r="INR240" s="146"/>
      <c r="INS240" s="146"/>
      <c r="INT240" s="146"/>
      <c r="INU240" s="146"/>
      <c r="INV240" s="146"/>
      <c r="INW240" s="146"/>
      <c r="INX240" s="146"/>
      <c r="INY240" s="146"/>
      <c r="INZ240" s="146"/>
      <c r="IOA240" s="146"/>
      <c r="IOB240" s="146"/>
      <c r="IOC240" s="146"/>
      <c r="IOD240" s="146"/>
      <c r="IOE240" s="146"/>
      <c r="IOF240" s="146"/>
      <c r="IOG240" s="146"/>
      <c r="IOH240" s="146"/>
      <c r="IOI240" s="146"/>
      <c r="IOJ240" s="146"/>
      <c r="IOK240" s="146"/>
      <c r="IOL240" s="146"/>
      <c r="IOM240" s="146"/>
      <c r="ION240" s="146"/>
      <c r="IOO240" s="146"/>
      <c r="IOP240" s="146"/>
      <c r="IOQ240" s="146"/>
      <c r="IOR240" s="146"/>
      <c r="IOS240" s="146"/>
      <c r="IOT240" s="146"/>
      <c r="IOU240" s="146"/>
      <c r="IOV240" s="146"/>
      <c r="IOW240" s="146"/>
      <c r="IOX240" s="146"/>
      <c r="IOY240" s="146"/>
      <c r="IOZ240" s="146"/>
      <c r="IPA240" s="146"/>
      <c r="IPB240" s="146"/>
      <c r="IPC240" s="146"/>
      <c r="IPD240" s="146"/>
      <c r="IPE240" s="146"/>
      <c r="IPF240" s="146"/>
      <c r="IPG240" s="146"/>
      <c r="IPH240" s="146"/>
      <c r="IPI240" s="146"/>
      <c r="IPJ240" s="146"/>
      <c r="IPK240" s="146"/>
      <c r="IPL240" s="146"/>
      <c r="IPM240" s="146"/>
      <c r="IPN240" s="146"/>
      <c r="IPO240" s="146"/>
      <c r="IPP240" s="146"/>
      <c r="IPQ240" s="146"/>
      <c r="IPR240" s="146"/>
      <c r="IPS240" s="146"/>
      <c r="IPT240" s="146"/>
      <c r="IPU240" s="146"/>
      <c r="IPV240" s="146"/>
      <c r="IPW240" s="146"/>
      <c r="IPX240" s="146"/>
      <c r="IPY240" s="146"/>
      <c r="IPZ240" s="146"/>
      <c r="IQA240" s="146"/>
      <c r="IQB240" s="146"/>
      <c r="IQC240" s="146"/>
      <c r="IQD240" s="146"/>
      <c r="IQE240" s="146"/>
      <c r="IQF240" s="146"/>
      <c r="IQG240" s="146"/>
      <c r="IQH240" s="146"/>
      <c r="IQI240" s="146"/>
      <c r="IQJ240" s="146"/>
      <c r="IQK240" s="146"/>
      <c r="IQL240" s="146"/>
      <c r="IQM240" s="146"/>
      <c r="IQN240" s="146"/>
      <c r="IQO240" s="146"/>
      <c r="IQP240" s="146"/>
      <c r="IQQ240" s="146"/>
      <c r="IQR240" s="146"/>
      <c r="IQS240" s="146"/>
      <c r="IQT240" s="146"/>
      <c r="IQU240" s="146"/>
      <c r="IQV240" s="146"/>
      <c r="IQW240" s="146"/>
      <c r="IQX240" s="146"/>
      <c r="IQY240" s="146"/>
      <c r="IQZ240" s="146"/>
      <c r="IRA240" s="146"/>
      <c r="IRB240" s="146"/>
      <c r="IRC240" s="146"/>
      <c r="IRD240" s="146"/>
      <c r="IRE240" s="146"/>
      <c r="IRF240" s="146"/>
      <c r="IRG240" s="146"/>
      <c r="IRH240" s="146"/>
      <c r="IRI240" s="146"/>
      <c r="IRJ240" s="146"/>
      <c r="IRK240" s="146"/>
      <c r="IRL240" s="146"/>
      <c r="IRM240" s="146"/>
      <c r="IRN240" s="146"/>
      <c r="IRO240" s="146"/>
      <c r="IRP240" s="146"/>
      <c r="IRQ240" s="146"/>
      <c r="IRR240" s="146"/>
      <c r="IRS240" s="146"/>
      <c r="IRT240" s="146"/>
      <c r="IRU240" s="146"/>
      <c r="IRV240" s="146"/>
      <c r="IRW240" s="146"/>
      <c r="IRX240" s="146"/>
      <c r="IRY240" s="146"/>
      <c r="IRZ240" s="146"/>
      <c r="ISA240" s="146"/>
      <c r="ISB240" s="146"/>
      <c r="ISC240" s="146"/>
      <c r="ISD240" s="146"/>
      <c r="ISE240" s="146"/>
      <c r="ISF240" s="146"/>
      <c r="ISG240" s="146"/>
      <c r="ISH240" s="146"/>
      <c r="ISI240" s="146"/>
      <c r="ISJ240" s="146"/>
      <c r="ISK240" s="146"/>
      <c r="ISL240" s="146"/>
      <c r="ISM240" s="146"/>
      <c r="ISN240" s="146"/>
      <c r="ISO240" s="146"/>
      <c r="ISP240" s="146"/>
      <c r="ISQ240" s="146"/>
      <c r="ISR240" s="146"/>
      <c r="ISS240" s="146"/>
      <c r="IST240" s="146"/>
      <c r="ISU240" s="146"/>
      <c r="ISV240" s="146"/>
      <c r="ISW240" s="146"/>
      <c r="ISX240" s="146"/>
      <c r="ISY240" s="146"/>
      <c r="ISZ240" s="146"/>
      <c r="ITA240" s="146"/>
      <c r="ITB240" s="146"/>
      <c r="ITC240" s="146"/>
      <c r="ITD240" s="146"/>
      <c r="ITE240" s="146"/>
      <c r="ITF240" s="146"/>
      <c r="ITG240" s="146"/>
      <c r="ITH240" s="146"/>
      <c r="ITI240" s="146"/>
      <c r="ITJ240" s="146"/>
      <c r="ITK240" s="146"/>
      <c r="ITL240" s="146"/>
      <c r="ITM240" s="146"/>
      <c r="ITN240" s="146"/>
      <c r="ITO240" s="146"/>
      <c r="ITP240" s="146"/>
      <c r="ITQ240" s="146"/>
      <c r="ITR240" s="146"/>
      <c r="ITS240" s="146"/>
      <c r="ITT240" s="146"/>
      <c r="ITU240" s="146"/>
      <c r="ITV240" s="146"/>
      <c r="ITW240" s="146"/>
      <c r="ITX240" s="146"/>
      <c r="ITY240" s="146"/>
      <c r="ITZ240" s="146"/>
      <c r="IUA240" s="146"/>
      <c r="IUB240" s="146"/>
      <c r="IUC240" s="146"/>
      <c r="IUD240" s="146"/>
      <c r="IUE240" s="146"/>
      <c r="IUF240" s="146"/>
      <c r="IUG240" s="146"/>
      <c r="IUH240" s="146"/>
      <c r="IUI240" s="146"/>
      <c r="IUJ240" s="146"/>
      <c r="IUK240" s="146"/>
      <c r="IUL240" s="146"/>
      <c r="IUM240" s="146"/>
      <c r="IUN240" s="146"/>
      <c r="IUO240" s="146"/>
      <c r="IUP240" s="146"/>
      <c r="IUQ240" s="146"/>
      <c r="IUR240" s="146"/>
      <c r="IUS240" s="146"/>
      <c r="IUT240" s="146"/>
      <c r="IUU240" s="146"/>
      <c r="IUV240" s="146"/>
      <c r="IUW240" s="146"/>
      <c r="IUX240" s="146"/>
      <c r="IUY240" s="146"/>
      <c r="IUZ240" s="146"/>
      <c r="IVA240" s="146"/>
      <c r="IVB240" s="146"/>
      <c r="IVC240" s="146"/>
      <c r="IVD240" s="146"/>
      <c r="IVE240" s="146"/>
      <c r="IVF240" s="146"/>
      <c r="IVG240" s="146"/>
      <c r="IVH240" s="146"/>
      <c r="IVI240" s="146"/>
      <c r="IVJ240" s="146"/>
      <c r="IVK240" s="146"/>
      <c r="IVL240" s="146"/>
      <c r="IVM240" s="146"/>
      <c r="IVN240" s="146"/>
      <c r="IVO240" s="146"/>
      <c r="IVP240" s="146"/>
      <c r="IVQ240" s="146"/>
      <c r="IVR240" s="146"/>
      <c r="IVS240" s="146"/>
      <c r="IVT240" s="146"/>
      <c r="IVU240" s="146"/>
      <c r="IVV240" s="146"/>
      <c r="IVW240" s="146"/>
      <c r="IVX240" s="146"/>
      <c r="IVY240" s="146"/>
      <c r="IVZ240" s="146"/>
      <c r="IWA240" s="146"/>
      <c r="IWB240" s="146"/>
      <c r="IWC240" s="146"/>
      <c r="IWD240" s="146"/>
      <c r="IWE240" s="146"/>
      <c r="IWF240" s="146"/>
      <c r="IWG240" s="146"/>
      <c r="IWH240" s="146"/>
      <c r="IWI240" s="146"/>
      <c r="IWJ240" s="146"/>
      <c r="IWK240" s="146"/>
      <c r="IWL240" s="146"/>
      <c r="IWM240" s="146"/>
      <c r="IWN240" s="146"/>
      <c r="IWO240" s="146"/>
      <c r="IWP240" s="146"/>
      <c r="IWQ240" s="146"/>
      <c r="IWR240" s="146"/>
      <c r="IWS240" s="146"/>
      <c r="IWT240" s="146"/>
      <c r="IWU240" s="146"/>
      <c r="IWV240" s="146"/>
      <c r="IWW240" s="146"/>
      <c r="IWX240" s="146"/>
      <c r="IWY240" s="146"/>
      <c r="IWZ240" s="146"/>
      <c r="IXA240" s="146"/>
      <c r="IXB240" s="146"/>
      <c r="IXC240" s="146"/>
      <c r="IXD240" s="146"/>
      <c r="IXE240" s="146"/>
      <c r="IXF240" s="146"/>
      <c r="IXG240" s="146"/>
      <c r="IXH240" s="146"/>
      <c r="IXI240" s="146"/>
      <c r="IXJ240" s="146"/>
      <c r="IXK240" s="146"/>
      <c r="IXL240" s="146"/>
      <c r="IXM240" s="146"/>
      <c r="IXN240" s="146"/>
      <c r="IXO240" s="146"/>
      <c r="IXP240" s="146"/>
      <c r="IXQ240" s="146"/>
      <c r="IXR240" s="146"/>
      <c r="IXS240" s="146"/>
      <c r="IXT240" s="146"/>
      <c r="IXU240" s="146"/>
      <c r="IXV240" s="146"/>
      <c r="IXW240" s="146"/>
      <c r="IXX240" s="146"/>
      <c r="IXY240" s="146"/>
      <c r="IXZ240" s="146"/>
      <c r="IYA240" s="146"/>
      <c r="IYB240" s="146"/>
      <c r="IYC240" s="146"/>
      <c r="IYD240" s="146"/>
      <c r="IYE240" s="146"/>
      <c r="IYF240" s="146"/>
      <c r="IYG240" s="146"/>
      <c r="IYH240" s="146"/>
      <c r="IYI240" s="146"/>
      <c r="IYJ240" s="146"/>
      <c r="IYK240" s="146"/>
      <c r="IYL240" s="146"/>
      <c r="IYM240" s="146"/>
      <c r="IYN240" s="146"/>
      <c r="IYO240" s="146"/>
      <c r="IYP240" s="146"/>
      <c r="IYQ240" s="146"/>
      <c r="IYR240" s="146"/>
      <c r="IYS240" s="146"/>
      <c r="IYT240" s="146"/>
      <c r="IYU240" s="146"/>
      <c r="IYV240" s="146"/>
      <c r="IYW240" s="146"/>
      <c r="IYX240" s="146"/>
      <c r="IYY240" s="146"/>
      <c r="IYZ240" s="146"/>
      <c r="IZA240" s="146"/>
      <c r="IZB240" s="146"/>
      <c r="IZC240" s="146"/>
      <c r="IZD240" s="146"/>
      <c r="IZE240" s="146"/>
      <c r="IZF240" s="146"/>
      <c r="IZG240" s="146"/>
      <c r="IZH240" s="146"/>
      <c r="IZI240" s="146"/>
      <c r="IZJ240" s="146"/>
      <c r="IZK240" s="146"/>
      <c r="IZL240" s="146"/>
      <c r="IZM240" s="146"/>
      <c r="IZN240" s="146"/>
      <c r="IZO240" s="146"/>
      <c r="IZP240" s="146"/>
      <c r="IZQ240" s="146"/>
      <c r="IZR240" s="146"/>
      <c r="IZS240" s="146"/>
      <c r="IZT240" s="146"/>
      <c r="IZU240" s="146"/>
      <c r="IZV240" s="146"/>
      <c r="IZW240" s="146"/>
      <c r="IZX240" s="146"/>
      <c r="IZY240" s="146"/>
      <c r="IZZ240" s="146"/>
      <c r="JAA240" s="146"/>
      <c r="JAB240" s="146"/>
      <c r="JAC240" s="146"/>
      <c r="JAD240" s="146"/>
      <c r="JAE240" s="146"/>
      <c r="JAF240" s="146"/>
      <c r="JAG240" s="146"/>
      <c r="JAH240" s="146"/>
      <c r="JAI240" s="146"/>
      <c r="JAJ240" s="146"/>
      <c r="JAK240" s="146"/>
      <c r="JAL240" s="146"/>
      <c r="JAM240" s="146"/>
      <c r="JAN240" s="146"/>
      <c r="JAO240" s="146"/>
      <c r="JAP240" s="146"/>
      <c r="JAQ240" s="146"/>
      <c r="JAR240" s="146"/>
      <c r="JAS240" s="146"/>
      <c r="JAT240" s="146"/>
      <c r="JAU240" s="146"/>
      <c r="JAV240" s="146"/>
      <c r="JAW240" s="146"/>
      <c r="JAX240" s="146"/>
      <c r="JAY240" s="146"/>
      <c r="JAZ240" s="146"/>
      <c r="JBA240" s="146"/>
      <c r="JBB240" s="146"/>
      <c r="JBC240" s="146"/>
      <c r="JBD240" s="146"/>
      <c r="JBE240" s="146"/>
      <c r="JBF240" s="146"/>
      <c r="JBG240" s="146"/>
      <c r="JBH240" s="146"/>
      <c r="JBI240" s="146"/>
      <c r="JBJ240" s="146"/>
      <c r="JBK240" s="146"/>
      <c r="JBL240" s="146"/>
      <c r="JBM240" s="146"/>
      <c r="JBN240" s="146"/>
      <c r="JBO240" s="146"/>
      <c r="JBP240" s="146"/>
      <c r="JBQ240" s="146"/>
      <c r="JBR240" s="146"/>
      <c r="JBS240" s="146"/>
      <c r="JBT240" s="146"/>
      <c r="JBU240" s="146"/>
      <c r="JBV240" s="146"/>
      <c r="JBW240" s="146"/>
      <c r="JBX240" s="146"/>
      <c r="JBY240" s="146"/>
      <c r="JBZ240" s="146"/>
      <c r="JCA240" s="146"/>
      <c r="JCB240" s="146"/>
      <c r="JCC240" s="146"/>
      <c r="JCD240" s="146"/>
      <c r="JCE240" s="146"/>
      <c r="JCF240" s="146"/>
      <c r="JCG240" s="146"/>
      <c r="JCH240" s="146"/>
      <c r="JCI240" s="146"/>
      <c r="JCJ240" s="146"/>
      <c r="JCK240" s="146"/>
      <c r="JCL240" s="146"/>
      <c r="JCM240" s="146"/>
      <c r="JCN240" s="146"/>
      <c r="JCO240" s="146"/>
      <c r="JCP240" s="146"/>
      <c r="JCQ240" s="146"/>
      <c r="JCR240" s="146"/>
      <c r="JCS240" s="146"/>
      <c r="JCT240" s="146"/>
      <c r="JCU240" s="146"/>
      <c r="JCV240" s="146"/>
      <c r="JCW240" s="146"/>
      <c r="JCX240" s="146"/>
      <c r="JCY240" s="146"/>
      <c r="JCZ240" s="146"/>
      <c r="JDA240" s="146"/>
      <c r="JDB240" s="146"/>
      <c r="JDC240" s="146"/>
      <c r="JDD240" s="146"/>
      <c r="JDE240" s="146"/>
      <c r="JDF240" s="146"/>
      <c r="JDG240" s="146"/>
      <c r="JDH240" s="146"/>
      <c r="JDI240" s="146"/>
      <c r="JDJ240" s="146"/>
      <c r="JDK240" s="146"/>
      <c r="JDL240" s="146"/>
      <c r="JDM240" s="146"/>
      <c r="JDN240" s="146"/>
      <c r="JDO240" s="146"/>
      <c r="JDP240" s="146"/>
      <c r="JDQ240" s="146"/>
      <c r="JDR240" s="146"/>
      <c r="JDS240" s="146"/>
      <c r="JDT240" s="146"/>
      <c r="JDU240" s="146"/>
      <c r="JDV240" s="146"/>
      <c r="JDW240" s="146"/>
      <c r="JDX240" s="146"/>
      <c r="JDY240" s="146"/>
      <c r="JDZ240" s="146"/>
      <c r="JEA240" s="146"/>
      <c r="JEB240" s="146"/>
      <c r="JEC240" s="146"/>
      <c r="JED240" s="146"/>
      <c r="JEE240" s="146"/>
      <c r="JEF240" s="146"/>
      <c r="JEG240" s="146"/>
      <c r="JEH240" s="146"/>
      <c r="JEI240" s="146"/>
      <c r="JEJ240" s="146"/>
      <c r="JEK240" s="146"/>
      <c r="JEL240" s="146"/>
      <c r="JEM240" s="146"/>
      <c r="JEN240" s="146"/>
      <c r="JEO240" s="146"/>
      <c r="JEP240" s="146"/>
      <c r="JEQ240" s="146"/>
      <c r="JER240" s="146"/>
      <c r="JES240" s="146"/>
      <c r="JET240" s="146"/>
      <c r="JEU240" s="146"/>
      <c r="JEV240" s="146"/>
      <c r="JEW240" s="146"/>
      <c r="JEX240" s="146"/>
      <c r="JEY240" s="146"/>
      <c r="JEZ240" s="146"/>
      <c r="JFA240" s="146"/>
      <c r="JFB240" s="146"/>
      <c r="JFC240" s="146"/>
      <c r="JFD240" s="146"/>
      <c r="JFE240" s="146"/>
      <c r="JFF240" s="146"/>
      <c r="JFG240" s="146"/>
      <c r="JFH240" s="146"/>
      <c r="JFI240" s="146"/>
      <c r="JFJ240" s="146"/>
      <c r="JFK240" s="146"/>
      <c r="JFL240" s="146"/>
      <c r="JFM240" s="146"/>
      <c r="JFN240" s="146"/>
      <c r="JFO240" s="146"/>
      <c r="JFP240" s="146"/>
      <c r="JFQ240" s="146"/>
      <c r="JFR240" s="146"/>
      <c r="JFS240" s="146"/>
      <c r="JFT240" s="146"/>
      <c r="JFU240" s="146"/>
      <c r="JFV240" s="146"/>
      <c r="JFW240" s="146"/>
      <c r="JFX240" s="146"/>
      <c r="JFY240" s="146"/>
      <c r="JFZ240" s="146"/>
      <c r="JGA240" s="146"/>
      <c r="JGB240" s="146"/>
      <c r="JGC240" s="146"/>
      <c r="JGD240" s="146"/>
      <c r="JGE240" s="146"/>
      <c r="JGF240" s="146"/>
      <c r="JGG240" s="146"/>
      <c r="JGH240" s="146"/>
      <c r="JGI240" s="146"/>
      <c r="JGJ240" s="146"/>
      <c r="JGK240" s="146"/>
      <c r="JGL240" s="146"/>
      <c r="JGM240" s="146"/>
      <c r="JGN240" s="146"/>
      <c r="JGO240" s="146"/>
      <c r="JGP240" s="146"/>
      <c r="JGQ240" s="146"/>
      <c r="JGR240" s="146"/>
      <c r="JGS240" s="146"/>
      <c r="JGT240" s="146"/>
      <c r="JGU240" s="146"/>
      <c r="JGV240" s="146"/>
      <c r="JGW240" s="146"/>
      <c r="JGX240" s="146"/>
      <c r="JGY240" s="146"/>
      <c r="JGZ240" s="146"/>
      <c r="JHA240" s="146"/>
      <c r="JHB240" s="146"/>
      <c r="JHC240" s="146"/>
      <c r="JHD240" s="146"/>
      <c r="JHE240" s="146"/>
      <c r="JHF240" s="146"/>
      <c r="JHG240" s="146"/>
      <c r="JHH240" s="146"/>
      <c r="JHI240" s="146"/>
      <c r="JHJ240" s="146"/>
      <c r="JHK240" s="146"/>
      <c r="JHL240" s="146"/>
      <c r="JHM240" s="146"/>
      <c r="JHN240" s="146"/>
      <c r="JHO240" s="146"/>
      <c r="JHP240" s="146"/>
      <c r="JHQ240" s="146"/>
      <c r="JHR240" s="146"/>
      <c r="JHS240" s="146"/>
      <c r="JHT240" s="146"/>
      <c r="JHU240" s="146"/>
      <c r="JHV240" s="146"/>
      <c r="JHW240" s="146"/>
      <c r="JHX240" s="146"/>
      <c r="JHY240" s="146"/>
      <c r="JHZ240" s="146"/>
      <c r="JIA240" s="146"/>
      <c r="JIB240" s="146"/>
      <c r="JIC240" s="146"/>
      <c r="JID240" s="146"/>
      <c r="JIE240" s="146"/>
      <c r="JIF240" s="146"/>
      <c r="JIG240" s="146"/>
      <c r="JIH240" s="146"/>
      <c r="JII240" s="146"/>
      <c r="JIJ240" s="146"/>
      <c r="JIK240" s="146"/>
      <c r="JIL240" s="146"/>
      <c r="JIM240" s="146"/>
      <c r="JIN240" s="146"/>
      <c r="JIO240" s="146"/>
      <c r="JIP240" s="146"/>
      <c r="JIQ240" s="146"/>
      <c r="JIR240" s="146"/>
      <c r="JIS240" s="146"/>
      <c r="JIT240" s="146"/>
      <c r="JIU240" s="146"/>
      <c r="JIV240" s="146"/>
      <c r="JIW240" s="146"/>
      <c r="JIX240" s="146"/>
      <c r="JIY240" s="146"/>
      <c r="JIZ240" s="146"/>
      <c r="JJA240" s="146"/>
      <c r="JJB240" s="146"/>
      <c r="JJC240" s="146"/>
      <c r="JJD240" s="146"/>
      <c r="JJE240" s="146"/>
      <c r="JJF240" s="146"/>
      <c r="JJG240" s="146"/>
      <c r="JJH240" s="146"/>
      <c r="JJI240" s="146"/>
      <c r="JJJ240" s="146"/>
      <c r="JJK240" s="146"/>
      <c r="JJL240" s="146"/>
      <c r="JJM240" s="146"/>
      <c r="JJN240" s="146"/>
      <c r="JJO240" s="146"/>
      <c r="JJP240" s="146"/>
      <c r="JJQ240" s="146"/>
      <c r="JJR240" s="146"/>
      <c r="JJS240" s="146"/>
      <c r="JJT240" s="146"/>
      <c r="JJU240" s="146"/>
      <c r="JJV240" s="146"/>
      <c r="JJW240" s="146"/>
      <c r="JJX240" s="146"/>
      <c r="JJY240" s="146"/>
      <c r="JJZ240" s="146"/>
      <c r="JKA240" s="146"/>
      <c r="JKB240" s="146"/>
      <c r="JKC240" s="146"/>
      <c r="JKD240" s="146"/>
      <c r="JKE240" s="146"/>
      <c r="JKF240" s="146"/>
      <c r="JKG240" s="146"/>
      <c r="JKH240" s="146"/>
      <c r="JKI240" s="146"/>
      <c r="JKJ240" s="146"/>
      <c r="JKK240" s="146"/>
      <c r="JKL240" s="146"/>
      <c r="JKM240" s="146"/>
      <c r="JKN240" s="146"/>
      <c r="JKO240" s="146"/>
      <c r="JKP240" s="146"/>
      <c r="JKQ240" s="146"/>
      <c r="JKR240" s="146"/>
      <c r="JKS240" s="146"/>
      <c r="JKT240" s="146"/>
      <c r="JKU240" s="146"/>
      <c r="JKV240" s="146"/>
      <c r="JKW240" s="146"/>
      <c r="JKX240" s="146"/>
      <c r="JKY240" s="146"/>
      <c r="JKZ240" s="146"/>
      <c r="JLA240" s="146"/>
      <c r="JLB240" s="146"/>
      <c r="JLC240" s="146"/>
      <c r="JLD240" s="146"/>
      <c r="JLE240" s="146"/>
      <c r="JLF240" s="146"/>
      <c r="JLG240" s="146"/>
      <c r="JLH240" s="146"/>
      <c r="JLI240" s="146"/>
      <c r="JLJ240" s="146"/>
      <c r="JLK240" s="146"/>
      <c r="JLL240" s="146"/>
      <c r="JLM240" s="146"/>
      <c r="JLN240" s="146"/>
      <c r="JLO240" s="146"/>
      <c r="JLP240" s="146"/>
      <c r="JLQ240" s="146"/>
      <c r="JLR240" s="146"/>
      <c r="JLS240" s="146"/>
      <c r="JLT240" s="146"/>
      <c r="JLU240" s="146"/>
      <c r="JLV240" s="146"/>
      <c r="JLW240" s="146"/>
      <c r="JLX240" s="146"/>
      <c r="JLY240" s="146"/>
      <c r="JLZ240" s="146"/>
      <c r="JMA240" s="146"/>
      <c r="JMB240" s="146"/>
      <c r="JMC240" s="146"/>
      <c r="JMD240" s="146"/>
      <c r="JME240" s="146"/>
      <c r="JMF240" s="146"/>
      <c r="JMG240" s="146"/>
      <c r="JMH240" s="146"/>
      <c r="JMI240" s="146"/>
      <c r="JMJ240" s="146"/>
      <c r="JMK240" s="146"/>
      <c r="JML240" s="146"/>
      <c r="JMM240" s="146"/>
      <c r="JMN240" s="146"/>
      <c r="JMO240" s="146"/>
      <c r="JMP240" s="146"/>
      <c r="JMQ240" s="146"/>
      <c r="JMR240" s="146"/>
      <c r="JMS240" s="146"/>
      <c r="JMT240" s="146"/>
      <c r="JMU240" s="146"/>
      <c r="JMV240" s="146"/>
      <c r="JMW240" s="146"/>
      <c r="JMX240" s="146"/>
      <c r="JMY240" s="146"/>
      <c r="JMZ240" s="146"/>
      <c r="JNA240" s="146"/>
      <c r="JNB240" s="146"/>
      <c r="JNC240" s="146"/>
      <c r="JND240" s="146"/>
      <c r="JNE240" s="146"/>
      <c r="JNF240" s="146"/>
      <c r="JNG240" s="146"/>
      <c r="JNH240" s="146"/>
      <c r="JNI240" s="146"/>
      <c r="JNJ240" s="146"/>
      <c r="JNK240" s="146"/>
      <c r="JNL240" s="146"/>
      <c r="JNM240" s="146"/>
      <c r="JNN240" s="146"/>
      <c r="JNO240" s="146"/>
      <c r="JNP240" s="146"/>
      <c r="JNQ240" s="146"/>
      <c r="JNR240" s="146"/>
      <c r="JNS240" s="146"/>
      <c r="JNT240" s="146"/>
      <c r="JNU240" s="146"/>
      <c r="JNV240" s="146"/>
      <c r="JNW240" s="146"/>
      <c r="JNX240" s="146"/>
      <c r="JNY240" s="146"/>
      <c r="JNZ240" s="146"/>
      <c r="JOA240" s="146"/>
      <c r="JOB240" s="146"/>
      <c r="JOC240" s="146"/>
      <c r="JOD240" s="146"/>
      <c r="JOE240" s="146"/>
      <c r="JOF240" s="146"/>
      <c r="JOG240" s="146"/>
      <c r="JOH240" s="146"/>
      <c r="JOI240" s="146"/>
      <c r="JOJ240" s="146"/>
      <c r="JOK240" s="146"/>
      <c r="JOL240" s="146"/>
      <c r="JOM240" s="146"/>
      <c r="JON240" s="146"/>
      <c r="JOO240" s="146"/>
      <c r="JOP240" s="146"/>
      <c r="JOQ240" s="146"/>
      <c r="JOR240" s="146"/>
      <c r="JOS240" s="146"/>
      <c r="JOT240" s="146"/>
      <c r="JOU240" s="146"/>
      <c r="JOV240" s="146"/>
      <c r="JOW240" s="146"/>
      <c r="JOX240" s="146"/>
      <c r="JOY240" s="146"/>
      <c r="JOZ240" s="146"/>
      <c r="JPA240" s="146"/>
      <c r="JPB240" s="146"/>
      <c r="JPC240" s="146"/>
      <c r="JPD240" s="146"/>
      <c r="JPE240" s="146"/>
      <c r="JPF240" s="146"/>
      <c r="JPG240" s="146"/>
      <c r="JPH240" s="146"/>
      <c r="JPI240" s="146"/>
      <c r="JPJ240" s="146"/>
      <c r="JPK240" s="146"/>
      <c r="JPL240" s="146"/>
      <c r="JPM240" s="146"/>
      <c r="JPN240" s="146"/>
      <c r="JPO240" s="146"/>
      <c r="JPP240" s="146"/>
      <c r="JPQ240" s="146"/>
      <c r="JPR240" s="146"/>
      <c r="JPS240" s="146"/>
      <c r="JPT240" s="146"/>
      <c r="JPU240" s="146"/>
      <c r="JPV240" s="146"/>
      <c r="JPW240" s="146"/>
      <c r="JPX240" s="146"/>
      <c r="JPY240" s="146"/>
      <c r="JPZ240" s="146"/>
      <c r="JQA240" s="146"/>
      <c r="JQB240" s="146"/>
      <c r="JQC240" s="146"/>
      <c r="JQD240" s="146"/>
      <c r="JQE240" s="146"/>
      <c r="JQF240" s="146"/>
      <c r="JQG240" s="146"/>
      <c r="JQH240" s="146"/>
      <c r="JQI240" s="146"/>
      <c r="JQJ240" s="146"/>
      <c r="JQK240" s="146"/>
      <c r="JQL240" s="146"/>
      <c r="JQM240" s="146"/>
      <c r="JQN240" s="146"/>
      <c r="JQO240" s="146"/>
      <c r="JQP240" s="146"/>
      <c r="JQQ240" s="146"/>
      <c r="JQR240" s="146"/>
      <c r="JQS240" s="146"/>
      <c r="JQT240" s="146"/>
      <c r="JQU240" s="146"/>
      <c r="JQV240" s="146"/>
      <c r="JQW240" s="146"/>
      <c r="JQX240" s="146"/>
      <c r="JQY240" s="146"/>
      <c r="JQZ240" s="146"/>
      <c r="JRA240" s="146"/>
      <c r="JRB240" s="146"/>
      <c r="JRC240" s="146"/>
      <c r="JRD240" s="146"/>
      <c r="JRE240" s="146"/>
      <c r="JRF240" s="146"/>
      <c r="JRG240" s="146"/>
      <c r="JRH240" s="146"/>
      <c r="JRI240" s="146"/>
      <c r="JRJ240" s="146"/>
      <c r="JRK240" s="146"/>
      <c r="JRL240" s="146"/>
      <c r="JRM240" s="146"/>
      <c r="JRN240" s="146"/>
      <c r="JRO240" s="146"/>
      <c r="JRP240" s="146"/>
      <c r="JRQ240" s="146"/>
      <c r="JRR240" s="146"/>
      <c r="JRS240" s="146"/>
      <c r="JRT240" s="146"/>
      <c r="JRU240" s="146"/>
      <c r="JRV240" s="146"/>
      <c r="JRW240" s="146"/>
      <c r="JRX240" s="146"/>
      <c r="JRY240" s="146"/>
      <c r="JRZ240" s="146"/>
      <c r="JSA240" s="146"/>
      <c r="JSB240" s="146"/>
      <c r="JSC240" s="146"/>
      <c r="JSD240" s="146"/>
      <c r="JSE240" s="146"/>
      <c r="JSF240" s="146"/>
      <c r="JSG240" s="146"/>
      <c r="JSH240" s="146"/>
      <c r="JSI240" s="146"/>
      <c r="JSJ240" s="146"/>
      <c r="JSK240" s="146"/>
      <c r="JSL240" s="146"/>
      <c r="JSM240" s="146"/>
      <c r="JSN240" s="146"/>
      <c r="JSO240" s="146"/>
      <c r="JSP240" s="146"/>
      <c r="JSQ240" s="146"/>
      <c r="JSR240" s="146"/>
      <c r="JSS240" s="146"/>
      <c r="JST240" s="146"/>
      <c r="JSU240" s="146"/>
      <c r="JSV240" s="146"/>
      <c r="JSW240" s="146"/>
      <c r="JSX240" s="146"/>
      <c r="JSY240" s="146"/>
      <c r="JSZ240" s="146"/>
      <c r="JTA240" s="146"/>
      <c r="JTB240" s="146"/>
      <c r="JTC240" s="146"/>
      <c r="JTD240" s="146"/>
      <c r="JTE240" s="146"/>
      <c r="JTF240" s="146"/>
      <c r="JTG240" s="146"/>
      <c r="JTH240" s="146"/>
      <c r="JTI240" s="146"/>
      <c r="JTJ240" s="146"/>
      <c r="JTK240" s="146"/>
      <c r="JTL240" s="146"/>
      <c r="JTM240" s="146"/>
      <c r="JTN240" s="146"/>
      <c r="JTO240" s="146"/>
      <c r="JTP240" s="146"/>
      <c r="JTQ240" s="146"/>
      <c r="JTR240" s="146"/>
      <c r="JTS240" s="146"/>
      <c r="JTT240" s="146"/>
      <c r="JTU240" s="146"/>
      <c r="JTV240" s="146"/>
      <c r="JTW240" s="146"/>
      <c r="JTX240" s="146"/>
      <c r="JTY240" s="146"/>
      <c r="JTZ240" s="146"/>
      <c r="JUA240" s="146"/>
      <c r="JUB240" s="146"/>
      <c r="JUC240" s="146"/>
      <c r="JUD240" s="146"/>
      <c r="JUE240" s="146"/>
      <c r="JUF240" s="146"/>
      <c r="JUG240" s="146"/>
      <c r="JUH240" s="146"/>
      <c r="JUI240" s="146"/>
      <c r="JUJ240" s="146"/>
      <c r="JUK240" s="146"/>
      <c r="JUL240" s="146"/>
      <c r="JUM240" s="146"/>
      <c r="JUN240" s="146"/>
      <c r="JUO240" s="146"/>
      <c r="JUP240" s="146"/>
      <c r="JUQ240" s="146"/>
      <c r="JUR240" s="146"/>
      <c r="JUS240" s="146"/>
      <c r="JUT240" s="146"/>
      <c r="JUU240" s="146"/>
      <c r="JUV240" s="146"/>
      <c r="JUW240" s="146"/>
      <c r="JUX240" s="146"/>
      <c r="JUY240" s="146"/>
      <c r="JUZ240" s="146"/>
      <c r="JVA240" s="146"/>
      <c r="JVB240" s="146"/>
      <c r="JVC240" s="146"/>
      <c r="JVD240" s="146"/>
      <c r="JVE240" s="146"/>
      <c r="JVF240" s="146"/>
      <c r="JVG240" s="146"/>
      <c r="JVH240" s="146"/>
      <c r="JVI240" s="146"/>
      <c r="JVJ240" s="146"/>
      <c r="JVK240" s="146"/>
      <c r="JVL240" s="146"/>
      <c r="JVM240" s="146"/>
      <c r="JVN240" s="146"/>
      <c r="JVO240" s="146"/>
      <c r="JVP240" s="146"/>
      <c r="JVQ240" s="146"/>
      <c r="JVR240" s="146"/>
      <c r="JVS240" s="146"/>
      <c r="JVT240" s="146"/>
      <c r="JVU240" s="146"/>
      <c r="JVV240" s="146"/>
      <c r="JVW240" s="146"/>
      <c r="JVX240" s="146"/>
      <c r="JVY240" s="146"/>
      <c r="JVZ240" s="146"/>
      <c r="JWA240" s="146"/>
      <c r="JWB240" s="146"/>
      <c r="JWC240" s="146"/>
      <c r="JWD240" s="146"/>
      <c r="JWE240" s="146"/>
      <c r="JWF240" s="146"/>
      <c r="JWG240" s="146"/>
      <c r="JWH240" s="146"/>
      <c r="JWI240" s="146"/>
      <c r="JWJ240" s="146"/>
      <c r="JWK240" s="146"/>
      <c r="JWL240" s="146"/>
      <c r="JWM240" s="146"/>
      <c r="JWN240" s="146"/>
      <c r="JWO240" s="146"/>
      <c r="JWP240" s="146"/>
      <c r="JWQ240" s="146"/>
      <c r="JWR240" s="146"/>
      <c r="JWS240" s="146"/>
      <c r="JWT240" s="146"/>
      <c r="JWU240" s="146"/>
      <c r="JWV240" s="146"/>
      <c r="JWW240" s="146"/>
      <c r="JWX240" s="146"/>
      <c r="JWY240" s="146"/>
      <c r="JWZ240" s="146"/>
      <c r="JXA240" s="146"/>
      <c r="JXB240" s="146"/>
      <c r="JXC240" s="146"/>
      <c r="JXD240" s="146"/>
      <c r="JXE240" s="146"/>
      <c r="JXF240" s="146"/>
      <c r="JXG240" s="146"/>
      <c r="JXH240" s="146"/>
      <c r="JXI240" s="146"/>
      <c r="JXJ240" s="146"/>
      <c r="JXK240" s="146"/>
      <c r="JXL240" s="146"/>
      <c r="JXM240" s="146"/>
      <c r="JXN240" s="146"/>
      <c r="JXO240" s="146"/>
      <c r="JXP240" s="146"/>
      <c r="JXQ240" s="146"/>
      <c r="JXR240" s="146"/>
      <c r="JXS240" s="146"/>
      <c r="JXT240" s="146"/>
      <c r="JXU240" s="146"/>
      <c r="JXV240" s="146"/>
      <c r="JXW240" s="146"/>
      <c r="JXX240" s="146"/>
      <c r="JXY240" s="146"/>
      <c r="JXZ240" s="146"/>
      <c r="JYA240" s="146"/>
      <c r="JYB240" s="146"/>
      <c r="JYC240" s="146"/>
      <c r="JYD240" s="146"/>
      <c r="JYE240" s="146"/>
      <c r="JYF240" s="146"/>
      <c r="JYG240" s="146"/>
      <c r="JYH240" s="146"/>
      <c r="JYI240" s="146"/>
      <c r="JYJ240" s="146"/>
      <c r="JYK240" s="146"/>
      <c r="JYL240" s="146"/>
      <c r="JYM240" s="146"/>
      <c r="JYN240" s="146"/>
      <c r="JYO240" s="146"/>
      <c r="JYP240" s="146"/>
      <c r="JYQ240" s="146"/>
      <c r="JYR240" s="146"/>
      <c r="JYS240" s="146"/>
      <c r="JYT240" s="146"/>
      <c r="JYU240" s="146"/>
      <c r="JYV240" s="146"/>
      <c r="JYW240" s="146"/>
      <c r="JYX240" s="146"/>
      <c r="JYY240" s="146"/>
      <c r="JYZ240" s="146"/>
      <c r="JZA240" s="146"/>
      <c r="JZB240" s="146"/>
      <c r="JZC240" s="146"/>
      <c r="JZD240" s="146"/>
      <c r="JZE240" s="146"/>
      <c r="JZF240" s="146"/>
      <c r="JZG240" s="146"/>
      <c r="JZH240" s="146"/>
      <c r="JZI240" s="146"/>
      <c r="JZJ240" s="146"/>
      <c r="JZK240" s="146"/>
      <c r="JZL240" s="146"/>
      <c r="JZM240" s="146"/>
      <c r="JZN240" s="146"/>
      <c r="JZO240" s="146"/>
      <c r="JZP240" s="146"/>
      <c r="JZQ240" s="146"/>
      <c r="JZR240" s="146"/>
      <c r="JZS240" s="146"/>
      <c r="JZT240" s="146"/>
      <c r="JZU240" s="146"/>
      <c r="JZV240" s="146"/>
      <c r="JZW240" s="146"/>
      <c r="JZX240" s="146"/>
      <c r="JZY240" s="146"/>
      <c r="JZZ240" s="146"/>
      <c r="KAA240" s="146"/>
      <c r="KAB240" s="146"/>
      <c r="KAC240" s="146"/>
      <c r="KAD240" s="146"/>
      <c r="KAE240" s="146"/>
      <c r="KAF240" s="146"/>
      <c r="KAG240" s="146"/>
      <c r="KAH240" s="146"/>
      <c r="KAI240" s="146"/>
      <c r="KAJ240" s="146"/>
      <c r="KAK240" s="146"/>
      <c r="KAL240" s="146"/>
      <c r="KAM240" s="146"/>
      <c r="KAN240" s="146"/>
      <c r="KAO240" s="146"/>
      <c r="KAP240" s="146"/>
      <c r="KAQ240" s="146"/>
      <c r="KAR240" s="146"/>
      <c r="KAS240" s="146"/>
      <c r="KAT240" s="146"/>
      <c r="KAU240" s="146"/>
      <c r="KAV240" s="146"/>
      <c r="KAW240" s="146"/>
      <c r="KAX240" s="146"/>
      <c r="KAY240" s="146"/>
      <c r="KAZ240" s="146"/>
      <c r="KBA240" s="146"/>
      <c r="KBB240" s="146"/>
      <c r="KBC240" s="146"/>
      <c r="KBD240" s="146"/>
      <c r="KBE240" s="146"/>
      <c r="KBF240" s="146"/>
      <c r="KBG240" s="146"/>
      <c r="KBH240" s="146"/>
      <c r="KBI240" s="146"/>
      <c r="KBJ240" s="146"/>
      <c r="KBK240" s="146"/>
      <c r="KBL240" s="146"/>
      <c r="KBM240" s="146"/>
      <c r="KBN240" s="146"/>
      <c r="KBO240" s="146"/>
      <c r="KBP240" s="146"/>
      <c r="KBQ240" s="146"/>
      <c r="KBR240" s="146"/>
      <c r="KBS240" s="146"/>
      <c r="KBT240" s="146"/>
      <c r="KBU240" s="146"/>
      <c r="KBV240" s="146"/>
      <c r="KBW240" s="146"/>
      <c r="KBX240" s="146"/>
      <c r="KBY240" s="146"/>
      <c r="KBZ240" s="146"/>
      <c r="KCA240" s="146"/>
      <c r="KCB240" s="146"/>
      <c r="KCC240" s="146"/>
      <c r="KCD240" s="146"/>
      <c r="KCE240" s="146"/>
      <c r="KCF240" s="146"/>
      <c r="KCG240" s="146"/>
      <c r="KCH240" s="146"/>
      <c r="KCI240" s="146"/>
      <c r="KCJ240" s="146"/>
      <c r="KCK240" s="146"/>
      <c r="KCL240" s="146"/>
      <c r="KCM240" s="146"/>
      <c r="KCN240" s="146"/>
      <c r="KCO240" s="146"/>
      <c r="KCP240" s="146"/>
      <c r="KCQ240" s="146"/>
      <c r="KCR240" s="146"/>
      <c r="KCS240" s="146"/>
      <c r="KCT240" s="146"/>
      <c r="KCU240" s="146"/>
      <c r="KCV240" s="146"/>
      <c r="KCW240" s="146"/>
      <c r="KCX240" s="146"/>
      <c r="KCY240" s="146"/>
      <c r="KCZ240" s="146"/>
      <c r="KDA240" s="146"/>
      <c r="KDB240" s="146"/>
      <c r="KDC240" s="146"/>
      <c r="KDD240" s="146"/>
      <c r="KDE240" s="146"/>
      <c r="KDF240" s="146"/>
      <c r="KDG240" s="146"/>
      <c r="KDH240" s="146"/>
      <c r="KDI240" s="146"/>
      <c r="KDJ240" s="146"/>
      <c r="KDK240" s="146"/>
      <c r="KDL240" s="146"/>
      <c r="KDM240" s="146"/>
      <c r="KDN240" s="146"/>
      <c r="KDO240" s="146"/>
      <c r="KDP240" s="146"/>
      <c r="KDQ240" s="146"/>
      <c r="KDR240" s="146"/>
      <c r="KDS240" s="146"/>
      <c r="KDT240" s="146"/>
      <c r="KDU240" s="146"/>
      <c r="KDV240" s="146"/>
      <c r="KDW240" s="146"/>
      <c r="KDX240" s="146"/>
      <c r="KDY240" s="146"/>
      <c r="KDZ240" s="146"/>
      <c r="KEA240" s="146"/>
      <c r="KEB240" s="146"/>
      <c r="KEC240" s="146"/>
      <c r="KED240" s="146"/>
      <c r="KEE240" s="146"/>
      <c r="KEF240" s="146"/>
      <c r="KEG240" s="146"/>
      <c r="KEH240" s="146"/>
      <c r="KEI240" s="146"/>
      <c r="KEJ240" s="146"/>
      <c r="KEK240" s="146"/>
      <c r="KEL240" s="146"/>
      <c r="KEM240" s="146"/>
      <c r="KEN240" s="146"/>
      <c r="KEO240" s="146"/>
      <c r="KEP240" s="146"/>
      <c r="KEQ240" s="146"/>
      <c r="KER240" s="146"/>
      <c r="KES240" s="146"/>
      <c r="KET240" s="146"/>
      <c r="KEU240" s="146"/>
      <c r="KEV240" s="146"/>
      <c r="KEW240" s="146"/>
      <c r="KEX240" s="146"/>
      <c r="KEY240" s="146"/>
      <c r="KEZ240" s="146"/>
      <c r="KFA240" s="146"/>
      <c r="KFB240" s="146"/>
      <c r="KFC240" s="146"/>
      <c r="KFD240" s="146"/>
      <c r="KFE240" s="146"/>
      <c r="KFF240" s="146"/>
      <c r="KFG240" s="146"/>
      <c r="KFH240" s="146"/>
      <c r="KFI240" s="146"/>
      <c r="KFJ240" s="146"/>
      <c r="KFK240" s="146"/>
      <c r="KFL240" s="146"/>
      <c r="KFM240" s="146"/>
      <c r="KFN240" s="146"/>
      <c r="KFO240" s="146"/>
      <c r="KFP240" s="146"/>
      <c r="KFQ240" s="146"/>
      <c r="KFR240" s="146"/>
      <c r="KFS240" s="146"/>
      <c r="KFT240" s="146"/>
      <c r="KFU240" s="146"/>
      <c r="KFV240" s="146"/>
      <c r="KFW240" s="146"/>
      <c r="KFX240" s="146"/>
      <c r="KFY240" s="146"/>
      <c r="KFZ240" s="146"/>
      <c r="KGA240" s="146"/>
      <c r="KGB240" s="146"/>
      <c r="KGC240" s="146"/>
      <c r="KGD240" s="146"/>
      <c r="KGE240" s="146"/>
      <c r="KGF240" s="146"/>
      <c r="KGG240" s="146"/>
      <c r="KGH240" s="146"/>
      <c r="KGI240" s="146"/>
      <c r="KGJ240" s="146"/>
      <c r="KGK240" s="146"/>
      <c r="KGL240" s="146"/>
      <c r="KGM240" s="146"/>
      <c r="KGN240" s="146"/>
      <c r="KGO240" s="146"/>
      <c r="KGP240" s="146"/>
      <c r="KGQ240" s="146"/>
      <c r="KGR240" s="146"/>
      <c r="KGS240" s="146"/>
      <c r="KGT240" s="146"/>
      <c r="KGU240" s="146"/>
      <c r="KGV240" s="146"/>
      <c r="KGW240" s="146"/>
      <c r="KGX240" s="146"/>
      <c r="KGY240" s="146"/>
      <c r="KGZ240" s="146"/>
      <c r="KHA240" s="146"/>
      <c r="KHB240" s="146"/>
      <c r="KHC240" s="146"/>
      <c r="KHD240" s="146"/>
      <c r="KHE240" s="146"/>
      <c r="KHF240" s="146"/>
      <c r="KHG240" s="146"/>
      <c r="KHH240" s="146"/>
      <c r="KHI240" s="146"/>
      <c r="KHJ240" s="146"/>
      <c r="KHK240" s="146"/>
      <c r="KHL240" s="146"/>
      <c r="KHM240" s="146"/>
      <c r="KHN240" s="146"/>
      <c r="KHO240" s="146"/>
      <c r="KHP240" s="146"/>
      <c r="KHQ240" s="146"/>
      <c r="KHR240" s="146"/>
      <c r="KHS240" s="146"/>
      <c r="KHT240" s="146"/>
      <c r="KHU240" s="146"/>
      <c r="KHV240" s="146"/>
      <c r="KHW240" s="146"/>
      <c r="KHX240" s="146"/>
      <c r="KHY240" s="146"/>
      <c r="KHZ240" s="146"/>
      <c r="KIA240" s="146"/>
      <c r="KIB240" s="146"/>
      <c r="KIC240" s="146"/>
      <c r="KID240" s="146"/>
      <c r="KIE240" s="146"/>
      <c r="KIF240" s="146"/>
      <c r="KIG240" s="146"/>
      <c r="KIH240" s="146"/>
      <c r="KII240" s="146"/>
      <c r="KIJ240" s="146"/>
      <c r="KIK240" s="146"/>
      <c r="KIL240" s="146"/>
      <c r="KIM240" s="146"/>
      <c r="KIN240" s="146"/>
      <c r="KIO240" s="146"/>
      <c r="KIP240" s="146"/>
      <c r="KIQ240" s="146"/>
      <c r="KIR240" s="146"/>
      <c r="KIS240" s="146"/>
      <c r="KIT240" s="146"/>
      <c r="KIU240" s="146"/>
      <c r="KIV240" s="146"/>
      <c r="KIW240" s="146"/>
      <c r="KIX240" s="146"/>
      <c r="KIY240" s="146"/>
      <c r="KIZ240" s="146"/>
      <c r="KJA240" s="146"/>
      <c r="KJB240" s="146"/>
      <c r="KJC240" s="146"/>
      <c r="KJD240" s="146"/>
      <c r="KJE240" s="146"/>
      <c r="KJF240" s="146"/>
      <c r="KJG240" s="146"/>
      <c r="KJH240" s="146"/>
      <c r="KJI240" s="146"/>
      <c r="KJJ240" s="146"/>
      <c r="KJK240" s="146"/>
      <c r="KJL240" s="146"/>
      <c r="KJM240" s="146"/>
      <c r="KJN240" s="146"/>
      <c r="KJO240" s="146"/>
      <c r="KJP240" s="146"/>
      <c r="KJQ240" s="146"/>
      <c r="KJR240" s="146"/>
      <c r="KJS240" s="146"/>
      <c r="KJT240" s="146"/>
      <c r="KJU240" s="146"/>
      <c r="KJV240" s="146"/>
      <c r="KJW240" s="146"/>
      <c r="KJX240" s="146"/>
      <c r="KJY240" s="146"/>
      <c r="KJZ240" s="146"/>
      <c r="KKA240" s="146"/>
      <c r="KKB240" s="146"/>
      <c r="KKC240" s="146"/>
      <c r="KKD240" s="146"/>
      <c r="KKE240" s="146"/>
      <c r="KKF240" s="146"/>
      <c r="KKG240" s="146"/>
      <c r="KKH240" s="146"/>
      <c r="KKI240" s="146"/>
      <c r="KKJ240" s="146"/>
      <c r="KKK240" s="146"/>
      <c r="KKL240" s="146"/>
      <c r="KKM240" s="146"/>
      <c r="KKN240" s="146"/>
      <c r="KKO240" s="146"/>
      <c r="KKP240" s="146"/>
      <c r="KKQ240" s="146"/>
      <c r="KKR240" s="146"/>
      <c r="KKS240" s="146"/>
      <c r="KKT240" s="146"/>
      <c r="KKU240" s="146"/>
      <c r="KKV240" s="146"/>
      <c r="KKW240" s="146"/>
      <c r="KKX240" s="146"/>
      <c r="KKY240" s="146"/>
      <c r="KKZ240" s="146"/>
      <c r="KLA240" s="146"/>
      <c r="KLB240" s="146"/>
      <c r="KLC240" s="146"/>
      <c r="KLD240" s="146"/>
      <c r="KLE240" s="146"/>
      <c r="KLF240" s="146"/>
      <c r="KLG240" s="146"/>
      <c r="KLH240" s="146"/>
      <c r="KLI240" s="146"/>
      <c r="KLJ240" s="146"/>
      <c r="KLK240" s="146"/>
      <c r="KLL240" s="146"/>
      <c r="KLM240" s="146"/>
      <c r="KLN240" s="146"/>
      <c r="KLO240" s="146"/>
      <c r="KLP240" s="146"/>
      <c r="KLQ240" s="146"/>
      <c r="KLR240" s="146"/>
      <c r="KLS240" s="146"/>
      <c r="KLT240" s="146"/>
      <c r="KLU240" s="146"/>
      <c r="KLV240" s="146"/>
      <c r="KLW240" s="146"/>
      <c r="KLX240" s="146"/>
      <c r="KLY240" s="146"/>
      <c r="KLZ240" s="146"/>
      <c r="KMA240" s="146"/>
      <c r="KMB240" s="146"/>
      <c r="KMC240" s="146"/>
      <c r="KMD240" s="146"/>
      <c r="KME240" s="146"/>
      <c r="KMF240" s="146"/>
      <c r="KMG240" s="146"/>
      <c r="KMH240" s="146"/>
      <c r="KMI240" s="146"/>
      <c r="KMJ240" s="146"/>
      <c r="KMK240" s="146"/>
      <c r="KML240" s="146"/>
      <c r="KMM240" s="146"/>
      <c r="KMN240" s="146"/>
      <c r="KMO240" s="146"/>
      <c r="KMP240" s="146"/>
      <c r="KMQ240" s="146"/>
      <c r="KMR240" s="146"/>
      <c r="KMS240" s="146"/>
      <c r="KMT240" s="146"/>
      <c r="KMU240" s="146"/>
      <c r="KMV240" s="146"/>
      <c r="KMW240" s="146"/>
      <c r="KMX240" s="146"/>
      <c r="KMY240" s="146"/>
      <c r="KMZ240" s="146"/>
      <c r="KNA240" s="146"/>
      <c r="KNB240" s="146"/>
      <c r="KNC240" s="146"/>
      <c r="KND240" s="146"/>
      <c r="KNE240" s="146"/>
      <c r="KNF240" s="146"/>
      <c r="KNG240" s="146"/>
      <c r="KNH240" s="146"/>
      <c r="KNI240" s="146"/>
      <c r="KNJ240" s="146"/>
      <c r="KNK240" s="146"/>
      <c r="KNL240" s="146"/>
      <c r="KNM240" s="146"/>
      <c r="KNN240" s="146"/>
      <c r="KNO240" s="146"/>
      <c r="KNP240" s="146"/>
      <c r="KNQ240" s="146"/>
      <c r="KNR240" s="146"/>
      <c r="KNS240" s="146"/>
      <c r="KNT240" s="146"/>
      <c r="KNU240" s="146"/>
      <c r="KNV240" s="146"/>
      <c r="KNW240" s="146"/>
      <c r="KNX240" s="146"/>
      <c r="KNY240" s="146"/>
      <c r="KNZ240" s="146"/>
      <c r="KOA240" s="146"/>
      <c r="KOB240" s="146"/>
      <c r="KOC240" s="146"/>
      <c r="KOD240" s="146"/>
      <c r="KOE240" s="146"/>
      <c r="KOF240" s="146"/>
      <c r="KOG240" s="146"/>
      <c r="KOH240" s="146"/>
      <c r="KOI240" s="146"/>
      <c r="KOJ240" s="146"/>
      <c r="KOK240" s="146"/>
      <c r="KOL240" s="146"/>
      <c r="KOM240" s="146"/>
      <c r="KON240" s="146"/>
      <c r="KOO240" s="146"/>
      <c r="KOP240" s="146"/>
      <c r="KOQ240" s="146"/>
      <c r="KOR240" s="146"/>
      <c r="KOS240" s="146"/>
      <c r="KOT240" s="146"/>
      <c r="KOU240" s="146"/>
      <c r="KOV240" s="146"/>
      <c r="KOW240" s="146"/>
      <c r="KOX240" s="146"/>
      <c r="KOY240" s="146"/>
      <c r="KOZ240" s="146"/>
      <c r="KPA240" s="146"/>
      <c r="KPB240" s="146"/>
      <c r="KPC240" s="146"/>
      <c r="KPD240" s="146"/>
      <c r="KPE240" s="146"/>
      <c r="KPF240" s="146"/>
      <c r="KPG240" s="146"/>
      <c r="KPH240" s="146"/>
      <c r="KPI240" s="146"/>
      <c r="KPJ240" s="146"/>
      <c r="KPK240" s="146"/>
      <c r="KPL240" s="146"/>
      <c r="KPM240" s="146"/>
      <c r="KPN240" s="146"/>
      <c r="KPO240" s="146"/>
      <c r="KPP240" s="146"/>
      <c r="KPQ240" s="146"/>
      <c r="KPR240" s="146"/>
      <c r="KPS240" s="146"/>
      <c r="KPT240" s="146"/>
      <c r="KPU240" s="146"/>
      <c r="KPV240" s="146"/>
      <c r="KPW240" s="146"/>
      <c r="KPX240" s="146"/>
      <c r="KPY240" s="146"/>
      <c r="KPZ240" s="146"/>
      <c r="KQA240" s="146"/>
      <c r="KQB240" s="146"/>
      <c r="KQC240" s="146"/>
      <c r="KQD240" s="146"/>
      <c r="KQE240" s="146"/>
      <c r="KQF240" s="146"/>
      <c r="KQG240" s="146"/>
      <c r="KQH240" s="146"/>
      <c r="KQI240" s="146"/>
      <c r="KQJ240" s="146"/>
      <c r="KQK240" s="146"/>
      <c r="KQL240" s="146"/>
      <c r="KQM240" s="146"/>
      <c r="KQN240" s="146"/>
      <c r="KQO240" s="146"/>
      <c r="KQP240" s="146"/>
      <c r="KQQ240" s="146"/>
      <c r="KQR240" s="146"/>
      <c r="KQS240" s="146"/>
      <c r="KQT240" s="146"/>
      <c r="KQU240" s="146"/>
      <c r="KQV240" s="146"/>
      <c r="KQW240" s="146"/>
      <c r="KQX240" s="146"/>
      <c r="KQY240" s="146"/>
      <c r="KQZ240" s="146"/>
      <c r="KRA240" s="146"/>
      <c r="KRB240" s="146"/>
      <c r="KRC240" s="146"/>
      <c r="KRD240" s="146"/>
      <c r="KRE240" s="146"/>
      <c r="KRF240" s="146"/>
      <c r="KRG240" s="146"/>
      <c r="KRH240" s="146"/>
      <c r="KRI240" s="146"/>
      <c r="KRJ240" s="146"/>
      <c r="KRK240" s="146"/>
      <c r="KRL240" s="146"/>
      <c r="KRM240" s="146"/>
      <c r="KRN240" s="146"/>
      <c r="KRO240" s="146"/>
      <c r="KRP240" s="146"/>
      <c r="KRQ240" s="146"/>
      <c r="KRR240" s="146"/>
      <c r="KRS240" s="146"/>
      <c r="KRT240" s="146"/>
      <c r="KRU240" s="146"/>
      <c r="KRV240" s="146"/>
      <c r="KRW240" s="146"/>
      <c r="KRX240" s="146"/>
      <c r="KRY240" s="146"/>
      <c r="KRZ240" s="146"/>
      <c r="KSA240" s="146"/>
      <c r="KSB240" s="146"/>
      <c r="KSC240" s="146"/>
      <c r="KSD240" s="146"/>
      <c r="KSE240" s="146"/>
      <c r="KSF240" s="146"/>
      <c r="KSG240" s="146"/>
      <c r="KSH240" s="146"/>
      <c r="KSI240" s="146"/>
      <c r="KSJ240" s="146"/>
      <c r="KSK240" s="146"/>
      <c r="KSL240" s="146"/>
      <c r="KSM240" s="146"/>
      <c r="KSN240" s="146"/>
      <c r="KSO240" s="146"/>
      <c r="KSP240" s="146"/>
      <c r="KSQ240" s="146"/>
      <c r="KSR240" s="146"/>
      <c r="KSS240" s="146"/>
      <c r="KST240" s="146"/>
      <c r="KSU240" s="146"/>
      <c r="KSV240" s="146"/>
      <c r="KSW240" s="146"/>
      <c r="KSX240" s="146"/>
      <c r="KSY240" s="146"/>
      <c r="KSZ240" s="146"/>
      <c r="KTA240" s="146"/>
      <c r="KTB240" s="146"/>
      <c r="KTC240" s="146"/>
      <c r="KTD240" s="146"/>
      <c r="KTE240" s="146"/>
      <c r="KTF240" s="146"/>
      <c r="KTG240" s="146"/>
      <c r="KTH240" s="146"/>
      <c r="KTI240" s="146"/>
      <c r="KTJ240" s="146"/>
      <c r="KTK240" s="146"/>
      <c r="KTL240" s="146"/>
      <c r="KTM240" s="146"/>
      <c r="KTN240" s="146"/>
      <c r="KTO240" s="146"/>
      <c r="KTP240" s="146"/>
      <c r="KTQ240" s="146"/>
      <c r="KTR240" s="146"/>
      <c r="KTS240" s="146"/>
      <c r="KTT240" s="146"/>
      <c r="KTU240" s="146"/>
      <c r="KTV240" s="146"/>
      <c r="KTW240" s="146"/>
      <c r="KTX240" s="146"/>
      <c r="KTY240" s="146"/>
      <c r="KTZ240" s="146"/>
      <c r="KUA240" s="146"/>
      <c r="KUB240" s="146"/>
      <c r="KUC240" s="146"/>
      <c r="KUD240" s="146"/>
      <c r="KUE240" s="146"/>
      <c r="KUF240" s="146"/>
      <c r="KUG240" s="146"/>
      <c r="KUH240" s="146"/>
      <c r="KUI240" s="146"/>
      <c r="KUJ240" s="146"/>
      <c r="KUK240" s="146"/>
      <c r="KUL240" s="146"/>
      <c r="KUM240" s="146"/>
      <c r="KUN240" s="146"/>
      <c r="KUO240" s="146"/>
      <c r="KUP240" s="146"/>
      <c r="KUQ240" s="146"/>
      <c r="KUR240" s="146"/>
      <c r="KUS240" s="146"/>
      <c r="KUT240" s="146"/>
      <c r="KUU240" s="146"/>
      <c r="KUV240" s="146"/>
      <c r="KUW240" s="146"/>
      <c r="KUX240" s="146"/>
      <c r="KUY240" s="146"/>
      <c r="KUZ240" s="146"/>
      <c r="KVA240" s="146"/>
      <c r="KVB240" s="146"/>
      <c r="KVC240" s="146"/>
      <c r="KVD240" s="146"/>
      <c r="KVE240" s="146"/>
      <c r="KVF240" s="146"/>
      <c r="KVG240" s="146"/>
      <c r="KVH240" s="146"/>
      <c r="KVI240" s="146"/>
      <c r="KVJ240" s="146"/>
      <c r="KVK240" s="146"/>
      <c r="KVL240" s="146"/>
      <c r="KVM240" s="146"/>
      <c r="KVN240" s="146"/>
      <c r="KVO240" s="146"/>
      <c r="KVP240" s="146"/>
      <c r="KVQ240" s="146"/>
      <c r="KVR240" s="146"/>
      <c r="KVS240" s="146"/>
      <c r="KVT240" s="146"/>
      <c r="KVU240" s="146"/>
      <c r="KVV240" s="146"/>
      <c r="KVW240" s="146"/>
      <c r="KVX240" s="146"/>
      <c r="KVY240" s="146"/>
      <c r="KVZ240" s="146"/>
      <c r="KWA240" s="146"/>
      <c r="KWB240" s="146"/>
      <c r="KWC240" s="146"/>
      <c r="KWD240" s="146"/>
      <c r="KWE240" s="146"/>
      <c r="KWF240" s="146"/>
      <c r="KWG240" s="146"/>
      <c r="KWH240" s="146"/>
      <c r="KWI240" s="146"/>
      <c r="KWJ240" s="146"/>
      <c r="KWK240" s="146"/>
      <c r="KWL240" s="146"/>
      <c r="KWM240" s="146"/>
      <c r="KWN240" s="146"/>
      <c r="KWO240" s="146"/>
      <c r="KWP240" s="146"/>
      <c r="KWQ240" s="146"/>
      <c r="KWR240" s="146"/>
      <c r="KWS240" s="146"/>
      <c r="KWT240" s="146"/>
      <c r="KWU240" s="146"/>
      <c r="KWV240" s="146"/>
      <c r="KWW240" s="146"/>
      <c r="KWX240" s="146"/>
      <c r="KWY240" s="146"/>
      <c r="KWZ240" s="146"/>
      <c r="KXA240" s="146"/>
      <c r="KXB240" s="146"/>
      <c r="KXC240" s="146"/>
      <c r="KXD240" s="146"/>
      <c r="KXE240" s="146"/>
      <c r="KXF240" s="146"/>
      <c r="KXG240" s="146"/>
      <c r="KXH240" s="146"/>
      <c r="KXI240" s="146"/>
      <c r="KXJ240" s="146"/>
      <c r="KXK240" s="146"/>
      <c r="KXL240" s="146"/>
      <c r="KXM240" s="146"/>
      <c r="KXN240" s="146"/>
      <c r="KXO240" s="146"/>
      <c r="KXP240" s="146"/>
      <c r="KXQ240" s="146"/>
      <c r="KXR240" s="146"/>
      <c r="KXS240" s="146"/>
      <c r="KXT240" s="146"/>
      <c r="KXU240" s="146"/>
      <c r="KXV240" s="146"/>
      <c r="KXW240" s="146"/>
      <c r="KXX240" s="146"/>
      <c r="KXY240" s="146"/>
      <c r="KXZ240" s="146"/>
      <c r="KYA240" s="146"/>
      <c r="KYB240" s="146"/>
      <c r="KYC240" s="146"/>
      <c r="KYD240" s="146"/>
      <c r="KYE240" s="146"/>
      <c r="KYF240" s="146"/>
      <c r="KYG240" s="146"/>
      <c r="KYH240" s="146"/>
      <c r="KYI240" s="146"/>
      <c r="KYJ240" s="146"/>
      <c r="KYK240" s="146"/>
      <c r="KYL240" s="146"/>
      <c r="KYM240" s="146"/>
      <c r="KYN240" s="146"/>
      <c r="KYO240" s="146"/>
      <c r="KYP240" s="146"/>
      <c r="KYQ240" s="146"/>
      <c r="KYR240" s="146"/>
      <c r="KYS240" s="146"/>
      <c r="KYT240" s="146"/>
      <c r="KYU240" s="146"/>
      <c r="KYV240" s="146"/>
      <c r="KYW240" s="146"/>
      <c r="KYX240" s="146"/>
      <c r="KYY240" s="146"/>
      <c r="KYZ240" s="146"/>
      <c r="KZA240" s="146"/>
      <c r="KZB240" s="146"/>
      <c r="KZC240" s="146"/>
      <c r="KZD240" s="146"/>
      <c r="KZE240" s="146"/>
      <c r="KZF240" s="146"/>
      <c r="KZG240" s="146"/>
      <c r="KZH240" s="146"/>
      <c r="KZI240" s="146"/>
      <c r="KZJ240" s="146"/>
      <c r="KZK240" s="146"/>
      <c r="KZL240" s="146"/>
      <c r="KZM240" s="146"/>
      <c r="KZN240" s="146"/>
      <c r="KZO240" s="146"/>
      <c r="KZP240" s="146"/>
      <c r="KZQ240" s="146"/>
      <c r="KZR240" s="146"/>
      <c r="KZS240" s="146"/>
      <c r="KZT240" s="146"/>
      <c r="KZU240" s="146"/>
      <c r="KZV240" s="146"/>
      <c r="KZW240" s="146"/>
      <c r="KZX240" s="146"/>
      <c r="KZY240" s="146"/>
      <c r="KZZ240" s="146"/>
      <c r="LAA240" s="146"/>
      <c r="LAB240" s="146"/>
      <c r="LAC240" s="146"/>
      <c r="LAD240" s="146"/>
      <c r="LAE240" s="146"/>
      <c r="LAF240" s="146"/>
      <c r="LAG240" s="146"/>
      <c r="LAH240" s="146"/>
      <c r="LAI240" s="146"/>
      <c r="LAJ240" s="146"/>
      <c r="LAK240" s="146"/>
      <c r="LAL240" s="146"/>
      <c r="LAM240" s="146"/>
      <c r="LAN240" s="146"/>
      <c r="LAO240" s="146"/>
      <c r="LAP240" s="146"/>
      <c r="LAQ240" s="146"/>
      <c r="LAR240" s="146"/>
      <c r="LAS240" s="146"/>
      <c r="LAT240" s="146"/>
      <c r="LAU240" s="146"/>
      <c r="LAV240" s="146"/>
      <c r="LAW240" s="146"/>
      <c r="LAX240" s="146"/>
      <c r="LAY240" s="146"/>
      <c r="LAZ240" s="146"/>
      <c r="LBA240" s="146"/>
      <c r="LBB240" s="146"/>
      <c r="LBC240" s="146"/>
      <c r="LBD240" s="146"/>
      <c r="LBE240" s="146"/>
      <c r="LBF240" s="146"/>
      <c r="LBG240" s="146"/>
      <c r="LBH240" s="146"/>
      <c r="LBI240" s="146"/>
      <c r="LBJ240" s="146"/>
      <c r="LBK240" s="146"/>
      <c r="LBL240" s="146"/>
      <c r="LBM240" s="146"/>
      <c r="LBN240" s="146"/>
      <c r="LBO240" s="146"/>
      <c r="LBP240" s="146"/>
      <c r="LBQ240" s="146"/>
      <c r="LBR240" s="146"/>
      <c r="LBS240" s="146"/>
      <c r="LBT240" s="146"/>
      <c r="LBU240" s="146"/>
      <c r="LBV240" s="146"/>
      <c r="LBW240" s="146"/>
      <c r="LBX240" s="146"/>
      <c r="LBY240" s="146"/>
      <c r="LBZ240" s="146"/>
      <c r="LCA240" s="146"/>
      <c r="LCB240" s="146"/>
      <c r="LCC240" s="146"/>
      <c r="LCD240" s="146"/>
      <c r="LCE240" s="146"/>
      <c r="LCF240" s="146"/>
      <c r="LCG240" s="146"/>
      <c r="LCH240" s="146"/>
      <c r="LCI240" s="146"/>
      <c r="LCJ240" s="146"/>
      <c r="LCK240" s="146"/>
      <c r="LCL240" s="146"/>
      <c r="LCM240" s="146"/>
      <c r="LCN240" s="146"/>
      <c r="LCO240" s="146"/>
      <c r="LCP240" s="146"/>
      <c r="LCQ240" s="146"/>
      <c r="LCR240" s="146"/>
      <c r="LCS240" s="146"/>
      <c r="LCT240" s="146"/>
      <c r="LCU240" s="146"/>
      <c r="LCV240" s="146"/>
      <c r="LCW240" s="146"/>
      <c r="LCX240" s="146"/>
      <c r="LCY240" s="146"/>
      <c r="LCZ240" s="146"/>
      <c r="LDA240" s="146"/>
      <c r="LDB240" s="146"/>
      <c r="LDC240" s="146"/>
      <c r="LDD240" s="146"/>
      <c r="LDE240" s="146"/>
      <c r="LDF240" s="146"/>
      <c r="LDG240" s="146"/>
      <c r="LDH240" s="146"/>
      <c r="LDI240" s="146"/>
      <c r="LDJ240" s="146"/>
      <c r="LDK240" s="146"/>
      <c r="LDL240" s="146"/>
      <c r="LDM240" s="146"/>
      <c r="LDN240" s="146"/>
      <c r="LDO240" s="146"/>
      <c r="LDP240" s="146"/>
      <c r="LDQ240" s="146"/>
      <c r="LDR240" s="146"/>
      <c r="LDS240" s="146"/>
      <c r="LDT240" s="146"/>
      <c r="LDU240" s="146"/>
      <c r="LDV240" s="146"/>
      <c r="LDW240" s="146"/>
      <c r="LDX240" s="146"/>
      <c r="LDY240" s="146"/>
      <c r="LDZ240" s="146"/>
      <c r="LEA240" s="146"/>
      <c r="LEB240" s="146"/>
      <c r="LEC240" s="146"/>
      <c r="LED240" s="146"/>
      <c r="LEE240" s="146"/>
      <c r="LEF240" s="146"/>
      <c r="LEG240" s="146"/>
      <c r="LEH240" s="146"/>
      <c r="LEI240" s="146"/>
      <c r="LEJ240" s="146"/>
      <c r="LEK240" s="146"/>
      <c r="LEL240" s="146"/>
      <c r="LEM240" s="146"/>
      <c r="LEN240" s="146"/>
      <c r="LEO240" s="146"/>
      <c r="LEP240" s="146"/>
      <c r="LEQ240" s="146"/>
      <c r="LER240" s="146"/>
      <c r="LES240" s="146"/>
      <c r="LET240" s="146"/>
      <c r="LEU240" s="146"/>
      <c r="LEV240" s="146"/>
      <c r="LEW240" s="146"/>
      <c r="LEX240" s="146"/>
      <c r="LEY240" s="146"/>
      <c r="LEZ240" s="146"/>
      <c r="LFA240" s="146"/>
      <c r="LFB240" s="146"/>
      <c r="LFC240" s="146"/>
      <c r="LFD240" s="146"/>
      <c r="LFE240" s="146"/>
      <c r="LFF240" s="146"/>
      <c r="LFG240" s="146"/>
      <c r="LFH240" s="146"/>
      <c r="LFI240" s="146"/>
      <c r="LFJ240" s="146"/>
      <c r="LFK240" s="146"/>
      <c r="LFL240" s="146"/>
      <c r="LFM240" s="146"/>
      <c r="LFN240" s="146"/>
      <c r="LFO240" s="146"/>
      <c r="LFP240" s="146"/>
      <c r="LFQ240" s="146"/>
      <c r="LFR240" s="146"/>
      <c r="LFS240" s="146"/>
      <c r="LFT240" s="146"/>
      <c r="LFU240" s="146"/>
      <c r="LFV240" s="146"/>
      <c r="LFW240" s="146"/>
      <c r="LFX240" s="146"/>
      <c r="LFY240" s="146"/>
      <c r="LFZ240" s="146"/>
      <c r="LGA240" s="146"/>
      <c r="LGB240" s="146"/>
      <c r="LGC240" s="146"/>
      <c r="LGD240" s="146"/>
      <c r="LGE240" s="146"/>
      <c r="LGF240" s="146"/>
      <c r="LGG240" s="146"/>
      <c r="LGH240" s="146"/>
      <c r="LGI240" s="146"/>
      <c r="LGJ240" s="146"/>
      <c r="LGK240" s="146"/>
      <c r="LGL240" s="146"/>
      <c r="LGM240" s="146"/>
      <c r="LGN240" s="146"/>
      <c r="LGO240" s="146"/>
      <c r="LGP240" s="146"/>
      <c r="LGQ240" s="146"/>
      <c r="LGR240" s="146"/>
      <c r="LGS240" s="146"/>
      <c r="LGT240" s="146"/>
      <c r="LGU240" s="146"/>
      <c r="LGV240" s="146"/>
      <c r="LGW240" s="146"/>
      <c r="LGX240" s="146"/>
      <c r="LGY240" s="146"/>
      <c r="LGZ240" s="146"/>
      <c r="LHA240" s="146"/>
      <c r="LHB240" s="146"/>
      <c r="LHC240" s="146"/>
      <c r="LHD240" s="146"/>
      <c r="LHE240" s="146"/>
      <c r="LHF240" s="146"/>
      <c r="LHG240" s="146"/>
      <c r="LHH240" s="146"/>
      <c r="LHI240" s="146"/>
      <c r="LHJ240" s="146"/>
      <c r="LHK240" s="146"/>
      <c r="LHL240" s="146"/>
      <c r="LHM240" s="146"/>
      <c r="LHN240" s="146"/>
      <c r="LHO240" s="146"/>
      <c r="LHP240" s="146"/>
      <c r="LHQ240" s="146"/>
      <c r="LHR240" s="146"/>
      <c r="LHS240" s="146"/>
      <c r="LHT240" s="146"/>
      <c r="LHU240" s="146"/>
      <c r="LHV240" s="146"/>
      <c r="LHW240" s="146"/>
      <c r="LHX240" s="146"/>
      <c r="LHY240" s="146"/>
      <c r="LHZ240" s="146"/>
      <c r="LIA240" s="146"/>
      <c r="LIB240" s="146"/>
      <c r="LIC240" s="146"/>
      <c r="LID240" s="146"/>
      <c r="LIE240" s="146"/>
      <c r="LIF240" s="146"/>
      <c r="LIG240" s="146"/>
      <c r="LIH240" s="146"/>
      <c r="LII240" s="146"/>
      <c r="LIJ240" s="146"/>
      <c r="LIK240" s="146"/>
      <c r="LIL240" s="146"/>
      <c r="LIM240" s="146"/>
      <c r="LIN240" s="146"/>
      <c r="LIO240" s="146"/>
      <c r="LIP240" s="146"/>
      <c r="LIQ240" s="146"/>
      <c r="LIR240" s="146"/>
      <c r="LIS240" s="146"/>
      <c r="LIT240" s="146"/>
      <c r="LIU240" s="146"/>
      <c r="LIV240" s="146"/>
      <c r="LIW240" s="146"/>
      <c r="LIX240" s="146"/>
      <c r="LIY240" s="146"/>
      <c r="LIZ240" s="146"/>
      <c r="LJA240" s="146"/>
      <c r="LJB240" s="146"/>
      <c r="LJC240" s="146"/>
      <c r="LJD240" s="146"/>
      <c r="LJE240" s="146"/>
      <c r="LJF240" s="146"/>
      <c r="LJG240" s="146"/>
      <c r="LJH240" s="146"/>
      <c r="LJI240" s="146"/>
      <c r="LJJ240" s="146"/>
      <c r="LJK240" s="146"/>
      <c r="LJL240" s="146"/>
      <c r="LJM240" s="146"/>
      <c r="LJN240" s="146"/>
      <c r="LJO240" s="146"/>
      <c r="LJP240" s="146"/>
      <c r="LJQ240" s="146"/>
      <c r="LJR240" s="146"/>
      <c r="LJS240" s="146"/>
      <c r="LJT240" s="146"/>
      <c r="LJU240" s="146"/>
      <c r="LJV240" s="146"/>
      <c r="LJW240" s="146"/>
      <c r="LJX240" s="146"/>
      <c r="LJY240" s="146"/>
      <c r="LJZ240" s="146"/>
      <c r="LKA240" s="146"/>
      <c r="LKB240" s="146"/>
      <c r="LKC240" s="146"/>
      <c r="LKD240" s="146"/>
      <c r="LKE240" s="146"/>
      <c r="LKF240" s="146"/>
      <c r="LKG240" s="146"/>
      <c r="LKH240" s="146"/>
      <c r="LKI240" s="146"/>
      <c r="LKJ240" s="146"/>
      <c r="LKK240" s="146"/>
      <c r="LKL240" s="146"/>
      <c r="LKM240" s="146"/>
      <c r="LKN240" s="146"/>
      <c r="LKO240" s="146"/>
      <c r="LKP240" s="146"/>
      <c r="LKQ240" s="146"/>
      <c r="LKR240" s="146"/>
      <c r="LKS240" s="146"/>
      <c r="LKT240" s="146"/>
      <c r="LKU240" s="146"/>
      <c r="LKV240" s="146"/>
      <c r="LKW240" s="146"/>
      <c r="LKX240" s="146"/>
      <c r="LKY240" s="146"/>
      <c r="LKZ240" s="146"/>
      <c r="LLA240" s="146"/>
      <c r="LLB240" s="146"/>
      <c r="LLC240" s="146"/>
      <c r="LLD240" s="146"/>
      <c r="LLE240" s="146"/>
      <c r="LLF240" s="146"/>
      <c r="LLG240" s="146"/>
      <c r="LLH240" s="146"/>
      <c r="LLI240" s="146"/>
      <c r="LLJ240" s="146"/>
      <c r="LLK240" s="146"/>
      <c r="LLL240" s="146"/>
      <c r="LLM240" s="146"/>
      <c r="LLN240" s="146"/>
      <c r="LLO240" s="146"/>
      <c r="LLP240" s="146"/>
      <c r="LLQ240" s="146"/>
      <c r="LLR240" s="146"/>
      <c r="LLS240" s="146"/>
      <c r="LLT240" s="146"/>
      <c r="LLU240" s="146"/>
      <c r="LLV240" s="146"/>
      <c r="LLW240" s="146"/>
      <c r="LLX240" s="146"/>
      <c r="LLY240" s="146"/>
      <c r="LLZ240" s="146"/>
      <c r="LMA240" s="146"/>
      <c r="LMB240" s="146"/>
      <c r="LMC240" s="146"/>
      <c r="LMD240" s="146"/>
      <c r="LME240" s="146"/>
      <c r="LMF240" s="146"/>
      <c r="LMG240" s="146"/>
      <c r="LMH240" s="146"/>
      <c r="LMI240" s="146"/>
      <c r="LMJ240" s="146"/>
      <c r="LMK240" s="146"/>
      <c r="LML240" s="146"/>
      <c r="LMM240" s="146"/>
      <c r="LMN240" s="146"/>
      <c r="LMO240" s="146"/>
      <c r="LMP240" s="146"/>
      <c r="LMQ240" s="146"/>
      <c r="LMR240" s="146"/>
      <c r="LMS240" s="146"/>
      <c r="LMT240" s="146"/>
      <c r="LMU240" s="146"/>
      <c r="LMV240" s="146"/>
      <c r="LMW240" s="146"/>
      <c r="LMX240" s="146"/>
      <c r="LMY240" s="146"/>
      <c r="LMZ240" s="146"/>
      <c r="LNA240" s="146"/>
      <c r="LNB240" s="146"/>
      <c r="LNC240" s="146"/>
      <c r="LND240" s="146"/>
      <c r="LNE240" s="146"/>
      <c r="LNF240" s="146"/>
      <c r="LNG240" s="146"/>
      <c r="LNH240" s="146"/>
      <c r="LNI240" s="146"/>
      <c r="LNJ240" s="146"/>
      <c r="LNK240" s="146"/>
      <c r="LNL240" s="146"/>
      <c r="LNM240" s="146"/>
      <c r="LNN240" s="146"/>
      <c r="LNO240" s="146"/>
      <c r="LNP240" s="146"/>
      <c r="LNQ240" s="146"/>
      <c r="LNR240" s="146"/>
      <c r="LNS240" s="146"/>
      <c r="LNT240" s="146"/>
      <c r="LNU240" s="146"/>
      <c r="LNV240" s="146"/>
      <c r="LNW240" s="146"/>
      <c r="LNX240" s="146"/>
      <c r="LNY240" s="146"/>
      <c r="LNZ240" s="146"/>
      <c r="LOA240" s="146"/>
      <c r="LOB240" s="146"/>
      <c r="LOC240" s="146"/>
      <c r="LOD240" s="146"/>
      <c r="LOE240" s="146"/>
      <c r="LOF240" s="146"/>
      <c r="LOG240" s="146"/>
      <c r="LOH240" s="146"/>
      <c r="LOI240" s="146"/>
      <c r="LOJ240" s="146"/>
      <c r="LOK240" s="146"/>
      <c r="LOL240" s="146"/>
      <c r="LOM240" s="146"/>
      <c r="LON240" s="146"/>
      <c r="LOO240" s="146"/>
      <c r="LOP240" s="146"/>
      <c r="LOQ240" s="146"/>
      <c r="LOR240" s="146"/>
      <c r="LOS240" s="146"/>
      <c r="LOT240" s="146"/>
      <c r="LOU240" s="146"/>
      <c r="LOV240" s="146"/>
      <c r="LOW240" s="146"/>
      <c r="LOX240" s="146"/>
      <c r="LOY240" s="146"/>
      <c r="LOZ240" s="146"/>
      <c r="LPA240" s="146"/>
      <c r="LPB240" s="146"/>
      <c r="LPC240" s="146"/>
      <c r="LPD240" s="146"/>
      <c r="LPE240" s="146"/>
      <c r="LPF240" s="146"/>
      <c r="LPG240" s="146"/>
      <c r="LPH240" s="146"/>
      <c r="LPI240" s="146"/>
      <c r="LPJ240" s="146"/>
      <c r="LPK240" s="146"/>
      <c r="LPL240" s="146"/>
      <c r="LPM240" s="146"/>
      <c r="LPN240" s="146"/>
      <c r="LPO240" s="146"/>
      <c r="LPP240" s="146"/>
      <c r="LPQ240" s="146"/>
      <c r="LPR240" s="146"/>
      <c r="LPS240" s="146"/>
      <c r="LPT240" s="146"/>
      <c r="LPU240" s="146"/>
      <c r="LPV240" s="146"/>
      <c r="LPW240" s="146"/>
      <c r="LPX240" s="146"/>
      <c r="LPY240" s="146"/>
      <c r="LPZ240" s="146"/>
      <c r="LQA240" s="146"/>
      <c r="LQB240" s="146"/>
      <c r="LQC240" s="146"/>
      <c r="LQD240" s="146"/>
      <c r="LQE240" s="146"/>
      <c r="LQF240" s="146"/>
      <c r="LQG240" s="146"/>
      <c r="LQH240" s="146"/>
      <c r="LQI240" s="146"/>
      <c r="LQJ240" s="146"/>
      <c r="LQK240" s="146"/>
      <c r="LQL240" s="146"/>
      <c r="LQM240" s="146"/>
      <c r="LQN240" s="146"/>
      <c r="LQO240" s="146"/>
      <c r="LQP240" s="146"/>
      <c r="LQQ240" s="146"/>
      <c r="LQR240" s="146"/>
      <c r="LQS240" s="146"/>
      <c r="LQT240" s="146"/>
      <c r="LQU240" s="146"/>
      <c r="LQV240" s="146"/>
      <c r="LQW240" s="146"/>
      <c r="LQX240" s="146"/>
      <c r="LQY240" s="146"/>
      <c r="LQZ240" s="146"/>
      <c r="LRA240" s="146"/>
      <c r="LRB240" s="146"/>
      <c r="LRC240" s="146"/>
      <c r="LRD240" s="146"/>
      <c r="LRE240" s="146"/>
      <c r="LRF240" s="146"/>
      <c r="LRG240" s="146"/>
      <c r="LRH240" s="146"/>
      <c r="LRI240" s="146"/>
      <c r="LRJ240" s="146"/>
      <c r="LRK240" s="146"/>
      <c r="LRL240" s="146"/>
      <c r="LRM240" s="146"/>
      <c r="LRN240" s="146"/>
      <c r="LRO240" s="146"/>
      <c r="LRP240" s="146"/>
      <c r="LRQ240" s="146"/>
      <c r="LRR240" s="146"/>
      <c r="LRS240" s="146"/>
      <c r="LRT240" s="146"/>
      <c r="LRU240" s="146"/>
      <c r="LRV240" s="146"/>
      <c r="LRW240" s="146"/>
      <c r="LRX240" s="146"/>
      <c r="LRY240" s="146"/>
      <c r="LRZ240" s="146"/>
      <c r="LSA240" s="146"/>
      <c r="LSB240" s="146"/>
      <c r="LSC240" s="146"/>
      <c r="LSD240" s="146"/>
      <c r="LSE240" s="146"/>
      <c r="LSF240" s="146"/>
      <c r="LSG240" s="146"/>
      <c r="LSH240" s="146"/>
      <c r="LSI240" s="146"/>
      <c r="LSJ240" s="146"/>
      <c r="LSK240" s="146"/>
      <c r="LSL240" s="146"/>
      <c r="LSM240" s="146"/>
      <c r="LSN240" s="146"/>
      <c r="LSO240" s="146"/>
      <c r="LSP240" s="146"/>
      <c r="LSQ240" s="146"/>
      <c r="LSR240" s="146"/>
      <c r="LSS240" s="146"/>
      <c r="LST240" s="146"/>
      <c r="LSU240" s="146"/>
      <c r="LSV240" s="146"/>
      <c r="LSW240" s="146"/>
      <c r="LSX240" s="146"/>
      <c r="LSY240" s="146"/>
      <c r="LSZ240" s="146"/>
      <c r="LTA240" s="146"/>
      <c r="LTB240" s="146"/>
      <c r="LTC240" s="146"/>
      <c r="LTD240" s="146"/>
      <c r="LTE240" s="146"/>
      <c r="LTF240" s="146"/>
      <c r="LTG240" s="146"/>
      <c r="LTH240" s="146"/>
      <c r="LTI240" s="146"/>
      <c r="LTJ240" s="146"/>
      <c r="LTK240" s="146"/>
      <c r="LTL240" s="146"/>
      <c r="LTM240" s="146"/>
      <c r="LTN240" s="146"/>
      <c r="LTO240" s="146"/>
      <c r="LTP240" s="146"/>
      <c r="LTQ240" s="146"/>
      <c r="LTR240" s="146"/>
      <c r="LTS240" s="146"/>
      <c r="LTT240" s="146"/>
      <c r="LTU240" s="146"/>
      <c r="LTV240" s="146"/>
      <c r="LTW240" s="146"/>
      <c r="LTX240" s="146"/>
      <c r="LTY240" s="146"/>
      <c r="LTZ240" s="146"/>
      <c r="LUA240" s="146"/>
      <c r="LUB240" s="146"/>
      <c r="LUC240" s="146"/>
      <c r="LUD240" s="146"/>
      <c r="LUE240" s="146"/>
      <c r="LUF240" s="146"/>
      <c r="LUG240" s="146"/>
      <c r="LUH240" s="146"/>
      <c r="LUI240" s="146"/>
      <c r="LUJ240" s="146"/>
      <c r="LUK240" s="146"/>
      <c r="LUL240" s="146"/>
      <c r="LUM240" s="146"/>
      <c r="LUN240" s="146"/>
      <c r="LUO240" s="146"/>
      <c r="LUP240" s="146"/>
      <c r="LUQ240" s="146"/>
      <c r="LUR240" s="146"/>
      <c r="LUS240" s="146"/>
      <c r="LUT240" s="146"/>
      <c r="LUU240" s="146"/>
      <c r="LUV240" s="146"/>
      <c r="LUW240" s="146"/>
      <c r="LUX240" s="146"/>
      <c r="LUY240" s="146"/>
      <c r="LUZ240" s="146"/>
      <c r="LVA240" s="146"/>
      <c r="LVB240" s="146"/>
      <c r="LVC240" s="146"/>
      <c r="LVD240" s="146"/>
      <c r="LVE240" s="146"/>
      <c r="LVF240" s="146"/>
      <c r="LVG240" s="146"/>
      <c r="LVH240" s="146"/>
      <c r="LVI240" s="146"/>
      <c r="LVJ240" s="146"/>
      <c r="LVK240" s="146"/>
      <c r="LVL240" s="146"/>
      <c r="LVM240" s="146"/>
      <c r="LVN240" s="146"/>
      <c r="LVO240" s="146"/>
      <c r="LVP240" s="146"/>
      <c r="LVQ240" s="146"/>
      <c r="LVR240" s="146"/>
      <c r="LVS240" s="146"/>
      <c r="LVT240" s="146"/>
      <c r="LVU240" s="146"/>
      <c r="LVV240" s="146"/>
      <c r="LVW240" s="146"/>
      <c r="LVX240" s="146"/>
      <c r="LVY240" s="146"/>
      <c r="LVZ240" s="146"/>
      <c r="LWA240" s="146"/>
      <c r="LWB240" s="146"/>
      <c r="LWC240" s="146"/>
      <c r="LWD240" s="146"/>
      <c r="LWE240" s="146"/>
      <c r="LWF240" s="146"/>
      <c r="LWG240" s="146"/>
      <c r="LWH240" s="146"/>
      <c r="LWI240" s="146"/>
      <c r="LWJ240" s="146"/>
      <c r="LWK240" s="146"/>
      <c r="LWL240" s="146"/>
      <c r="LWM240" s="146"/>
      <c r="LWN240" s="146"/>
      <c r="LWO240" s="146"/>
      <c r="LWP240" s="146"/>
      <c r="LWQ240" s="146"/>
      <c r="LWR240" s="146"/>
      <c r="LWS240" s="146"/>
      <c r="LWT240" s="146"/>
      <c r="LWU240" s="146"/>
      <c r="LWV240" s="146"/>
      <c r="LWW240" s="146"/>
      <c r="LWX240" s="146"/>
      <c r="LWY240" s="146"/>
      <c r="LWZ240" s="146"/>
      <c r="LXA240" s="146"/>
      <c r="LXB240" s="146"/>
      <c r="LXC240" s="146"/>
      <c r="LXD240" s="146"/>
      <c r="LXE240" s="146"/>
      <c r="LXF240" s="146"/>
      <c r="LXG240" s="146"/>
      <c r="LXH240" s="146"/>
      <c r="LXI240" s="146"/>
      <c r="LXJ240" s="146"/>
      <c r="LXK240" s="146"/>
      <c r="LXL240" s="146"/>
      <c r="LXM240" s="146"/>
      <c r="LXN240" s="146"/>
      <c r="LXO240" s="146"/>
      <c r="LXP240" s="146"/>
      <c r="LXQ240" s="146"/>
      <c r="LXR240" s="146"/>
      <c r="LXS240" s="146"/>
      <c r="LXT240" s="146"/>
      <c r="LXU240" s="146"/>
      <c r="LXV240" s="146"/>
      <c r="LXW240" s="146"/>
      <c r="LXX240" s="146"/>
      <c r="LXY240" s="146"/>
      <c r="LXZ240" s="146"/>
      <c r="LYA240" s="146"/>
      <c r="LYB240" s="146"/>
      <c r="LYC240" s="146"/>
      <c r="LYD240" s="146"/>
      <c r="LYE240" s="146"/>
      <c r="LYF240" s="146"/>
      <c r="LYG240" s="146"/>
      <c r="LYH240" s="146"/>
      <c r="LYI240" s="146"/>
      <c r="LYJ240" s="146"/>
      <c r="LYK240" s="146"/>
      <c r="LYL240" s="146"/>
      <c r="LYM240" s="146"/>
      <c r="LYN240" s="146"/>
      <c r="LYO240" s="146"/>
      <c r="LYP240" s="146"/>
      <c r="LYQ240" s="146"/>
      <c r="LYR240" s="146"/>
      <c r="LYS240" s="146"/>
      <c r="LYT240" s="146"/>
      <c r="LYU240" s="146"/>
      <c r="LYV240" s="146"/>
      <c r="LYW240" s="146"/>
      <c r="LYX240" s="146"/>
      <c r="LYY240" s="146"/>
      <c r="LYZ240" s="146"/>
      <c r="LZA240" s="146"/>
      <c r="LZB240" s="146"/>
      <c r="LZC240" s="146"/>
      <c r="LZD240" s="146"/>
      <c r="LZE240" s="146"/>
      <c r="LZF240" s="146"/>
      <c r="LZG240" s="146"/>
      <c r="LZH240" s="146"/>
      <c r="LZI240" s="146"/>
      <c r="LZJ240" s="146"/>
      <c r="LZK240" s="146"/>
      <c r="LZL240" s="146"/>
      <c r="LZM240" s="146"/>
      <c r="LZN240" s="146"/>
      <c r="LZO240" s="146"/>
      <c r="LZP240" s="146"/>
      <c r="LZQ240" s="146"/>
      <c r="LZR240" s="146"/>
      <c r="LZS240" s="146"/>
      <c r="LZT240" s="146"/>
      <c r="LZU240" s="146"/>
      <c r="LZV240" s="146"/>
      <c r="LZW240" s="146"/>
      <c r="LZX240" s="146"/>
      <c r="LZY240" s="146"/>
      <c r="LZZ240" s="146"/>
      <c r="MAA240" s="146"/>
      <c r="MAB240" s="146"/>
      <c r="MAC240" s="146"/>
      <c r="MAD240" s="146"/>
      <c r="MAE240" s="146"/>
      <c r="MAF240" s="146"/>
      <c r="MAG240" s="146"/>
      <c r="MAH240" s="146"/>
      <c r="MAI240" s="146"/>
      <c r="MAJ240" s="146"/>
      <c r="MAK240" s="146"/>
      <c r="MAL240" s="146"/>
      <c r="MAM240" s="146"/>
      <c r="MAN240" s="146"/>
      <c r="MAO240" s="146"/>
      <c r="MAP240" s="146"/>
      <c r="MAQ240" s="146"/>
      <c r="MAR240" s="146"/>
      <c r="MAS240" s="146"/>
      <c r="MAT240" s="146"/>
      <c r="MAU240" s="146"/>
      <c r="MAV240" s="146"/>
      <c r="MAW240" s="146"/>
      <c r="MAX240" s="146"/>
      <c r="MAY240" s="146"/>
      <c r="MAZ240" s="146"/>
      <c r="MBA240" s="146"/>
      <c r="MBB240" s="146"/>
      <c r="MBC240" s="146"/>
      <c r="MBD240" s="146"/>
      <c r="MBE240" s="146"/>
      <c r="MBF240" s="146"/>
      <c r="MBG240" s="146"/>
      <c r="MBH240" s="146"/>
      <c r="MBI240" s="146"/>
      <c r="MBJ240" s="146"/>
      <c r="MBK240" s="146"/>
      <c r="MBL240" s="146"/>
      <c r="MBM240" s="146"/>
      <c r="MBN240" s="146"/>
      <c r="MBO240" s="146"/>
      <c r="MBP240" s="146"/>
      <c r="MBQ240" s="146"/>
      <c r="MBR240" s="146"/>
      <c r="MBS240" s="146"/>
      <c r="MBT240" s="146"/>
      <c r="MBU240" s="146"/>
      <c r="MBV240" s="146"/>
      <c r="MBW240" s="146"/>
      <c r="MBX240" s="146"/>
      <c r="MBY240" s="146"/>
      <c r="MBZ240" s="146"/>
      <c r="MCA240" s="146"/>
      <c r="MCB240" s="146"/>
      <c r="MCC240" s="146"/>
      <c r="MCD240" s="146"/>
      <c r="MCE240" s="146"/>
      <c r="MCF240" s="146"/>
      <c r="MCG240" s="146"/>
      <c r="MCH240" s="146"/>
      <c r="MCI240" s="146"/>
      <c r="MCJ240" s="146"/>
      <c r="MCK240" s="146"/>
      <c r="MCL240" s="146"/>
      <c r="MCM240" s="146"/>
      <c r="MCN240" s="146"/>
      <c r="MCO240" s="146"/>
      <c r="MCP240" s="146"/>
      <c r="MCQ240" s="146"/>
      <c r="MCR240" s="146"/>
      <c r="MCS240" s="146"/>
      <c r="MCT240" s="146"/>
      <c r="MCU240" s="146"/>
      <c r="MCV240" s="146"/>
      <c r="MCW240" s="146"/>
      <c r="MCX240" s="146"/>
      <c r="MCY240" s="146"/>
      <c r="MCZ240" s="146"/>
      <c r="MDA240" s="146"/>
      <c r="MDB240" s="146"/>
      <c r="MDC240" s="146"/>
      <c r="MDD240" s="146"/>
      <c r="MDE240" s="146"/>
      <c r="MDF240" s="146"/>
      <c r="MDG240" s="146"/>
      <c r="MDH240" s="146"/>
      <c r="MDI240" s="146"/>
      <c r="MDJ240" s="146"/>
      <c r="MDK240" s="146"/>
      <c r="MDL240" s="146"/>
      <c r="MDM240" s="146"/>
      <c r="MDN240" s="146"/>
      <c r="MDO240" s="146"/>
      <c r="MDP240" s="146"/>
      <c r="MDQ240" s="146"/>
      <c r="MDR240" s="146"/>
      <c r="MDS240" s="146"/>
      <c r="MDT240" s="146"/>
      <c r="MDU240" s="146"/>
      <c r="MDV240" s="146"/>
      <c r="MDW240" s="146"/>
      <c r="MDX240" s="146"/>
      <c r="MDY240" s="146"/>
      <c r="MDZ240" s="146"/>
      <c r="MEA240" s="146"/>
      <c r="MEB240" s="146"/>
      <c r="MEC240" s="146"/>
      <c r="MED240" s="146"/>
      <c r="MEE240" s="146"/>
      <c r="MEF240" s="146"/>
      <c r="MEG240" s="146"/>
      <c r="MEH240" s="146"/>
      <c r="MEI240" s="146"/>
      <c r="MEJ240" s="146"/>
      <c r="MEK240" s="146"/>
      <c r="MEL240" s="146"/>
      <c r="MEM240" s="146"/>
      <c r="MEN240" s="146"/>
      <c r="MEO240" s="146"/>
      <c r="MEP240" s="146"/>
      <c r="MEQ240" s="146"/>
      <c r="MER240" s="146"/>
      <c r="MES240" s="146"/>
      <c r="MET240" s="146"/>
      <c r="MEU240" s="146"/>
      <c r="MEV240" s="146"/>
      <c r="MEW240" s="146"/>
      <c r="MEX240" s="146"/>
      <c r="MEY240" s="146"/>
      <c r="MEZ240" s="146"/>
      <c r="MFA240" s="146"/>
      <c r="MFB240" s="146"/>
      <c r="MFC240" s="146"/>
      <c r="MFD240" s="146"/>
      <c r="MFE240" s="146"/>
      <c r="MFF240" s="146"/>
      <c r="MFG240" s="146"/>
      <c r="MFH240" s="146"/>
      <c r="MFI240" s="146"/>
      <c r="MFJ240" s="146"/>
      <c r="MFK240" s="146"/>
      <c r="MFL240" s="146"/>
      <c r="MFM240" s="146"/>
      <c r="MFN240" s="146"/>
      <c r="MFO240" s="146"/>
      <c r="MFP240" s="146"/>
      <c r="MFQ240" s="146"/>
      <c r="MFR240" s="146"/>
      <c r="MFS240" s="146"/>
      <c r="MFT240" s="146"/>
      <c r="MFU240" s="146"/>
      <c r="MFV240" s="146"/>
      <c r="MFW240" s="146"/>
      <c r="MFX240" s="146"/>
      <c r="MFY240" s="146"/>
      <c r="MFZ240" s="146"/>
      <c r="MGA240" s="146"/>
      <c r="MGB240" s="146"/>
      <c r="MGC240" s="146"/>
      <c r="MGD240" s="146"/>
      <c r="MGE240" s="146"/>
      <c r="MGF240" s="146"/>
      <c r="MGG240" s="146"/>
      <c r="MGH240" s="146"/>
      <c r="MGI240" s="146"/>
      <c r="MGJ240" s="146"/>
      <c r="MGK240" s="146"/>
      <c r="MGL240" s="146"/>
      <c r="MGM240" s="146"/>
      <c r="MGN240" s="146"/>
      <c r="MGO240" s="146"/>
      <c r="MGP240" s="146"/>
      <c r="MGQ240" s="146"/>
      <c r="MGR240" s="146"/>
      <c r="MGS240" s="146"/>
      <c r="MGT240" s="146"/>
      <c r="MGU240" s="146"/>
      <c r="MGV240" s="146"/>
      <c r="MGW240" s="146"/>
      <c r="MGX240" s="146"/>
      <c r="MGY240" s="146"/>
      <c r="MGZ240" s="146"/>
      <c r="MHA240" s="146"/>
      <c r="MHB240" s="146"/>
      <c r="MHC240" s="146"/>
      <c r="MHD240" s="146"/>
      <c r="MHE240" s="146"/>
      <c r="MHF240" s="146"/>
      <c r="MHG240" s="146"/>
      <c r="MHH240" s="146"/>
      <c r="MHI240" s="146"/>
      <c r="MHJ240" s="146"/>
      <c r="MHK240" s="146"/>
      <c r="MHL240" s="146"/>
      <c r="MHM240" s="146"/>
      <c r="MHN240" s="146"/>
      <c r="MHO240" s="146"/>
      <c r="MHP240" s="146"/>
      <c r="MHQ240" s="146"/>
      <c r="MHR240" s="146"/>
      <c r="MHS240" s="146"/>
      <c r="MHT240" s="146"/>
      <c r="MHU240" s="146"/>
      <c r="MHV240" s="146"/>
      <c r="MHW240" s="146"/>
      <c r="MHX240" s="146"/>
      <c r="MHY240" s="146"/>
      <c r="MHZ240" s="146"/>
      <c r="MIA240" s="146"/>
      <c r="MIB240" s="146"/>
      <c r="MIC240" s="146"/>
      <c r="MID240" s="146"/>
      <c r="MIE240" s="146"/>
      <c r="MIF240" s="146"/>
      <c r="MIG240" s="146"/>
      <c r="MIH240" s="146"/>
      <c r="MII240" s="146"/>
      <c r="MIJ240" s="146"/>
      <c r="MIK240" s="146"/>
      <c r="MIL240" s="146"/>
      <c r="MIM240" s="146"/>
      <c r="MIN240" s="146"/>
      <c r="MIO240" s="146"/>
      <c r="MIP240" s="146"/>
      <c r="MIQ240" s="146"/>
      <c r="MIR240" s="146"/>
      <c r="MIS240" s="146"/>
      <c r="MIT240" s="146"/>
      <c r="MIU240" s="146"/>
      <c r="MIV240" s="146"/>
      <c r="MIW240" s="146"/>
      <c r="MIX240" s="146"/>
      <c r="MIY240" s="146"/>
      <c r="MIZ240" s="146"/>
      <c r="MJA240" s="146"/>
      <c r="MJB240" s="146"/>
      <c r="MJC240" s="146"/>
      <c r="MJD240" s="146"/>
      <c r="MJE240" s="146"/>
      <c r="MJF240" s="146"/>
      <c r="MJG240" s="146"/>
      <c r="MJH240" s="146"/>
      <c r="MJI240" s="146"/>
      <c r="MJJ240" s="146"/>
      <c r="MJK240" s="146"/>
      <c r="MJL240" s="146"/>
      <c r="MJM240" s="146"/>
      <c r="MJN240" s="146"/>
      <c r="MJO240" s="146"/>
      <c r="MJP240" s="146"/>
      <c r="MJQ240" s="146"/>
      <c r="MJR240" s="146"/>
      <c r="MJS240" s="146"/>
      <c r="MJT240" s="146"/>
      <c r="MJU240" s="146"/>
      <c r="MJV240" s="146"/>
      <c r="MJW240" s="146"/>
      <c r="MJX240" s="146"/>
      <c r="MJY240" s="146"/>
      <c r="MJZ240" s="146"/>
      <c r="MKA240" s="146"/>
      <c r="MKB240" s="146"/>
      <c r="MKC240" s="146"/>
      <c r="MKD240" s="146"/>
      <c r="MKE240" s="146"/>
      <c r="MKF240" s="146"/>
      <c r="MKG240" s="146"/>
      <c r="MKH240" s="146"/>
      <c r="MKI240" s="146"/>
      <c r="MKJ240" s="146"/>
      <c r="MKK240" s="146"/>
      <c r="MKL240" s="146"/>
      <c r="MKM240" s="146"/>
      <c r="MKN240" s="146"/>
      <c r="MKO240" s="146"/>
      <c r="MKP240" s="146"/>
      <c r="MKQ240" s="146"/>
      <c r="MKR240" s="146"/>
      <c r="MKS240" s="146"/>
      <c r="MKT240" s="146"/>
      <c r="MKU240" s="146"/>
      <c r="MKV240" s="146"/>
      <c r="MKW240" s="146"/>
      <c r="MKX240" s="146"/>
      <c r="MKY240" s="146"/>
      <c r="MKZ240" s="146"/>
      <c r="MLA240" s="146"/>
      <c r="MLB240" s="146"/>
      <c r="MLC240" s="146"/>
      <c r="MLD240" s="146"/>
      <c r="MLE240" s="146"/>
      <c r="MLF240" s="146"/>
      <c r="MLG240" s="146"/>
      <c r="MLH240" s="146"/>
      <c r="MLI240" s="146"/>
      <c r="MLJ240" s="146"/>
      <c r="MLK240" s="146"/>
      <c r="MLL240" s="146"/>
      <c r="MLM240" s="146"/>
      <c r="MLN240" s="146"/>
      <c r="MLO240" s="146"/>
      <c r="MLP240" s="146"/>
      <c r="MLQ240" s="146"/>
      <c r="MLR240" s="146"/>
      <c r="MLS240" s="146"/>
      <c r="MLT240" s="146"/>
      <c r="MLU240" s="146"/>
      <c r="MLV240" s="146"/>
      <c r="MLW240" s="146"/>
      <c r="MLX240" s="146"/>
      <c r="MLY240" s="146"/>
      <c r="MLZ240" s="146"/>
      <c r="MMA240" s="146"/>
      <c r="MMB240" s="146"/>
      <c r="MMC240" s="146"/>
      <c r="MMD240" s="146"/>
      <c r="MME240" s="146"/>
      <c r="MMF240" s="146"/>
      <c r="MMG240" s="146"/>
      <c r="MMH240" s="146"/>
      <c r="MMI240" s="146"/>
      <c r="MMJ240" s="146"/>
      <c r="MMK240" s="146"/>
      <c r="MML240" s="146"/>
      <c r="MMM240" s="146"/>
      <c r="MMN240" s="146"/>
      <c r="MMO240" s="146"/>
      <c r="MMP240" s="146"/>
      <c r="MMQ240" s="146"/>
      <c r="MMR240" s="146"/>
      <c r="MMS240" s="146"/>
      <c r="MMT240" s="146"/>
      <c r="MMU240" s="146"/>
      <c r="MMV240" s="146"/>
      <c r="MMW240" s="146"/>
      <c r="MMX240" s="146"/>
      <c r="MMY240" s="146"/>
      <c r="MMZ240" s="146"/>
      <c r="MNA240" s="146"/>
      <c r="MNB240" s="146"/>
      <c r="MNC240" s="146"/>
      <c r="MND240" s="146"/>
      <c r="MNE240" s="146"/>
      <c r="MNF240" s="146"/>
      <c r="MNG240" s="146"/>
      <c r="MNH240" s="146"/>
      <c r="MNI240" s="146"/>
      <c r="MNJ240" s="146"/>
      <c r="MNK240" s="146"/>
      <c r="MNL240" s="146"/>
      <c r="MNM240" s="146"/>
      <c r="MNN240" s="146"/>
      <c r="MNO240" s="146"/>
      <c r="MNP240" s="146"/>
      <c r="MNQ240" s="146"/>
      <c r="MNR240" s="146"/>
      <c r="MNS240" s="146"/>
      <c r="MNT240" s="146"/>
      <c r="MNU240" s="146"/>
      <c r="MNV240" s="146"/>
      <c r="MNW240" s="146"/>
      <c r="MNX240" s="146"/>
      <c r="MNY240" s="146"/>
      <c r="MNZ240" s="146"/>
      <c r="MOA240" s="146"/>
      <c r="MOB240" s="146"/>
      <c r="MOC240" s="146"/>
      <c r="MOD240" s="146"/>
      <c r="MOE240" s="146"/>
      <c r="MOF240" s="146"/>
      <c r="MOG240" s="146"/>
      <c r="MOH240" s="146"/>
      <c r="MOI240" s="146"/>
      <c r="MOJ240" s="146"/>
      <c r="MOK240" s="146"/>
      <c r="MOL240" s="146"/>
      <c r="MOM240" s="146"/>
      <c r="MON240" s="146"/>
      <c r="MOO240" s="146"/>
      <c r="MOP240" s="146"/>
      <c r="MOQ240" s="146"/>
      <c r="MOR240" s="146"/>
      <c r="MOS240" s="146"/>
      <c r="MOT240" s="146"/>
      <c r="MOU240" s="146"/>
      <c r="MOV240" s="146"/>
      <c r="MOW240" s="146"/>
      <c r="MOX240" s="146"/>
      <c r="MOY240" s="146"/>
      <c r="MOZ240" s="146"/>
      <c r="MPA240" s="146"/>
      <c r="MPB240" s="146"/>
      <c r="MPC240" s="146"/>
      <c r="MPD240" s="146"/>
      <c r="MPE240" s="146"/>
      <c r="MPF240" s="146"/>
      <c r="MPG240" s="146"/>
      <c r="MPH240" s="146"/>
      <c r="MPI240" s="146"/>
      <c r="MPJ240" s="146"/>
      <c r="MPK240" s="146"/>
      <c r="MPL240" s="146"/>
      <c r="MPM240" s="146"/>
      <c r="MPN240" s="146"/>
      <c r="MPO240" s="146"/>
      <c r="MPP240" s="146"/>
      <c r="MPQ240" s="146"/>
      <c r="MPR240" s="146"/>
      <c r="MPS240" s="146"/>
      <c r="MPT240" s="146"/>
      <c r="MPU240" s="146"/>
      <c r="MPV240" s="146"/>
      <c r="MPW240" s="146"/>
      <c r="MPX240" s="146"/>
      <c r="MPY240" s="146"/>
      <c r="MPZ240" s="146"/>
      <c r="MQA240" s="146"/>
      <c r="MQB240" s="146"/>
      <c r="MQC240" s="146"/>
      <c r="MQD240" s="146"/>
      <c r="MQE240" s="146"/>
      <c r="MQF240" s="146"/>
      <c r="MQG240" s="146"/>
      <c r="MQH240" s="146"/>
      <c r="MQI240" s="146"/>
      <c r="MQJ240" s="146"/>
      <c r="MQK240" s="146"/>
      <c r="MQL240" s="146"/>
      <c r="MQM240" s="146"/>
      <c r="MQN240" s="146"/>
      <c r="MQO240" s="146"/>
      <c r="MQP240" s="146"/>
      <c r="MQQ240" s="146"/>
      <c r="MQR240" s="146"/>
      <c r="MQS240" s="146"/>
      <c r="MQT240" s="146"/>
      <c r="MQU240" s="146"/>
      <c r="MQV240" s="146"/>
      <c r="MQW240" s="146"/>
      <c r="MQX240" s="146"/>
      <c r="MQY240" s="146"/>
      <c r="MQZ240" s="146"/>
      <c r="MRA240" s="146"/>
      <c r="MRB240" s="146"/>
      <c r="MRC240" s="146"/>
      <c r="MRD240" s="146"/>
      <c r="MRE240" s="146"/>
      <c r="MRF240" s="146"/>
      <c r="MRG240" s="146"/>
      <c r="MRH240" s="146"/>
      <c r="MRI240" s="146"/>
      <c r="MRJ240" s="146"/>
      <c r="MRK240" s="146"/>
      <c r="MRL240" s="146"/>
      <c r="MRM240" s="146"/>
      <c r="MRN240" s="146"/>
      <c r="MRO240" s="146"/>
      <c r="MRP240" s="146"/>
      <c r="MRQ240" s="146"/>
      <c r="MRR240" s="146"/>
      <c r="MRS240" s="146"/>
      <c r="MRT240" s="146"/>
      <c r="MRU240" s="146"/>
      <c r="MRV240" s="146"/>
      <c r="MRW240" s="146"/>
      <c r="MRX240" s="146"/>
      <c r="MRY240" s="146"/>
      <c r="MRZ240" s="146"/>
      <c r="MSA240" s="146"/>
      <c r="MSB240" s="146"/>
      <c r="MSC240" s="146"/>
      <c r="MSD240" s="146"/>
      <c r="MSE240" s="146"/>
      <c r="MSF240" s="146"/>
      <c r="MSG240" s="146"/>
      <c r="MSH240" s="146"/>
      <c r="MSI240" s="146"/>
      <c r="MSJ240" s="146"/>
      <c r="MSK240" s="146"/>
      <c r="MSL240" s="146"/>
      <c r="MSM240" s="146"/>
      <c r="MSN240" s="146"/>
      <c r="MSO240" s="146"/>
      <c r="MSP240" s="146"/>
      <c r="MSQ240" s="146"/>
      <c r="MSR240" s="146"/>
      <c r="MSS240" s="146"/>
      <c r="MST240" s="146"/>
      <c r="MSU240" s="146"/>
      <c r="MSV240" s="146"/>
      <c r="MSW240" s="146"/>
      <c r="MSX240" s="146"/>
      <c r="MSY240" s="146"/>
      <c r="MSZ240" s="146"/>
      <c r="MTA240" s="146"/>
      <c r="MTB240" s="146"/>
      <c r="MTC240" s="146"/>
      <c r="MTD240" s="146"/>
      <c r="MTE240" s="146"/>
      <c r="MTF240" s="146"/>
      <c r="MTG240" s="146"/>
      <c r="MTH240" s="146"/>
      <c r="MTI240" s="146"/>
      <c r="MTJ240" s="146"/>
      <c r="MTK240" s="146"/>
      <c r="MTL240" s="146"/>
      <c r="MTM240" s="146"/>
      <c r="MTN240" s="146"/>
      <c r="MTO240" s="146"/>
      <c r="MTP240" s="146"/>
      <c r="MTQ240" s="146"/>
      <c r="MTR240" s="146"/>
      <c r="MTS240" s="146"/>
      <c r="MTT240" s="146"/>
      <c r="MTU240" s="146"/>
      <c r="MTV240" s="146"/>
      <c r="MTW240" s="146"/>
      <c r="MTX240" s="146"/>
      <c r="MTY240" s="146"/>
      <c r="MTZ240" s="146"/>
      <c r="MUA240" s="146"/>
      <c r="MUB240" s="146"/>
      <c r="MUC240" s="146"/>
      <c r="MUD240" s="146"/>
      <c r="MUE240" s="146"/>
      <c r="MUF240" s="146"/>
      <c r="MUG240" s="146"/>
      <c r="MUH240" s="146"/>
      <c r="MUI240" s="146"/>
      <c r="MUJ240" s="146"/>
      <c r="MUK240" s="146"/>
      <c r="MUL240" s="146"/>
      <c r="MUM240" s="146"/>
      <c r="MUN240" s="146"/>
      <c r="MUO240" s="146"/>
      <c r="MUP240" s="146"/>
      <c r="MUQ240" s="146"/>
      <c r="MUR240" s="146"/>
      <c r="MUS240" s="146"/>
      <c r="MUT240" s="146"/>
      <c r="MUU240" s="146"/>
      <c r="MUV240" s="146"/>
      <c r="MUW240" s="146"/>
      <c r="MUX240" s="146"/>
      <c r="MUY240" s="146"/>
      <c r="MUZ240" s="146"/>
      <c r="MVA240" s="146"/>
      <c r="MVB240" s="146"/>
      <c r="MVC240" s="146"/>
      <c r="MVD240" s="146"/>
      <c r="MVE240" s="146"/>
      <c r="MVF240" s="146"/>
      <c r="MVG240" s="146"/>
      <c r="MVH240" s="146"/>
      <c r="MVI240" s="146"/>
      <c r="MVJ240" s="146"/>
      <c r="MVK240" s="146"/>
      <c r="MVL240" s="146"/>
      <c r="MVM240" s="146"/>
      <c r="MVN240" s="146"/>
      <c r="MVO240" s="146"/>
      <c r="MVP240" s="146"/>
      <c r="MVQ240" s="146"/>
      <c r="MVR240" s="146"/>
      <c r="MVS240" s="146"/>
      <c r="MVT240" s="146"/>
      <c r="MVU240" s="146"/>
      <c r="MVV240" s="146"/>
      <c r="MVW240" s="146"/>
      <c r="MVX240" s="146"/>
      <c r="MVY240" s="146"/>
      <c r="MVZ240" s="146"/>
      <c r="MWA240" s="146"/>
      <c r="MWB240" s="146"/>
      <c r="MWC240" s="146"/>
      <c r="MWD240" s="146"/>
      <c r="MWE240" s="146"/>
      <c r="MWF240" s="146"/>
      <c r="MWG240" s="146"/>
      <c r="MWH240" s="146"/>
      <c r="MWI240" s="146"/>
      <c r="MWJ240" s="146"/>
      <c r="MWK240" s="146"/>
      <c r="MWL240" s="146"/>
      <c r="MWM240" s="146"/>
      <c r="MWN240" s="146"/>
      <c r="MWO240" s="146"/>
      <c r="MWP240" s="146"/>
      <c r="MWQ240" s="146"/>
      <c r="MWR240" s="146"/>
      <c r="MWS240" s="146"/>
      <c r="MWT240" s="146"/>
      <c r="MWU240" s="146"/>
      <c r="MWV240" s="146"/>
      <c r="MWW240" s="146"/>
      <c r="MWX240" s="146"/>
      <c r="MWY240" s="146"/>
      <c r="MWZ240" s="146"/>
      <c r="MXA240" s="146"/>
      <c r="MXB240" s="146"/>
      <c r="MXC240" s="146"/>
      <c r="MXD240" s="146"/>
      <c r="MXE240" s="146"/>
      <c r="MXF240" s="146"/>
      <c r="MXG240" s="146"/>
      <c r="MXH240" s="146"/>
      <c r="MXI240" s="146"/>
      <c r="MXJ240" s="146"/>
      <c r="MXK240" s="146"/>
      <c r="MXL240" s="146"/>
      <c r="MXM240" s="146"/>
      <c r="MXN240" s="146"/>
      <c r="MXO240" s="146"/>
      <c r="MXP240" s="146"/>
      <c r="MXQ240" s="146"/>
      <c r="MXR240" s="146"/>
      <c r="MXS240" s="146"/>
      <c r="MXT240" s="146"/>
      <c r="MXU240" s="146"/>
      <c r="MXV240" s="146"/>
      <c r="MXW240" s="146"/>
      <c r="MXX240" s="146"/>
      <c r="MXY240" s="146"/>
      <c r="MXZ240" s="146"/>
      <c r="MYA240" s="146"/>
      <c r="MYB240" s="146"/>
      <c r="MYC240" s="146"/>
      <c r="MYD240" s="146"/>
      <c r="MYE240" s="146"/>
      <c r="MYF240" s="146"/>
      <c r="MYG240" s="146"/>
      <c r="MYH240" s="146"/>
      <c r="MYI240" s="146"/>
      <c r="MYJ240" s="146"/>
      <c r="MYK240" s="146"/>
      <c r="MYL240" s="146"/>
      <c r="MYM240" s="146"/>
      <c r="MYN240" s="146"/>
      <c r="MYO240" s="146"/>
      <c r="MYP240" s="146"/>
      <c r="MYQ240" s="146"/>
      <c r="MYR240" s="146"/>
      <c r="MYS240" s="146"/>
      <c r="MYT240" s="146"/>
      <c r="MYU240" s="146"/>
      <c r="MYV240" s="146"/>
      <c r="MYW240" s="146"/>
      <c r="MYX240" s="146"/>
      <c r="MYY240" s="146"/>
      <c r="MYZ240" s="146"/>
      <c r="MZA240" s="146"/>
      <c r="MZB240" s="146"/>
      <c r="MZC240" s="146"/>
      <c r="MZD240" s="146"/>
      <c r="MZE240" s="146"/>
      <c r="MZF240" s="146"/>
      <c r="MZG240" s="146"/>
      <c r="MZH240" s="146"/>
      <c r="MZI240" s="146"/>
      <c r="MZJ240" s="146"/>
      <c r="MZK240" s="146"/>
      <c r="MZL240" s="146"/>
      <c r="MZM240" s="146"/>
      <c r="MZN240" s="146"/>
      <c r="MZO240" s="146"/>
      <c r="MZP240" s="146"/>
      <c r="MZQ240" s="146"/>
      <c r="MZR240" s="146"/>
      <c r="MZS240" s="146"/>
      <c r="MZT240" s="146"/>
      <c r="MZU240" s="146"/>
      <c r="MZV240" s="146"/>
      <c r="MZW240" s="146"/>
      <c r="MZX240" s="146"/>
      <c r="MZY240" s="146"/>
      <c r="MZZ240" s="146"/>
      <c r="NAA240" s="146"/>
      <c r="NAB240" s="146"/>
      <c r="NAC240" s="146"/>
      <c r="NAD240" s="146"/>
      <c r="NAE240" s="146"/>
      <c r="NAF240" s="146"/>
      <c r="NAG240" s="146"/>
      <c r="NAH240" s="146"/>
      <c r="NAI240" s="146"/>
      <c r="NAJ240" s="146"/>
      <c r="NAK240" s="146"/>
      <c r="NAL240" s="146"/>
      <c r="NAM240" s="146"/>
      <c r="NAN240" s="146"/>
      <c r="NAO240" s="146"/>
      <c r="NAP240" s="146"/>
      <c r="NAQ240" s="146"/>
      <c r="NAR240" s="146"/>
      <c r="NAS240" s="146"/>
      <c r="NAT240" s="146"/>
      <c r="NAU240" s="146"/>
      <c r="NAV240" s="146"/>
      <c r="NAW240" s="146"/>
      <c r="NAX240" s="146"/>
      <c r="NAY240" s="146"/>
      <c r="NAZ240" s="146"/>
      <c r="NBA240" s="146"/>
      <c r="NBB240" s="146"/>
      <c r="NBC240" s="146"/>
      <c r="NBD240" s="146"/>
      <c r="NBE240" s="146"/>
      <c r="NBF240" s="146"/>
      <c r="NBG240" s="146"/>
      <c r="NBH240" s="146"/>
      <c r="NBI240" s="146"/>
      <c r="NBJ240" s="146"/>
      <c r="NBK240" s="146"/>
      <c r="NBL240" s="146"/>
      <c r="NBM240" s="146"/>
      <c r="NBN240" s="146"/>
      <c r="NBO240" s="146"/>
      <c r="NBP240" s="146"/>
      <c r="NBQ240" s="146"/>
      <c r="NBR240" s="146"/>
      <c r="NBS240" s="146"/>
      <c r="NBT240" s="146"/>
      <c r="NBU240" s="146"/>
      <c r="NBV240" s="146"/>
      <c r="NBW240" s="146"/>
      <c r="NBX240" s="146"/>
      <c r="NBY240" s="146"/>
      <c r="NBZ240" s="146"/>
      <c r="NCA240" s="146"/>
      <c r="NCB240" s="146"/>
      <c r="NCC240" s="146"/>
      <c r="NCD240" s="146"/>
      <c r="NCE240" s="146"/>
      <c r="NCF240" s="146"/>
      <c r="NCG240" s="146"/>
      <c r="NCH240" s="146"/>
      <c r="NCI240" s="146"/>
      <c r="NCJ240" s="146"/>
      <c r="NCK240" s="146"/>
      <c r="NCL240" s="146"/>
      <c r="NCM240" s="146"/>
      <c r="NCN240" s="146"/>
      <c r="NCO240" s="146"/>
      <c r="NCP240" s="146"/>
      <c r="NCQ240" s="146"/>
      <c r="NCR240" s="146"/>
      <c r="NCS240" s="146"/>
      <c r="NCT240" s="146"/>
      <c r="NCU240" s="146"/>
      <c r="NCV240" s="146"/>
      <c r="NCW240" s="146"/>
      <c r="NCX240" s="146"/>
      <c r="NCY240" s="146"/>
      <c r="NCZ240" s="146"/>
      <c r="NDA240" s="146"/>
      <c r="NDB240" s="146"/>
      <c r="NDC240" s="146"/>
      <c r="NDD240" s="146"/>
      <c r="NDE240" s="146"/>
      <c r="NDF240" s="146"/>
      <c r="NDG240" s="146"/>
      <c r="NDH240" s="146"/>
      <c r="NDI240" s="146"/>
      <c r="NDJ240" s="146"/>
      <c r="NDK240" s="146"/>
      <c r="NDL240" s="146"/>
      <c r="NDM240" s="146"/>
      <c r="NDN240" s="146"/>
      <c r="NDO240" s="146"/>
      <c r="NDP240" s="146"/>
      <c r="NDQ240" s="146"/>
      <c r="NDR240" s="146"/>
      <c r="NDS240" s="146"/>
      <c r="NDT240" s="146"/>
      <c r="NDU240" s="146"/>
      <c r="NDV240" s="146"/>
      <c r="NDW240" s="146"/>
      <c r="NDX240" s="146"/>
      <c r="NDY240" s="146"/>
      <c r="NDZ240" s="146"/>
      <c r="NEA240" s="146"/>
      <c r="NEB240" s="146"/>
      <c r="NEC240" s="146"/>
      <c r="NED240" s="146"/>
      <c r="NEE240" s="146"/>
      <c r="NEF240" s="146"/>
      <c r="NEG240" s="146"/>
      <c r="NEH240" s="146"/>
      <c r="NEI240" s="146"/>
      <c r="NEJ240" s="146"/>
      <c r="NEK240" s="146"/>
      <c r="NEL240" s="146"/>
      <c r="NEM240" s="146"/>
      <c r="NEN240" s="146"/>
      <c r="NEO240" s="146"/>
      <c r="NEP240" s="146"/>
      <c r="NEQ240" s="146"/>
      <c r="NER240" s="146"/>
      <c r="NES240" s="146"/>
      <c r="NET240" s="146"/>
      <c r="NEU240" s="146"/>
      <c r="NEV240" s="146"/>
      <c r="NEW240" s="146"/>
      <c r="NEX240" s="146"/>
      <c r="NEY240" s="146"/>
      <c r="NEZ240" s="146"/>
      <c r="NFA240" s="146"/>
      <c r="NFB240" s="146"/>
      <c r="NFC240" s="146"/>
      <c r="NFD240" s="146"/>
      <c r="NFE240" s="146"/>
      <c r="NFF240" s="146"/>
      <c r="NFG240" s="146"/>
      <c r="NFH240" s="146"/>
      <c r="NFI240" s="146"/>
      <c r="NFJ240" s="146"/>
      <c r="NFK240" s="146"/>
      <c r="NFL240" s="146"/>
      <c r="NFM240" s="146"/>
      <c r="NFN240" s="146"/>
      <c r="NFO240" s="146"/>
      <c r="NFP240" s="146"/>
      <c r="NFQ240" s="146"/>
      <c r="NFR240" s="146"/>
      <c r="NFS240" s="146"/>
      <c r="NFT240" s="146"/>
      <c r="NFU240" s="146"/>
      <c r="NFV240" s="146"/>
      <c r="NFW240" s="146"/>
      <c r="NFX240" s="146"/>
      <c r="NFY240" s="146"/>
      <c r="NFZ240" s="146"/>
      <c r="NGA240" s="146"/>
      <c r="NGB240" s="146"/>
      <c r="NGC240" s="146"/>
      <c r="NGD240" s="146"/>
      <c r="NGE240" s="146"/>
      <c r="NGF240" s="146"/>
      <c r="NGG240" s="146"/>
      <c r="NGH240" s="146"/>
      <c r="NGI240" s="146"/>
      <c r="NGJ240" s="146"/>
      <c r="NGK240" s="146"/>
      <c r="NGL240" s="146"/>
      <c r="NGM240" s="146"/>
      <c r="NGN240" s="146"/>
      <c r="NGO240" s="146"/>
      <c r="NGP240" s="146"/>
      <c r="NGQ240" s="146"/>
      <c r="NGR240" s="146"/>
      <c r="NGS240" s="146"/>
      <c r="NGT240" s="146"/>
      <c r="NGU240" s="146"/>
      <c r="NGV240" s="146"/>
      <c r="NGW240" s="146"/>
      <c r="NGX240" s="146"/>
      <c r="NGY240" s="146"/>
      <c r="NGZ240" s="146"/>
      <c r="NHA240" s="146"/>
      <c r="NHB240" s="146"/>
      <c r="NHC240" s="146"/>
      <c r="NHD240" s="146"/>
      <c r="NHE240" s="146"/>
      <c r="NHF240" s="146"/>
      <c r="NHG240" s="146"/>
      <c r="NHH240" s="146"/>
      <c r="NHI240" s="146"/>
      <c r="NHJ240" s="146"/>
      <c r="NHK240" s="146"/>
      <c r="NHL240" s="146"/>
      <c r="NHM240" s="146"/>
      <c r="NHN240" s="146"/>
      <c r="NHO240" s="146"/>
      <c r="NHP240" s="146"/>
      <c r="NHQ240" s="146"/>
      <c r="NHR240" s="146"/>
      <c r="NHS240" s="146"/>
      <c r="NHT240" s="146"/>
      <c r="NHU240" s="146"/>
      <c r="NHV240" s="146"/>
      <c r="NHW240" s="146"/>
      <c r="NHX240" s="146"/>
      <c r="NHY240" s="146"/>
      <c r="NHZ240" s="146"/>
      <c r="NIA240" s="146"/>
      <c r="NIB240" s="146"/>
      <c r="NIC240" s="146"/>
      <c r="NID240" s="146"/>
      <c r="NIE240" s="146"/>
      <c r="NIF240" s="146"/>
      <c r="NIG240" s="146"/>
      <c r="NIH240" s="146"/>
      <c r="NII240" s="146"/>
      <c r="NIJ240" s="146"/>
      <c r="NIK240" s="146"/>
      <c r="NIL240" s="146"/>
      <c r="NIM240" s="146"/>
      <c r="NIN240" s="146"/>
      <c r="NIO240" s="146"/>
      <c r="NIP240" s="146"/>
      <c r="NIQ240" s="146"/>
      <c r="NIR240" s="146"/>
      <c r="NIS240" s="146"/>
      <c r="NIT240" s="146"/>
      <c r="NIU240" s="146"/>
      <c r="NIV240" s="146"/>
      <c r="NIW240" s="146"/>
      <c r="NIX240" s="146"/>
      <c r="NIY240" s="146"/>
      <c r="NIZ240" s="146"/>
      <c r="NJA240" s="146"/>
      <c r="NJB240" s="146"/>
      <c r="NJC240" s="146"/>
      <c r="NJD240" s="146"/>
      <c r="NJE240" s="146"/>
      <c r="NJF240" s="146"/>
      <c r="NJG240" s="146"/>
      <c r="NJH240" s="146"/>
      <c r="NJI240" s="146"/>
      <c r="NJJ240" s="146"/>
      <c r="NJK240" s="146"/>
      <c r="NJL240" s="146"/>
      <c r="NJM240" s="146"/>
      <c r="NJN240" s="146"/>
      <c r="NJO240" s="146"/>
      <c r="NJP240" s="146"/>
      <c r="NJQ240" s="146"/>
      <c r="NJR240" s="146"/>
      <c r="NJS240" s="146"/>
      <c r="NJT240" s="146"/>
      <c r="NJU240" s="146"/>
      <c r="NJV240" s="146"/>
      <c r="NJW240" s="146"/>
      <c r="NJX240" s="146"/>
      <c r="NJY240" s="146"/>
      <c r="NJZ240" s="146"/>
      <c r="NKA240" s="146"/>
      <c r="NKB240" s="146"/>
      <c r="NKC240" s="146"/>
      <c r="NKD240" s="146"/>
      <c r="NKE240" s="146"/>
      <c r="NKF240" s="146"/>
      <c r="NKG240" s="146"/>
      <c r="NKH240" s="146"/>
      <c r="NKI240" s="146"/>
      <c r="NKJ240" s="146"/>
      <c r="NKK240" s="146"/>
      <c r="NKL240" s="146"/>
      <c r="NKM240" s="146"/>
      <c r="NKN240" s="146"/>
      <c r="NKO240" s="146"/>
      <c r="NKP240" s="146"/>
      <c r="NKQ240" s="146"/>
      <c r="NKR240" s="146"/>
      <c r="NKS240" s="146"/>
      <c r="NKT240" s="146"/>
      <c r="NKU240" s="146"/>
      <c r="NKV240" s="146"/>
      <c r="NKW240" s="146"/>
      <c r="NKX240" s="146"/>
      <c r="NKY240" s="146"/>
      <c r="NKZ240" s="146"/>
      <c r="NLA240" s="146"/>
      <c r="NLB240" s="146"/>
      <c r="NLC240" s="146"/>
      <c r="NLD240" s="146"/>
      <c r="NLE240" s="146"/>
      <c r="NLF240" s="146"/>
      <c r="NLG240" s="146"/>
      <c r="NLH240" s="146"/>
      <c r="NLI240" s="146"/>
      <c r="NLJ240" s="146"/>
      <c r="NLK240" s="146"/>
      <c r="NLL240" s="146"/>
      <c r="NLM240" s="146"/>
      <c r="NLN240" s="146"/>
      <c r="NLO240" s="146"/>
      <c r="NLP240" s="146"/>
      <c r="NLQ240" s="146"/>
      <c r="NLR240" s="146"/>
      <c r="NLS240" s="146"/>
      <c r="NLT240" s="146"/>
      <c r="NLU240" s="146"/>
      <c r="NLV240" s="146"/>
      <c r="NLW240" s="146"/>
      <c r="NLX240" s="146"/>
      <c r="NLY240" s="146"/>
      <c r="NLZ240" s="146"/>
      <c r="NMA240" s="146"/>
      <c r="NMB240" s="146"/>
      <c r="NMC240" s="146"/>
      <c r="NMD240" s="146"/>
      <c r="NME240" s="146"/>
      <c r="NMF240" s="146"/>
      <c r="NMG240" s="146"/>
      <c r="NMH240" s="146"/>
      <c r="NMI240" s="146"/>
      <c r="NMJ240" s="146"/>
      <c r="NMK240" s="146"/>
      <c r="NML240" s="146"/>
      <c r="NMM240" s="146"/>
      <c r="NMN240" s="146"/>
      <c r="NMO240" s="146"/>
      <c r="NMP240" s="146"/>
      <c r="NMQ240" s="146"/>
      <c r="NMR240" s="146"/>
      <c r="NMS240" s="146"/>
      <c r="NMT240" s="146"/>
      <c r="NMU240" s="146"/>
      <c r="NMV240" s="146"/>
      <c r="NMW240" s="146"/>
      <c r="NMX240" s="146"/>
      <c r="NMY240" s="146"/>
      <c r="NMZ240" s="146"/>
      <c r="NNA240" s="146"/>
      <c r="NNB240" s="146"/>
      <c r="NNC240" s="146"/>
      <c r="NND240" s="146"/>
      <c r="NNE240" s="146"/>
      <c r="NNF240" s="146"/>
      <c r="NNG240" s="146"/>
      <c r="NNH240" s="146"/>
      <c r="NNI240" s="146"/>
      <c r="NNJ240" s="146"/>
      <c r="NNK240" s="146"/>
      <c r="NNL240" s="146"/>
      <c r="NNM240" s="146"/>
      <c r="NNN240" s="146"/>
      <c r="NNO240" s="146"/>
      <c r="NNP240" s="146"/>
      <c r="NNQ240" s="146"/>
      <c r="NNR240" s="146"/>
      <c r="NNS240" s="146"/>
      <c r="NNT240" s="146"/>
      <c r="NNU240" s="146"/>
      <c r="NNV240" s="146"/>
      <c r="NNW240" s="146"/>
      <c r="NNX240" s="146"/>
      <c r="NNY240" s="146"/>
      <c r="NNZ240" s="146"/>
      <c r="NOA240" s="146"/>
      <c r="NOB240" s="146"/>
      <c r="NOC240" s="146"/>
      <c r="NOD240" s="146"/>
      <c r="NOE240" s="146"/>
      <c r="NOF240" s="146"/>
      <c r="NOG240" s="146"/>
      <c r="NOH240" s="146"/>
      <c r="NOI240" s="146"/>
      <c r="NOJ240" s="146"/>
      <c r="NOK240" s="146"/>
      <c r="NOL240" s="146"/>
      <c r="NOM240" s="146"/>
      <c r="NON240" s="146"/>
      <c r="NOO240" s="146"/>
      <c r="NOP240" s="146"/>
      <c r="NOQ240" s="146"/>
      <c r="NOR240" s="146"/>
      <c r="NOS240" s="146"/>
      <c r="NOT240" s="146"/>
      <c r="NOU240" s="146"/>
      <c r="NOV240" s="146"/>
      <c r="NOW240" s="146"/>
      <c r="NOX240" s="146"/>
      <c r="NOY240" s="146"/>
      <c r="NOZ240" s="146"/>
      <c r="NPA240" s="146"/>
      <c r="NPB240" s="146"/>
      <c r="NPC240" s="146"/>
      <c r="NPD240" s="146"/>
      <c r="NPE240" s="146"/>
      <c r="NPF240" s="146"/>
      <c r="NPG240" s="146"/>
      <c r="NPH240" s="146"/>
      <c r="NPI240" s="146"/>
      <c r="NPJ240" s="146"/>
      <c r="NPK240" s="146"/>
      <c r="NPL240" s="146"/>
      <c r="NPM240" s="146"/>
      <c r="NPN240" s="146"/>
      <c r="NPO240" s="146"/>
      <c r="NPP240" s="146"/>
      <c r="NPQ240" s="146"/>
      <c r="NPR240" s="146"/>
      <c r="NPS240" s="146"/>
      <c r="NPT240" s="146"/>
      <c r="NPU240" s="146"/>
      <c r="NPV240" s="146"/>
      <c r="NPW240" s="146"/>
      <c r="NPX240" s="146"/>
      <c r="NPY240" s="146"/>
      <c r="NPZ240" s="146"/>
      <c r="NQA240" s="146"/>
      <c r="NQB240" s="146"/>
      <c r="NQC240" s="146"/>
      <c r="NQD240" s="146"/>
      <c r="NQE240" s="146"/>
      <c r="NQF240" s="146"/>
      <c r="NQG240" s="146"/>
      <c r="NQH240" s="146"/>
      <c r="NQI240" s="146"/>
      <c r="NQJ240" s="146"/>
      <c r="NQK240" s="146"/>
      <c r="NQL240" s="146"/>
      <c r="NQM240" s="146"/>
      <c r="NQN240" s="146"/>
      <c r="NQO240" s="146"/>
      <c r="NQP240" s="146"/>
      <c r="NQQ240" s="146"/>
      <c r="NQR240" s="146"/>
      <c r="NQS240" s="146"/>
      <c r="NQT240" s="146"/>
      <c r="NQU240" s="146"/>
      <c r="NQV240" s="146"/>
      <c r="NQW240" s="146"/>
      <c r="NQX240" s="146"/>
      <c r="NQY240" s="146"/>
      <c r="NQZ240" s="146"/>
      <c r="NRA240" s="146"/>
      <c r="NRB240" s="146"/>
      <c r="NRC240" s="146"/>
      <c r="NRD240" s="146"/>
      <c r="NRE240" s="146"/>
      <c r="NRF240" s="146"/>
      <c r="NRG240" s="146"/>
      <c r="NRH240" s="146"/>
      <c r="NRI240" s="146"/>
      <c r="NRJ240" s="146"/>
      <c r="NRK240" s="146"/>
      <c r="NRL240" s="146"/>
      <c r="NRM240" s="146"/>
      <c r="NRN240" s="146"/>
      <c r="NRO240" s="146"/>
      <c r="NRP240" s="146"/>
      <c r="NRQ240" s="146"/>
      <c r="NRR240" s="146"/>
      <c r="NRS240" s="146"/>
      <c r="NRT240" s="146"/>
      <c r="NRU240" s="146"/>
      <c r="NRV240" s="146"/>
      <c r="NRW240" s="146"/>
      <c r="NRX240" s="146"/>
      <c r="NRY240" s="146"/>
      <c r="NRZ240" s="146"/>
      <c r="NSA240" s="146"/>
      <c r="NSB240" s="146"/>
      <c r="NSC240" s="146"/>
      <c r="NSD240" s="146"/>
      <c r="NSE240" s="146"/>
      <c r="NSF240" s="146"/>
      <c r="NSG240" s="146"/>
      <c r="NSH240" s="146"/>
      <c r="NSI240" s="146"/>
      <c r="NSJ240" s="146"/>
      <c r="NSK240" s="146"/>
      <c r="NSL240" s="146"/>
      <c r="NSM240" s="146"/>
      <c r="NSN240" s="146"/>
      <c r="NSO240" s="146"/>
      <c r="NSP240" s="146"/>
      <c r="NSQ240" s="146"/>
      <c r="NSR240" s="146"/>
      <c r="NSS240" s="146"/>
      <c r="NST240" s="146"/>
      <c r="NSU240" s="146"/>
      <c r="NSV240" s="146"/>
      <c r="NSW240" s="146"/>
      <c r="NSX240" s="146"/>
      <c r="NSY240" s="146"/>
      <c r="NSZ240" s="146"/>
      <c r="NTA240" s="146"/>
      <c r="NTB240" s="146"/>
      <c r="NTC240" s="146"/>
      <c r="NTD240" s="146"/>
      <c r="NTE240" s="146"/>
      <c r="NTF240" s="146"/>
      <c r="NTG240" s="146"/>
      <c r="NTH240" s="146"/>
      <c r="NTI240" s="146"/>
      <c r="NTJ240" s="146"/>
      <c r="NTK240" s="146"/>
      <c r="NTL240" s="146"/>
      <c r="NTM240" s="146"/>
      <c r="NTN240" s="146"/>
      <c r="NTO240" s="146"/>
      <c r="NTP240" s="146"/>
      <c r="NTQ240" s="146"/>
      <c r="NTR240" s="146"/>
      <c r="NTS240" s="146"/>
      <c r="NTT240" s="146"/>
      <c r="NTU240" s="146"/>
      <c r="NTV240" s="146"/>
      <c r="NTW240" s="146"/>
      <c r="NTX240" s="146"/>
      <c r="NTY240" s="146"/>
      <c r="NTZ240" s="146"/>
      <c r="NUA240" s="146"/>
      <c r="NUB240" s="146"/>
      <c r="NUC240" s="146"/>
      <c r="NUD240" s="146"/>
      <c r="NUE240" s="146"/>
      <c r="NUF240" s="146"/>
      <c r="NUG240" s="146"/>
      <c r="NUH240" s="146"/>
      <c r="NUI240" s="146"/>
      <c r="NUJ240" s="146"/>
      <c r="NUK240" s="146"/>
      <c r="NUL240" s="146"/>
      <c r="NUM240" s="146"/>
      <c r="NUN240" s="146"/>
      <c r="NUO240" s="146"/>
      <c r="NUP240" s="146"/>
      <c r="NUQ240" s="146"/>
      <c r="NUR240" s="146"/>
      <c r="NUS240" s="146"/>
      <c r="NUT240" s="146"/>
      <c r="NUU240" s="146"/>
      <c r="NUV240" s="146"/>
      <c r="NUW240" s="146"/>
      <c r="NUX240" s="146"/>
      <c r="NUY240" s="146"/>
      <c r="NUZ240" s="146"/>
      <c r="NVA240" s="146"/>
      <c r="NVB240" s="146"/>
      <c r="NVC240" s="146"/>
      <c r="NVD240" s="146"/>
      <c r="NVE240" s="146"/>
      <c r="NVF240" s="146"/>
      <c r="NVG240" s="146"/>
      <c r="NVH240" s="146"/>
      <c r="NVI240" s="146"/>
      <c r="NVJ240" s="146"/>
      <c r="NVK240" s="146"/>
      <c r="NVL240" s="146"/>
      <c r="NVM240" s="146"/>
      <c r="NVN240" s="146"/>
      <c r="NVO240" s="146"/>
      <c r="NVP240" s="146"/>
      <c r="NVQ240" s="146"/>
      <c r="NVR240" s="146"/>
      <c r="NVS240" s="146"/>
      <c r="NVT240" s="146"/>
      <c r="NVU240" s="146"/>
      <c r="NVV240" s="146"/>
      <c r="NVW240" s="146"/>
      <c r="NVX240" s="146"/>
      <c r="NVY240" s="146"/>
      <c r="NVZ240" s="146"/>
      <c r="NWA240" s="146"/>
      <c r="NWB240" s="146"/>
      <c r="NWC240" s="146"/>
      <c r="NWD240" s="146"/>
      <c r="NWE240" s="146"/>
      <c r="NWF240" s="146"/>
      <c r="NWG240" s="146"/>
      <c r="NWH240" s="146"/>
      <c r="NWI240" s="146"/>
      <c r="NWJ240" s="146"/>
      <c r="NWK240" s="146"/>
      <c r="NWL240" s="146"/>
      <c r="NWM240" s="146"/>
      <c r="NWN240" s="146"/>
      <c r="NWO240" s="146"/>
      <c r="NWP240" s="146"/>
      <c r="NWQ240" s="146"/>
      <c r="NWR240" s="146"/>
      <c r="NWS240" s="146"/>
      <c r="NWT240" s="146"/>
      <c r="NWU240" s="146"/>
      <c r="NWV240" s="146"/>
      <c r="NWW240" s="146"/>
      <c r="NWX240" s="146"/>
      <c r="NWY240" s="146"/>
      <c r="NWZ240" s="146"/>
      <c r="NXA240" s="146"/>
      <c r="NXB240" s="146"/>
      <c r="NXC240" s="146"/>
      <c r="NXD240" s="146"/>
      <c r="NXE240" s="146"/>
      <c r="NXF240" s="146"/>
      <c r="NXG240" s="146"/>
      <c r="NXH240" s="146"/>
      <c r="NXI240" s="146"/>
      <c r="NXJ240" s="146"/>
      <c r="NXK240" s="146"/>
      <c r="NXL240" s="146"/>
      <c r="NXM240" s="146"/>
      <c r="NXN240" s="146"/>
      <c r="NXO240" s="146"/>
      <c r="NXP240" s="146"/>
      <c r="NXQ240" s="146"/>
      <c r="NXR240" s="146"/>
      <c r="NXS240" s="146"/>
      <c r="NXT240" s="146"/>
      <c r="NXU240" s="146"/>
      <c r="NXV240" s="146"/>
      <c r="NXW240" s="146"/>
      <c r="NXX240" s="146"/>
      <c r="NXY240" s="146"/>
      <c r="NXZ240" s="146"/>
      <c r="NYA240" s="146"/>
      <c r="NYB240" s="146"/>
      <c r="NYC240" s="146"/>
      <c r="NYD240" s="146"/>
      <c r="NYE240" s="146"/>
      <c r="NYF240" s="146"/>
      <c r="NYG240" s="146"/>
      <c r="NYH240" s="146"/>
      <c r="NYI240" s="146"/>
      <c r="NYJ240" s="146"/>
      <c r="NYK240" s="146"/>
      <c r="NYL240" s="146"/>
      <c r="NYM240" s="146"/>
      <c r="NYN240" s="146"/>
      <c r="NYO240" s="146"/>
      <c r="NYP240" s="146"/>
      <c r="NYQ240" s="146"/>
      <c r="NYR240" s="146"/>
      <c r="NYS240" s="146"/>
      <c r="NYT240" s="146"/>
      <c r="NYU240" s="146"/>
      <c r="NYV240" s="146"/>
      <c r="NYW240" s="146"/>
      <c r="NYX240" s="146"/>
      <c r="NYY240" s="146"/>
      <c r="NYZ240" s="146"/>
      <c r="NZA240" s="146"/>
      <c r="NZB240" s="146"/>
      <c r="NZC240" s="146"/>
      <c r="NZD240" s="146"/>
      <c r="NZE240" s="146"/>
      <c r="NZF240" s="146"/>
      <c r="NZG240" s="146"/>
      <c r="NZH240" s="146"/>
      <c r="NZI240" s="146"/>
      <c r="NZJ240" s="146"/>
      <c r="NZK240" s="146"/>
      <c r="NZL240" s="146"/>
      <c r="NZM240" s="146"/>
      <c r="NZN240" s="146"/>
      <c r="NZO240" s="146"/>
      <c r="NZP240" s="146"/>
      <c r="NZQ240" s="146"/>
      <c r="NZR240" s="146"/>
      <c r="NZS240" s="146"/>
      <c r="NZT240" s="146"/>
      <c r="NZU240" s="146"/>
      <c r="NZV240" s="146"/>
      <c r="NZW240" s="146"/>
      <c r="NZX240" s="146"/>
      <c r="NZY240" s="146"/>
      <c r="NZZ240" s="146"/>
      <c r="OAA240" s="146"/>
      <c r="OAB240" s="146"/>
      <c r="OAC240" s="146"/>
      <c r="OAD240" s="146"/>
      <c r="OAE240" s="146"/>
      <c r="OAF240" s="146"/>
      <c r="OAG240" s="146"/>
      <c r="OAH240" s="146"/>
      <c r="OAI240" s="146"/>
      <c r="OAJ240" s="146"/>
      <c r="OAK240" s="146"/>
      <c r="OAL240" s="146"/>
      <c r="OAM240" s="146"/>
      <c r="OAN240" s="146"/>
      <c r="OAO240" s="146"/>
      <c r="OAP240" s="146"/>
      <c r="OAQ240" s="146"/>
      <c r="OAR240" s="146"/>
      <c r="OAS240" s="146"/>
      <c r="OAT240" s="146"/>
      <c r="OAU240" s="146"/>
      <c r="OAV240" s="146"/>
      <c r="OAW240" s="146"/>
      <c r="OAX240" s="146"/>
      <c r="OAY240" s="146"/>
      <c r="OAZ240" s="146"/>
      <c r="OBA240" s="146"/>
      <c r="OBB240" s="146"/>
      <c r="OBC240" s="146"/>
      <c r="OBD240" s="146"/>
      <c r="OBE240" s="146"/>
      <c r="OBF240" s="146"/>
      <c r="OBG240" s="146"/>
      <c r="OBH240" s="146"/>
      <c r="OBI240" s="146"/>
      <c r="OBJ240" s="146"/>
      <c r="OBK240" s="146"/>
      <c r="OBL240" s="146"/>
      <c r="OBM240" s="146"/>
      <c r="OBN240" s="146"/>
      <c r="OBO240" s="146"/>
      <c r="OBP240" s="146"/>
      <c r="OBQ240" s="146"/>
      <c r="OBR240" s="146"/>
      <c r="OBS240" s="146"/>
      <c r="OBT240" s="146"/>
      <c r="OBU240" s="146"/>
      <c r="OBV240" s="146"/>
      <c r="OBW240" s="146"/>
      <c r="OBX240" s="146"/>
      <c r="OBY240" s="146"/>
      <c r="OBZ240" s="146"/>
      <c r="OCA240" s="146"/>
      <c r="OCB240" s="146"/>
      <c r="OCC240" s="146"/>
      <c r="OCD240" s="146"/>
      <c r="OCE240" s="146"/>
      <c r="OCF240" s="146"/>
      <c r="OCG240" s="146"/>
      <c r="OCH240" s="146"/>
      <c r="OCI240" s="146"/>
      <c r="OCJ240" s="146"/>
      <c r="OCK240" s="146"/>
      <c r="OCL240" s="146"/>
      <c r="OCM240" s="146"/>
      <c r="OCN240" s="146"/>
      <c r="OCO240" s="146"/>
      <c r="OCP240" s="146"/>
      <c r="OCQ240" s="146"/>
      <c r="OCR240" s="146"/>
      <c r="OCS240" s="146"/>
      <c r="OCT240" s="146"/>
      <c r="OCU240" s="146"/>
      <c r="OCV240" s="146"/>
      <c r="OCW240" s="146"/>
      <c r="OCX240" s="146"/>
      <c r="OCY240" s="146"/>
      <c r="OCZ240" s="146"/>
      <c r="ODA240" s="146"/>
      <c r="ODB240" s="146"/>
      <c r="ODC240" s="146"/>
      <c r="ODD240" s="146"/>
      <c r="ODE240" s="146"/>
      <c r="ODF240" s="146"/>
      <c r="ODG240" s="146"/>
      <c r="ODH240" s="146"/>
      <c r="ODI240" s="146"/>
      <c r="ODJ240" s="146"/>
      <c r="ODK240" s="146"/>
      <c r="ODL240" s="146"/>
      <c r="ODM240" s="146"/>
      <c r="ODN240" s="146"/>
      <c r="ODO240" s="146"/>
      <c r="ODP240" s="146"/>
      <c r="ODQ240" s="146"/>
      <c r="ODR240" s="146"/>
      <c r="ODS240" s="146"/>
      <c r="ODT240" s="146"/>
      <c r="ODU240" s="146"/>
      <c r="ODV240" s="146"/>
      <c r="ODW240" s="146"/>
      <c r="ODX240" s="146"/>
      <c r="ODY240" s="146"/>
      <c r="ODZ240" s="146"/>
      <c r="OEA240" s="146"/>
      <c r="OEB240" s="146"/>
      <c r="OEC240" s="146"/>
      <c r="OED240" s="146"/>
      <c r="OEE240" s="146"/>
      <c r="OEF240" s="146"/>
      <c r="OEG240" s="146"/>
      <c r="OEH240" s="146"/>
      <c r="OEI240" s="146"/>
      <c r="OEJ240" s="146"/>
      <c r="OEK240" s="146"/>
      <c r="OEL240" s="146"/>
      <c r="OEM240" s="146"/>
      <c r="OEN240" s="146"/>
      <c r="OEO240" s="146"/>
      <c r="OEP240" s="146"/>
      <c r="OEQ240" s="146"/>
      <c r="OER240" s="146"/>
      <c r="OES240" s="146"/>
      <c r="OET240" s="146"/>
      <c r="OEU240" s="146"/>
      <c r="OEV240" s="146"/>
      <c r="OEW240" s="146"/>
      <c r="OEX240" s="146"/>
      <c r="OEY240" s="146"/>
      <c r="OEZ240" s="146"/>
      <c r="OFA240" s="146"/>
      <c r="OFB240" s="146"/>
      <c r="OFC240" s="146"/>
      <c r="OFD240" s="146"/>
      <c r="OFE240" s="146"/>
      <c r="OFF240" s="146"/>
      <c r="OFG240" s="146"/>
      <c r="OFH240" s="146"/>
      <c r="OFI240" s="146"/>
      <c r="OFJ240" s="146"/>
      <c r="OFK240" s="146"/>
      <c r="OFL240" s="146"/>
      <c r="OFM240" s="146"/>
      <c r="OFN240" s="146"/>
      <c r="OFO240" s="146"/>
      <c r="OFP240" s="146"/>
      <c r="OFQ240" s="146"/>
      <c r="OFR240" s="146"/>
      <c r="OFS240" s="146"/>
      <c r="OFT240" s="146"/>
      <c r="OFU240" s="146"/>
      <c r="OFV240" s="146"/>
      <c r="OFW240" s="146"/>
      <c r="OFX240" s="146"/>
      <c r="OFY240" s="146"/>
      <c r="OFZ240" s="146"/>
      <c r="OGA240" s="146"/>
      <c r="OGB240" s="146"/>
      <c r="OGC240" s="146"/>
      <c r="OGD240" s="146"/>
      <c r="OGE240" s="146"/>
      <c r="OGF240" s="146"/>
      <c r="OGG240" s="146"/>
      <c r="OGH240" s="146"/>
      <c r="OGI240" s="146"/>
      <c r="OGJ240" s="146"/>
      <c r="OGK240" s="146"/>
      <c r="OGL240" s="146"/>
      <c r="OGM240" s="146"/>
      <c r="OGN240" s="146"/>
      <c r="OGO240" s="146"/>
      <c r="OGP240" s="146"/>
      <c r="OGQ240" s="146"/>
      <c r="OGR240" s="146"/>
      <c r="OGS240" s="146"/>
      <c r="OGT240" s="146"/>
      <c r="OGU240" s="146"/>
      <c r="OGV240" s="146"/>
      <c r="OGW240" s="146"/>
      <c r="OGX240" s="146"/>
      <c r="OGY240" s="146"/>
      <c r="OGZ240" s="146"/>
      <c r="OHA240" s="146"/>
      <c r="OHB240" s="146"/>
      <c r="OHC240" s="146"/>
      <c r="OHD240" s="146"/>
      <c r="OHE240" s="146"/>
      <c r="OHF240" s="146"/>
      <c r="OHG240" s="146"/>
      <c r="OHH240" s="146"/>
      <c r="OHI240" s="146"/>
      <c r="OHJ240" s="146"/>
      <c r="OHK240" s="146"/>
      <c r="OHL240" s="146"/>
      <c r="OHM240" s="146"/>
      <c r="OHN240" s="146"/>
      <c r="OHO240" s="146"/>
      <c r="OHP240" s="146"/>
      <c r="OHQ240" s="146"/>
      <c r="OHR240" s="146"/>
      <c r="OHS240" s="146"/>
      <c r="OHT240" s="146"/>
      <c r="OHU240" s="146"/>
      <c r="OHV240" s="146"/>
      <c r="OHW240" s="146"/>
      <c r="OHX240" s="146"/>
      <c r="OHY240" s="146"/>
      <c r="OHZ240" s="146"/>
      <c r="OIA240" s="146"/>
      <c r="OIB240" s="146"/>
      <c r="OIC240" s="146"/>
      <c r="OID240" s="146"/>
      <c r="OIE240" s="146"/>
      <c r="OIF240" s="146"/>
      <c r="OIG240" s="146"/>
      <c r="OIH240" s="146"/>
      <c r="OII240" s="146"/>
      <c r="OIJ240" s="146"/>
      <c r="OIK240" s="146"/>
      <c r="OIL240" s="146"/>
      <c r="OIM240" s="146"/>
      <c r="OIN240" s="146"/>
      <c r="OIO240" s="146"/>
      <c r="OIP240" s="146"/>
      <c r="OIQ240" s="146"/>
      <c r="OIR240" s="146"/>
      <c r="OIS240" s="146"/>
      <c r="OIT240" s="146"/>
      <c r="OIU240" s="146"/>
      <c r="OIV240" s="146"/>
      <c r="OIW240" s="146"/>
      <c r="OIX240" s="146"/>
      <c r="OIY240" s="146"/>
      <c r="OIZ240" s="146"/>
      <c r="OJA240" s="146"/>
      <c r="OJB240" s="146"/>
      <c r="OJC240" s="146"/>
      <c r="OJD240" s="146"/>
      <c r="OJE240" s="146"/>
      <c r="OJF240" s="146"/>
      <c r="OJG240" s="146"/>
      <c r="OJH240" s="146"/>
      <c r="OJI240" s="146"/>
      <c r="OJJ240" s="146"/>
      <c r="OJK240" s="146"/>
      <c r="OJL240" s="146"/>
      <c r="OJM240" s="146"/>
      <c r="OJN240" s="146"/>
      <c r="OJO240" s="146"/>
      <c r="OJP240" s="146"/>
      <c r="OJQ240" s="146"/>
      <c r="OJR240" s="146"/>
      <c r="OJS240" s="146"/>
      <c r="OJT240" s="146"/>
      <c r="OJU240" s="146"/>
      <c r="OJV240" s="146"/>
      <c r="OJW240" s="146"/>
      <c r="OJX240" s="146"/>
      <c r="OJY240" s="146"/>
      <c r="OJZ240" s="146"/>
      <c r="OKA240" s="146"/>
      <c r="OKB240" s="146"/>
      <c r="OKC240" s="146"/>
      <c r="OKD240" s="146"/>
      <c r="OKE240" s="146"/>
      <c r="OKF240" s="146"/>
      <c r="OKG240" s="146"/>
      <c r="OKH240" s="146"/>
      <c r="OKI240" s="146"/>
      <c r="OKJ240" s="146"/>
      <c r="OKK240" s="146"/>
      <c r="OKL240" s="146"/>
      <c r="OKM240" s="146"/>
      <c r="OKN240" s="146"/>
      <c r="OKO240" s="146"/>
      <c r="OKP240" s="146"/>
      <c r="OKQ240" s="146"/>
      <c r="OKR240" s="146"/>
      <c r="OKS240" s="146"/>
      <c r="OKT240" s="146"/>
      <c r="OKU240" s="146"/>
      <c r="OKV240" s="146"/>
      <c r="OKW240" s="146"/>
      <c r="OKX240" s="146"/>
      <c r="OKY240" s="146"/>
      <c r="OKZ240" s="146"/>
      <c r="OLA240" s="146"/>
      <c r="OLB240" s="146"/>
      <c r="OLC240" s="146"/>
      <c r="OLD240" s="146"/>
      <c r="OLE240" s="146"/>
      <c r="OLF240" s="146"/>
      <c r="OLG240" s="146"/>
      <c r="OLH240" s="146"/>
      <c r="OLI240" s="146"/>
      <c r="OLJ240" s="146"/>
      <c r="OLK240" s="146"/>
      <c r="OLL240" s="146"/>
      <c r="OLM240" s="146"/>
      <c r="OLN240" s="146"/>
      <c r="OLO240" s="146"/>
      <c r="OLP240" s="146"/>
      <c r="OLQ240" s="146"/>
      <c r="OLR240" s="146"/>
      <c r="OLS240" s="146"/>
      <c r="OLT240" s="146"/>
      <c r="OLU240" s="146"/>
      <c r="OLV240" s="146"/>
      <c r="OLW240" s="146"/>
      <c r="OLX240" s="146"/>
      <c r="OLY240" s="146"/>
      <c r="OLZ240" s="146"/>
      <c r="OMA240" s="146"/>
      <c r="OMB240" s="146"/>
      <c r="OMC240" s="146"/>
      <c r="OMD240" s="146"/>
      <c r="OME240" s="146"/>
      <c r="OMF240" s="146"/>
      <c r="OMG240" s="146"/>
      <c r="OMH240" s="146"/>
      <c r="OMI240" s="146"/>
      <c r="OMJ240" s="146"/>
      <c r="OMK240" s="146"/>
      <c r="OML240" s="146"/>
      <c r="OMM240" s="146"/>
      <c r="OMN240" s="146"/>
      <c r="OMO240" s="146"/>
      <c r="OMP240" s="146"/>
      <c r="OMQ240" s="146"/>
      <c r="OMR240" s="146"/>
      <c r="OMS240" s="146"/>
      <c r="OMT240" s="146"/>
      <c r="OMU240" s="146"/>
      <c r="OMV240" s="146"/>
      <c r="OMW240" s="146"/>
      <c r="OMX240" s="146"/>
      <c r="OMY240" s="146"/>
      <c r="OMZ240" s="146"/>
      <c r="ONA240" s="146"/>
      <c r="ONB240" s="146"/>
      <c r="ONC240" s="146"/>
      <c r="OND240" s="146"/>
      <c r="ONE240" s="146"/>
      <c r="ONF240" s="146"/>
      <c r="ONG240" s="146"/>
      <c r="ONH240" s="146"/>
      <c r="ONI240" s="146"/>
      <c r="ONJ240" s="146"/>
      <c r="ONK240" s="146"/>
      <c r="ONL240" s="146"/>
      <c r="ONM240" s="146"/>
      <c r="ONN240" s="146"/>
      <c r="ONO240" s="146"/>
      <c r="ONP240" s="146"/>
      <c r="ONQ240" s="146"/>
      <c r="ONR240" s="146"/>
      <c r="ONS240" s="146"/>
      <c r="ONT240" s="146"/>
      <c r="ONU240" s="146"/>
      <c r="ONV240" s="146"/>
      <c r="ONW240" s="146"/>
      <c r="ONX240" s="146"/>
      <c r="ONY240" s="146"/>
      <c r="ONZ240" s="146"/>
      <c r="OOA240" s="146"/>
      <c r="OOB240" s="146"/>
      <c r="OOC240" s="146"/>
      <c r="OOD240" s="146"/>
      <c r="OOE240" s="146"/>
      <c r="OOF240" s="146"/>
      <c r="OOG240" s="146"/>
      <c r="OOH240" s="146"/>
      <c r="OOI240" s="146"/>
      <c r="OOJ240" s="146"/>
      <c r="OOK240" s="146"/>
      <c r="OOL240" s="146"/>
      <c r="OOM240" s="146"/>
      <c r="OON240" s="146"/>
      <c r="OOO240" s="146"/>
      <c r="OOP240" s="146"/>
      <c r="OOQ240" s="146"/>
      <c r="OOR240" s="146"/>
      <c r="OOS240" s="146"/>
      <c r="OOT240" s="146"/>
      <c r="OOU240" s="146"/>
      <c r="OOV240" s="146"/>
      <c r="OOW240" s="146"/>
      <c r="OOX240" s="146"/>
      <c r="OOY240" s="146"/>
      <c r="OOZ240" s="146"/>
      <c r="OPA240" s="146"/>
      <c r="OPB240" s="146"/>
      <c r="OPC240" s="146"/>
      <c r="OPD240" s="146"/>
      <c r="OPE240" s="146"/>
      <c r="OPF240" s="146"/>
      <c r="OPG240" s="146"/>
      <c r="OPH240" s="146"/>
      <c r="OPI240" s="146"/>
      <c r="OPJ240" s="146"/>
      <c r="OPK240" s="146"/>
      <c r="OPL240" s="146"/>
      <c r="OPM240" s="146"/>
      <c r="OPN240" s="146"/>
      <c r="OPO240" s="146"/>
      <c r="OPP240" s="146"/>
      <c r="OPQ240" s="146"/>
      <c r="OPR240" s="146"/>
      <c r="OPS240" s="146"/>
      <c r="OPT240" s="146"/>
      <c r="OPU240" s="146"/>
      <c r="OPV240" s="146"/>
      <c r="OPW240" s="146"/>
      <c r="OPX240" s="146"/>
      <c r="OPY240" s="146"/>
      <c r="OPZ240" s="146"/>
      <c r="OQA240" s="146"/>
      <c r="OQB240" s="146"/>
      <c r="OQC240" s="146"/>
      <c r="OQD240" s="146"/>
      <c r="OQE240" s="146"/>
      <c r="OQF240" s="146"/>
      <c r="OQG240" s="146"/>
      <c r="OQH240" s="146"/>
      <c r="OQI240" s="146"/>
      <c r="OQJ240" s="146"/>
      <c r="OQK240" s="146"/>
      <c r="OQL240" s="146"/>
      <c r="OQM240" s="146"/>
      <c r="OQN240" s="146"/>
      <c r="OQO240" s="146"/>
      <c r="OQP240" s="146"/>
      <c r="OQQ240" s="146"/>
      <c r="OQR240" s="146"/>
      <c r="OQS240" s="146"/>
      <c r="OQT240" s="146"/>
      <c r="OQU240" s="146"/>
      <c r="OQV240" s="146"/>
      <c r="OQW240" s="146"/>
      <c r="OQX240" s="146"/>
      <c r="OQY240" s="146"/>
      <c r="OQZ240" s="146"/>
      <c r="ORA240" s="146"/>
      <c r="ORB240" s="146"/>
      <c r="ORC240" s="146"/>
      <c r="ORD240" s="146"/>
      <c r="ORE240" s="146"/>
      <c r="ORF240" s="146"/>
      <c r="ORG240" s="146"/>
      <c r="ORH240" s="146"/>
      <c r="ORI240" s="146"/>
      <c r="ORJ240" s="146"/>
      <c r="ORK240" s="146"/>
      <c r="ORL240" s="146"/>
      <c r="ORM240" s="146"/>
      <c r="ORN240" s="146"/>
      <c r="ORO240" s="146"/>
      <c r="ORP240" s="146"/>
      <c r="ORQ240" s="146"/>
      <c r="ORR240" s="146"/>
      <c r="ORS240" s="146"/>
      <c r="ORT240" s="146"/>
      <c r="ORU240" s="146"/>
      <c r="ORV240" s="146"/>
      <c r="ORW240" s="146"/>
      <c r="ORX240" s="146"/>
      <c r="ORY240" s="146"/>
      <c r="ORZ240" s="146"/>
      <c r="OSA240" s="146"/>
      <c r="OSB240" s="146"/>
      <c r="OSC240" s="146"/>
      <c r="OSD240" s="146"/>
      <c r="OSE240" s="146"/>
      <c r="OSF240" s="146"/>
      <c r="OSG240" s="146"/>
      <c r="OSH240" s="146"/>
      <c r="OSI240" s="146"/>
      <c r="OSJ240" s="146"/>
      <c r="OSK240" s="146"/>
      <c r="OSL240" s="146"/>
      <c r="OSM240" s="146"/>
      <c r="OSN240" s="146"/>
      <c r="OSO240" s="146"/>
      <c r="OSP240" s="146"/>
      <c r="OSQ240" s="146"/>
      <c r="OSR240" s="146"/>
      <c r="OSS240" s="146"/>
      <c r="OST240" s="146"/>
      <c r="OSU240" s="146"/>
      <c r="OSV240" s="146"/>
      <c r="OSW240" s="146"/>
      <c r="OSX240" s="146"/>
      <c r="OSY240" s="146"/>
      <c r="OSZ240" s="146"/>
      <c r="OTA240" s="146"/>
      <c r="OTB240" s="146"/>
      <c r="OTC240" s="146"/>
      <c r="OTD240" s="146"/>
      <c r="OTE240" s="146"/>
      <c r="OTF240" s="146"/>
      <c r="OTG240" s="146"/>
      <c r="OTH240" s="146"/>
      <c r="OTI240" s="146"/>
      <c r="OTJ240" s="146"/>
      <c r="OTK240" s="146"/>
      <c r="OTL240" s="146"/>
      <c r="OTM240" s="146"/>
      <c r="OTN240" s="146"/>
      <c r="OTO240" s="146"/>
      <c r="OTP240" s="146"/>
      <c r="OTQ240" s="146"/>
      <c r="OTR240" s="146"/>
      <c r="OTS240" s="146"/>
      <c r="OTT240" s="146"/>
      <c r="OTU240" s="146"/>
      <c r="OTV240" s="146"/>
      <c r="OTW240" s="146"/>
      <c r="OTX240" s="146"/>
      <c r="OTY240" s="146"/>
      <c r="OTZ240" s="146"/>
      <c r="OUA240" s="146"/>
      <c r="OUB240" s="146"/>
      <c r="OUC240" s="146"/>
      <c r="OUD240" s="146"/>
      <c r="OUE240" s="146"/>
      <c r="OUF240" s="146"/>
      <c r="OUG240" s="146"/>
      <c r="OUH240" s="146"/>
      <c r="OUI240" s="146"/>
      <c r="OUJ240" s="146"/>
      <c r="OUK240" s="146"/>
      <c r="OUL240" s="146"/>
      <c r="OUM240" s="146"/>
      <c r="OUN240" s="146"/>
      <c r="OUO240" s="146"/>
      <c r="OUP240" s="146"/>
      <c r="OUQ240" s="146"/>
      <c r="OUR240" s="146"/>
      <c r="OUS240" s="146"/>
      <c r="OUT240" s="146"/>
      <c r="OUU240" s="146"/>
      <c r="OUV240" s="146"/>
      <c r="OUW240" s="146"/>
      <c r="OUX240" s="146"/>
      <c r="OUY240" s="146"/>
      <c r="OUZ240" s="146"/>
      <c r="OVA240" s="146"/>
      <c r="OVB240" s="146"/>
      <c r="OVC240" s="146"/>
      <c r="OVD240" s="146"/>
      <c r="OVE240" s="146"/>
      <c r="OVF240" s="146"/>
      <c r="OVG240" s="146"/>
      <c r="OVH240" s="146"/>
      <c r="OVI240" s="146"/>
      <c r="OVJ240" s="146"/>
      <c r="OVK240" s="146"/>
      <c r="OVL240" s="146"/>
      <c r="OVM240" s="146"/>
      <c r="OVN240" s="146"/>
      <c r="OVO240" s="146"/>
      <c r="OVP240" s="146"/>
      <c r="OVQ240" s="146"/>
      <c r="OVR240" s="146"/>
      <c r="OVS240" s="146"/>
      <c r="OVT240" s="146"/>
      <c r="OVU240" s="146"/>
      <c r="OVV240" s="146"/>
      <c r="OVW240" s="146"/>
      <c r="OVX240" s="146"/>
      <c r="OVY240" s="146"/>
      <c r="OVZ240" s="146"/>
      <c r="OWA240" s="146"/>
      <c r="OWB240" s="146"/>
      <c r="OWC240" s="146"/>
      <c r="OWD240" s="146"/>
      <c r="OWE240" s="146"/>
      <c r="OWF240" s="146"/>
      <c r="OWG240" s="146"/>
      <c r="OWH240" s="146"/>
      <c r="OWI240" s="146"/>
      <c r="OWJ240" s="146"/>
      <c r="OWK240" s="146"/>
      <c r="OWL240" s="146"/>
      <c r="OWM240" s="146"/>
      <c r="OWN240" s="146"/>
      <c r="OWO240" s="146"/>
      <c r="OWP240" s="146"/>
      <c r="OWQ240" s="146"/>
      <c r="OWR240" s="146"/>
      <c r="OWS240" s="146"/>
      <c r="OWT240" s="146"/>
      <c r="OWU240" s="146"/>
      <c r="OWV240" s="146"/>
      <c r="OWW240" s="146"/>
      <c r="OWX240" s="146"/>
      <c r="OWY240" s="146"/>
      <c r="OWZ240" s="146"/>
      <c r="OXA240" s="146"/>
      <c r="OXB240" s="146"/>
      <c r="OXC240" s="146"/>
      <c r="OXD240" s="146"/>
      <c r="OXE240" s="146"/>
      <c r="OXF240" s="146"/>
      <c r="OXG240" s="146"/>
      <c r="OXH240" s="146"/>
      <c r="OXI240" s="146"/>
      <c r="OXJ240" s="146"/>
      <c r="OXK240" s="146"/>
      <c r="OXL240" s="146"/>
      <c r="OXM240" s="146"/>
      <c r="OXN240" s="146"/>
      <c r="OXO240" s="146"/>
      <c r="OXP240" s="146"/>
      <c r="OXQ240" s="146"/>
      <c r="OXR240" s="146"/>
      <c r="OXS240" s="146"/>
      <c r="OXT240" s="146"/>
      <c r="OXU240" s="146"/>
      <c r="OXV240" s="146"/>
      <c r="OXW240" s="146"/>
      <c r="OXX240" s="146"/>
      <c r="OXY240" s="146"/>
      <c r="OXZ240" s="146"/>
      <c r="OYA240" s="146"/>
      <c r="OYB240" s="146"/>
      <c r="OYC240" s="146"/>
      <c r="OYD240" s="146"/>
      <c r="OYE240" s="146"/>
      <c r="OYF240" s="146"/>
      <c r="OYG240" s="146"/>
      <c r="OYH240" s="146"/>
      <c r="OYI240" s="146"/>
      <c r="OYJ240" s="146"/>
      <c r="OYK240" s="146"/>
      <c r="OYL240" s="146"/>
      <c r="OYM240" s="146"/>
      <c r="OYN240" s="146"/>
      <c r="OYO240" s="146"/>
      <c r="OYP240" s="146"/>
      <c r="OYQ240" s="146"/>
      <c r="OYR240" s="146"/>
      <c r="OYS240" s="146"/>
      <c r="OYT240" s="146"/>
      <c r="OYU240" s="146"/>
      <c r="OYV240" s="146"/>
      <c r="OYW240" s="146"/>
      <c r="OYX240" s="146"/>
      <c r="OYY240" s="146"/>
      <c r="OYZ240" s="146"/>
      <c r="OZA240" s="146"/>
      <c r="OZB240" s="146"/>
      <c r="OZC240" s="146"/>
      <c r="OZD240" s="146"/>
      <c r="OZE240" s="146"/>
      <c r="OZF240" s="146"/>
      <c r="OZG240" s="146"/>
      <c r="OZH240" s="146"/>
      <c r="OZI240" s="146"/>
      <c r="OZJ240" s="146"/>
      <c r="OZK240" s="146"/>
      <c r="OZL240" s="146"/>
      <c r="OZM240" s="146"/>
      <c r="OZN240" s="146"/>
      <c r="OZO240" s="146"/>
      <c r="OZP240" s="146"/>
      <c r="OZQ240" s="146"/>
      <c r="OZR240" s="146"/>
      <c r="OZS240" s="146"/>
      <c r="OZT240" s="146"/>
      <c r="OZU240" s="146"/>
      <c r="OZV240" s="146"/>
      <c r="OZW240" s="146"/>
      <c r="OZX240" s="146"/>
      <c r="OZY240" s="146"/>
      <c r="OZZ240" s="146"/>
      <c r="PAA240" s="146"/>
      <c r="PAB240" s="146"/>
      <c r="PAC240" s="146"/>
      <c r="PAD240" s="146"/>
      <c r="PAE240" s="146"/>
      <c r="PAF240" s="146"/>
      <c r="PAG240" s="146"/>
      <c r="PAH240" s="146"/>
      <c r="PAI240" s="146"/>
      <c r="PAJ240" s="146"/>
      <c r="PAK240" s="146"/>
      <c r="PAL240" s="146"/>
      <c r="PAM240" s="146"/>
      <c r="PAN240" s="146"/>
      <c r="PAO240" s="146"/>
      <c r="PAP240" s="146"/>
      <c r="PAQ240" s="146"/>
      <c r="PAR240" s="146"/>
      <c r="PAS240" s="146"/>
      <c r="PAT240" s="146"/>
      <c r="PAU240" s="146"/>
      <c r="PAV240" s="146"/>
      <c r="PAW240" s="146"/>
      <c r="PAX240" s="146"/>
      <c r="PAY240" s="146"/>
      <c r="PAZ240" s="146"/>
      <c r="PBA240" s="146"/>
      <c r="PBB240" s="146"/>
      <c r="PBC240" s="146"/>
      <c r="PBD240" s="146"/>
      <c r="PBE240" s="146"/>
      <c r="PBF240" s="146"/>
      <c r="PBG240" s="146"/>
      <c r="PBH240" s="146"/>
      <c r="PBI240" s="146"/>
      <c r="PBJ240" s="146"/>
      <c r="PBK240" s="146"/>
      <c r="PBL240" s="146"/>
      <c r="PBM240" s="146"/>
      <c r="PBN240" s="146"/>
      <c r="PBO240" s="146"/>
      <c r="PBP240" s="146"/>
      <c r="PBQ240" s="146"/>
      <c r="PBR240" s="146"/>
      <c r="PBS240" s="146"/>
      <c r="PBT240" s="146"/>
      <c r="PBU240" s="146"/>
      <c r="PBV240" s="146"/>
      <c r="PBW240" s="146"/>
      <c r="PBX240" s="146"/>
      <c r="PBY240" s="146"/>
      <c r="PBZ240" s="146"/>
      <c r="PCA240" s="146"/>
      <c r="PCB240" s="146"/>
      <c r="PCC240" s="146"/>
      <c r="PCD240" s="146"/>
      <c r="PCE240" s="146"/>
      <c r="PCF240" s="146"/>
      <c r="PCG240" s="146"/>
      <c r="PCH240" s="146"/>
      <c r="PCI240" s="146"/>
      <c r="PCJ240" s="146"/>
      <c r="PCK240" s="146"/>
      <c r="PCL240" s="146"/>
      <c r="PCM240" s="146"/>
      <c r="PCN240" s="146"/>
      <c r="PCO240" s="146"/>
      <c r="PCP240" s="146"/>
      <c r="PCQ240" s="146"/>
      <c r="PCR240" s="146"/>
      <c r="PCS240" s="146"/>
      <c r="PCT240" s="146"/>
      <c r="PCU240" s="146"/>
      <c r="PCV240" s="146"/>
      <c r="PCW240" s="146"/>
      <c r="PCX240" s="146"/>
      <c r="PCY240" s="146"/>
      <c r="PCZ240" s="146"/>
      <c r="PDA240" s="146"/>
      <c r="PDB240" s="146"/>
      <c r="PDC240" s="146"/>
      <c r="PDD240" s="146"/>
      <c r="PDE240" s="146"/>
      <c r="PDF240" s="146"/>
      <c r="PDG240" s="146"/>
      <c r="PDH240" s="146"/>
      <c r="PDI240" s="146"/>
      <c r="PDJ240" s="146"/>
      <c r="PDK240" s="146"/>
      <c r="PDL240" s="146"/>
      <c r="PDM240" s="146"/>
      <c r="PDN240" s="146"/>
      <c r="PDO240" s="146"/>
      <c r="PDP240" s="146"/>
      <c r="PDQ240" s="146"/>
      <c r="PDR240" s="146"/>
      <c r="PDS240" s="146"/>
      <c r="PDT240" s="146"/>
      <c r="PDU240" s="146"/>
      <c r="PDV240" s="146"/>
      <c r="PDW240" s="146"/>
      <c r="PDX240" s="146"/>
      <c r="PDY240" s="146"/>
      <c r="PDZ240" s="146"/>
      <c r="PEA240" s="146"/>
      <c r="PEB240" s="146"/>
      <c r="PEC240" s="146"/>
      <c r="PED240" s="146"/>
      <c r="PEE240" s="146"/>
      <c r="PEF240" s="146"/>
      <c r="PEG240" s="146"/>
      <c r="PEH240" s="146"/>
      <c r="PEI240" s="146"/>
      <c r="PEJ240" s="146"/>
      <c r="PEK240" s="146"/>
      <c r="PEL240" s="146"/>
      <c r="PEM240" s="146"/>
      <c r="PEN240" s="146"/>
      <c r="PEO240" s="146"/>
      <c r="PEP240" s="146"/>
      <c r="PEQ240" s="146"/>
      <c r="PER240" s="146"/>
      <c r="PES240" s="146"/>
      <c r="PET240" s="146"/>
      <c r="PEU240" s="146"/>
      <c r="PEV240" s="146"/>
      <c r="PEW240" s="146"/>
      <c r="PEX240" s="146"/>
      <c r="PEY240" s="146"/>
      <c r="PEZ240" s="146"/>
      <c r="PFA240" s="146"/>
      <c r="PFB240" s="146"/>
      <c r="PFC240" s="146"/>
      <c r="PFD240" s="146"/>
      <c r="PFE240" s="146"/>
      <c r="PFF240" s="146"/>
      <c r="PFG240" s="146"/>
      <c r="PFH240" s="146"/>
      <c r="PFI240" s="146"/>
      <c r="PFJ240" s="146"/>
      <c r="PFK240" s="146"/>
      <c r="PFL240" s="146"/>
      <c r="PFM240" s="146"/>
      <c r="PFN240" s="146"/>
      <c r="PFO240" s="146"/>
      <c r="PFP240" s="146"/>
      <c r="PFQ240" s="146"/>
      <c r="PFR240" s="146"/>
      <c r="PFS240" s="146"/>
      <c r="PFT240" s="146"/>
      <c r="PFU240" s="146"/>
      <c r="PFV240" s="146"/>
      <c r="PFW240" s="146"/>
      <c r="PFX240" s="146"/>
      <c r="PFY240" s="146"/>
      <c r="PFZ240" s="146"/>
      <c r="PGA240" s="146"/>
      <c r="PGB240" s="146"/>
      <c r="PGC240" s="146"/>
      <c r="PGD240" s="146"/>
      <c r="PGE240" s="146"/>
      <c r="PGF240" s="146"/>
      <c r="PGG240" s="146"/>
      <c r="PGH240" s="146"/>
      <c r="PGI240" s="146"/>
      <c r="PGJ240" s="146"/>
      <c r="PGK240" s="146"/>
      <c r="PGL240" s="146"/>
      <c r="PGM240" s="146"/>
      <c r="PGN240" s="146"/>
      <c r="PGO240" s="146"/>
      <c r="PGP240" s="146"/>
      <c r="PGQ240" s="146"/>
      <c r="PGR240" s="146"/>
      <c r="PGS240" s="146"/>
      <c r="PGT240" s="146"/>
      <c r="PGU240" s="146"/>
      <c r="PGV240" s="146"/>
      <c r="PGW240" s="146"/>
      <c r="PGX240" s="146"/>
      <c r="PGY240" s="146"/>
      <c r="PGZ240" s="146"/>
      <c r="PHA240" s="146"/>
      <c r="PHB240" s="146"/>
      <c r="PHC240" s="146"/>
      <c r="PHD240" s="146"/>
      <c r="PHE240" s="146"/>
      <c r="PHF240" s="146"/>
      <c r="PHG240" s="146"/>
      <c r="PHH240" s="146"/>
      <c r="PHI240" s="146"/>
      <c r="PHJ240" s="146"/>
      <c r="PHK240" s="146"/>
      <c r="PHL240" s="146"/>
      <c r="PHM240" s="146"/>
      <c r="PHN240" s="146"/>
      <c r="PHO240" s="146"/>
      <c r="PHP240" s="146"/>
      <c r="PHQ240" s="146"/>
      <c r="PHR240" s="146"/>
      <c r="PHS240" s="146"/>
      <c r="PHT240" s="146"/>
      <c r="PHU240" s="146"/>
      <c r="PHV240" s="146"/>
      <c r="PHW240" s="146"/>
      <c r="PHX240" s="146"/>
      <c r="PHY240" s="146"/>
      <c r="PHZ240" s="146"/>
      <c r="PIA240" s="146"/>
      <c r="PIB240" s="146"/>
      <c r="PIC240" s="146"/>
      <c r="PID240" s="146"/>
      <c r="PIE240" s="146"/>
      <c r="PIF240" s="146"/>
      <c r="PIG240" s="146"/>
      <c r="PIH240" s="146"/>
      <c r="PII240" s="146"/>
      <c r="PIJ240" s="146"/>
      <c r="PIK240" s="146"/>
      <c r="PIL240" s="146"/>
      <c r="PIM240" s="146"/>
      <c r="PIN240" s="146"/>
      <c r="PIO240" s="146"/>
      <c r="PIP240" s="146"/>
      <c r="PIQ240" s="146"/>
      <c r="PIR240" s="146"/>
      <c r="PIS240" s="146"/>
      <c r="PIT240" s="146"/>
      <c r="PIU240" s="146"/>
      <c r="PIV240" s="146"/>
      <c r="PIW240" s="146"/>
      <c r="PIX240" s="146"/>
      <c r="PIY240" s="146"/>
      <c r="PIZ240" s="146"/>
      <c r="PJA240" s="146"/>
      <c r="PJB240" s="146"/>
      <c r="PJC240" s="146"/>
      <c r="PJD240" s="146"/>
      <c r="PJE240" s="146"/>
      <c r="PJF240" s="146"/>
      <c r="PJG240" s="146"/>
      <c r="PJH240" s="146"/>
      <c r="PJI240" s="146"/>
      <c r="PJJ240" s="146"/>
      <c r="PJK240" s="146"/>
      <c r="PJL240" s="146"/>
      <c r="PJM240" s="146"/>
      <c r="PJN240" s="146"/>
      <c r="PJO240" s="146"/>
      <c r="PJP240" s="146"/>
      <c r="PJQ240" s="146"/>
      <c r="PJR240" s="146"/>
      <c r="PJS240" s="146"/>
      <c r="PJT240" s="146"/>
      <c r="PJU240" s="146"/>
      <c r="PJV240" s="146"/>
      <c r="PJW240" s="146"/>
      <c r="PJX240" s="146"/>
      <c r="PJY240" s="146"/>
      <c r="PJZ240" s="146"/>
      <c r="PKA240" s="146"/>
      <c r="PKB240" s="146"/>
      <c r="PKC240" s="146"/>
      <c r="PKD240" s="146"/>
      <c r="PKE240" s="146"/>
      <c r="PKF240" s="146"/>
      <c r="PKG240" s="146"/>
      <c r="PKH240" s="146"/>
      <c r="PKI240" s="146"/>
      <c r="PKJ240" s="146"/>
      <c r="PKK240" s="146"/>
      <c r="PKL240" s="146"/>
      <c r="PKM240" s="146"/>
      <c r="PKN240" s="146"/>
      <c r="PKO240" s="146"/>
      <c r="PKP240" s="146"/>
      <c r="PKQ240" s="146"/>
      <c r="PKR240" s="146"/>
      <c r="PKS240" s="146"/>
      <c r="PKT240" s="146"/>
      <c r="PKU240" s="146"/>
      <c r="PKV240" s="146"/>
      <c r="PKW240" s="146"/>
      <c r="PKX240" s="146"/>
      <c r="PKY240" s="146"/>
      <c r="PKZ240" s="146"/>
      <c r="PLA240" s="146"/>
      <c r="PLB240" s="146"/>
      <c r="PLC240" s="146"/>
      <c r="PLD240" s="146"/>
      <c r="PLE240" s="146"/>
      <c r="PLF240" s="146"/>
      <c r="PLG240" s="146"/>
      <c r="PLH240" s="146"/>
      <c r="PLI240" s="146"/>
      <c r="PLJ240" s="146"/>
      <c r="PLK240" s="146"/>
      <c r="PLL240" s="146"/>
      <c r="PLM240" s="146"/>
      <c r="PLN240" s="146"/>
      <c r="PLO240" s="146"/>
      <c r="PLP240" s="146"/>
      <c r="PLQ240" s="146"/>
      <c r="PLR240" s="146"/>
      <c r="PLS240" s="146"/>
      <c r="PLT240" s="146"/>
      <c r="PLU240" s="146"/>
      <c r="PLV240" s="146"/>
      <c r="PLW240" s="146"/>
      <c r="PLX240" s="146"/>
      <c r="PLY240" s="146"/>
      <c r="PLZ240" s="146"/>
      <c r="PMA240" s="146"/>
      <c r="PMB240" s="146"/>
      <c r="PMC240" s="146"/>
      <c r="PMD240" s="146"/>
      <c r="PME240" s="146"/>
      <c r="PMF240" s="146"/>
      <c r="PMG240" s="146"/>
      <c r="PMH240" s="146"/>
      <c r="PMI240" s="146"/>
      <c r="PMJ240" s="146"/>
      <c r="PMK240" s="146"/>
      <c r="PML240" s="146"/>
      <c r="PMM240" s="146"/>
      <c r="PMN240" s="146"/>
      <c r="PMO240" s="146"/>
      <c r="PMP240" s="146"/>
      <c r="PMQ240" s="146"/>
      <c r="PMR240" s="146"/>
      <c r="PMS240" s="146"/>
      <c r="PMT240" s="146"/>
      <c r="PMU240" s="146"/>
      <c r="PMV240" s="146"/>
      <c r="PMW240" s="146"/>
      <c r="PMX240" s="146"/>
      <c r="PMY240" s="146"/>
      <c r="PMZ240" s="146"/>
      <c r="PNA240" s="146"/>
      <c r="PNB240" s="146"/>
      <c r="PNC240" s="146"/>
      <c r="PND240" s="146"/>
      <c r="PNE240" s="146"/>
      <c r="PNF240" s="146"/>
      <c r="PNG240" s="146"/>
      <c r="PNH240" s="146"/>
      <c r="PNI240" s="146"/>
      <c r="PNJ240" s="146"/>
      <c r="PNK240" s="146"/>
      <c r="PNL240" s="146"/>
      <c r="PNM240" s="146"/>
      <c r="PNN240" s="146"/>
      <c r="PNO240" s="146"/>
      <c r="PNP240" s="146"/>
      <c r="PNQ240" s="146"/>
      <c r="PNR240" s="146"/>
      <c r="PNS240" s="146"/>
      <c r="PNT240" s="146"/>
      <c r="PNU240" s="146"/>
      <c r="PNV240" s="146"/>
      <c r="PNW240" s="146"/>
      <c r="PNX240" s="146"/>
      <c r="PNY240" s="146"/>
      <c r="PNZ240" s="146"/>
      <c r="POA240" s="146"/>
      <c r="POB240" s="146"/>
      <c r="POC240" s="146"/>
      <c r="POD240" s="146"/>
      <c r="POE240" s="146"/>
      <c r="POF240" s="146"/>
      <c r="POG240" s="146"/>
      <c r="POH240" s="146"/>
      <c r="POI240" s="146"/>
      <c r="POJ240" s="146"/>
      <c r="POK240" s="146"/>
      <c r="POL240" s="146"/>
      <c r="POM240" s="146"/>
      <c r="PON240" s="146"/>
      <c r="POO240" s="146"/>
      <c r="POP240" s="146"/>
      <c r="POQ240" s="146"/>
      <c r="POR240" s="146"/>
      <c r="POS240" s="146"/>
      <c r="POT240" s="146"/>
      <c r="POU240" s="146"/>
      <c r="POV240" s="146"/>
      <c r="POW240" s="146"/>
      <c r="POX240" s="146"/>
      <c r="POY240" s="146"/>
      <c r="POZ240" s="146"/>
      <c r="PPA240" s="146"/>
      <c r="PPB240" s="146"/>
      <c r="PPC240" s="146"/>
      <c r="PPD240" s="146"/>
      <c r="PPE240" s="146"/>
      <c r="PPF240" s="146"/>
      <c r="PPG240" s="146"/>
      <c r="PPH240" s="146"/>
      <c r="PPI240" s="146"/>
      <c r="PPJ240" s="146"/>
      <c r="PPK240" s="146"/>
      <c r="PPL240" s="146"/>
      <c r="PPM240" s="146"/>
      <c r="PPN240" s="146"/>
      <c r="PPO240" s="146"/>
      <c r="PPP240" s="146"/>
      <c r="PPQ240" s="146"/>
      <c r="PPR240" s="146"/>
      <c r="PPS240" s="146"/>
      <c r="PPT240" s="146"/>
      <c r="PPU240" s="146"/>
      <c r="PPV240" s="146"/>
      <c r="PPW240" s="146"/>
      <c r="PPX240" s="146"/>
      <c r="PPY240" s="146"/>
      <c r="PPZ240" s="146"/>
      <c r="PQA240" s="146"/>
      <c r="PQB240" s="146"/>
      <c r="PQC240" s="146"/>
      <c r="PQD240" s="146"/>
      <c r="PQE240" s="146"/>
      <c r="PQF240" s="146"/>
      <c r="PQG240" s="146"/>
      <c r="PQH240" s="146"/>
      <c r="PQI240" s="146"/>
      <c r="PQJ240" s="146"/>
      <c r="PQK240" s="146"/>
      <c r="PQL240" s="146"/>
      <c r="PQM240" s="146"/>
      <c r="PQN240" s="146"/>
      <c r="PQO240" s="146"/>
      <c r="PQP240" s="146"/>
      <c r="PQQ240" s="146"/>
      <c r="PQR240" s="146"/>
      <c r="PQS240" s="146"/>
      <c r="PQT240" s="146"/>
      <c r="PQU240" s="146"/>
      <c r="PQV240" s="146"/>
      <c r="PQW240" s="146"/>
      <c r="PQX240" s="146"/>
      <c r="PQY240" s="146"/>
      <c r="PQZ240" s="146"/>
      <c r="PRA240" s="146"/>
      <c r="PRB240" s="146"/>
      <c r="PRC240" s="146"/>
      <c r="PRD240" s="146"/>
      <c r="PRE240" s="146"/>
      <c r="PRF240" s="146"/>
      <c r="PRG240" s="146"/>
      <c r="PRH240" s="146"/>
      <c r="PRI240" s="146"/>
      <c r="PRJ240" s="146"/>
      <c r="PRK240" s="146"/>
      <c r="PRL240" s="146"/>
      <c r="PRM240" s="146"/>
      <c r="PRN240" s="146"/>
      <c r="PRO240" s="146"/>
      <c r="PRP240" s="146"/>
      <c r="PRQ240" s="146"/>
      <c r="PRR240" s="146"/>
      <c r="PRS240" s="146"/>
      <c r="PRT240" s="146"/>
      <c r="PRU240" s="146"/>
      <c r="PRV240" s="146"/>
      <c r="PRW240" s="146"/>
      <c r="PRX240" s="146"/>
      <c r="PRY240" s="146"/>
      <c r="PRZ240" s="146"/>
      <c r="PSA240" s="146"/>
      <c r="PSB240" s="146"/>
      <c r="PSC240" s="146"/>
      <c r="PSD240" s="146"/>
      <c r="PSE240" s="146"/>
      <c r="PSF240" s="146"/>
      <c r="PSG240" s="146"/>
      <c r="PSH240" s="146"/>
      <c r="PSI240" s="146"/>
      <c r="PSJ240" s="146"/>
      <c r="PSK240" s="146"/>
      <c r="PSL240" s="146"/>
      <c r="PSM240" s="146"/>
      <c r="PSN240" s="146"/>
      <c r="PSO240" s="146"/>
      <c r="PSP240" s="146"/>
      <c r="PSQ240" s="146"/>
      <c r="PSR240" s="146"/>
      <c r="PSS240" s="146"/>
      <c r="PST240" s="146"/>
      <c r="PSU240" s="146"/>
      <c r="PSV240" s="146"/>
      <c r="PSW240" s="146"/>
      <c r="PSX240" s="146"/>
      <c r="PSY240" s="146"/>
      <c r="PSZ240" s="146"/>
      <c r="PTA240" s="146"/>
      <c r="PTB240" s="146"/>
      <c r="PTC240" s="146"/>
      <c r="PTD240" s="146"/>
      <c r="PTE240" s="146"/>
      <c r="PTF240" s="146"/>
      <c r="PTG240" s="146"/>
      <c r="PTH240" s="146"/>
      <c r="PTI240" s="146"/>
      <c r="PTJ240" s="146"/>
      <c r="PTK240" s="146"/>
      <c r="PTL240" s="146"/>
      <c r="PTM240" s="146"/>
      <c r="PTN240" s="146"/>
      <c r="PTO240" s="146"/>
      <c r="PTP240" s="146"/>
      <c r="PTQ240" s="146"/>
      <c r="PTR240" s="146"/>
      <c r="PTS240" s="146"/>
      <c r="PTT240" s="146"/>
      <c r="PTU240" s="146"/>
      <c r="PTV240" s="146"/>
      <c r="PTW240" s="146"/>
      <c r="PTX240" s="146"/>
      <c r="PTY240" s="146"/>
      <c r="PTZ240" s="146"/>
      <c r="PUA240" s="146"/>
      <c r="PUB240" s="146"/>
      <c r="PUC240" s="146"/>
      <c r="PUD240" s="146"/>
      <c r="PUE240" s="146"/>
      <c r="PUF240" s="146"/>
      <c r="PUG240" s="146"/>
      <c r="PUH240" s="146"/>
      <c r="PUI240" s="146"/>
      <c r="PUJ240" s="146"/>
      <c r="PUK240" s="146"/>
      <c r="PUL240" s="146"/>
      <c r="PUM240" s="146"/>
      <c r="PUN240" s="146"/>
      <c r="PUO240" s="146"/>
      <c r="PUP240" s="146"/>
      <c r="PUQ240" s="146"/>
      <c r="PUR240" s="146"/>
      <c r="PUS240" s="146"/>
      <c r="PUT240" s="146"/>
      <c r="PUU240" s="146"/>
      <c r="PUV240" s="146"/>
      <c r="PUW240" s="146"/>
      <c r="PUX240" s="146"/>
      <c r="PUY240" s="146"/>
      <c r="PUZ240" s="146"/>
      <c r="PVA240" s="146"/>
      <c r="PVB240" s="146"/>
      <c r="PVC240" s="146"/>
      <c r="PVD240" s="146"/>
      <c r="PVE240" s="146"/>
      <c r="PVF240" s="146"/>
      <c r="PVG240" s="146"/>
      <c r="PVH240" s="146"/>
      <c r="PVI240" s="146"/>
      <c r="PVJ240" s="146"/>
      <c r="PVK240" s="146"/>
      <c r="PVL240" s="146"/>
      <c r="PVM240" s="146"/>
      <c r="PVN240" s="146"/>
      <c r="PVO240" s="146"/>
      <c r="PVP240" s="146"/>
      <c r="PVQ240" s="146"/>
      <c r="PVR240" s="146"/>
      <c r="PVS240" s="146"/>
      <c r="PVT240" s="146"/>
      <c r="PVU240" s="146"/>
      <c r="PVV240" s="146"/>
      <c r="PVW240" s="146"/>
      <c r="PVX240" s="146"/>
      <c r="PVY240" s="146"/>
      <c r="PVZ240" s="146"/>
      <c r="PWA240" s="146"/>
      <c r="PWB240" s="146"/>
      <c r="PWC240" s="146"/>
      <c r="PWD240" s="146"/>
      <c r="PWE240" s="146"/>
      <c r="PWF240" s="146"/>
      <c r="PWG240" s="146"/>
      <c r="PWH240" s="146"/>
      <c r="PWI240" s="146"/>
      <c r="PWJ240" s="146"/>
      <c r="PWK240" s="146"/>
      <c r="PWL240" s="146"/>
      <c r="PWM240" s="146"/>
      <c r="PWN240" s="146"/>
      <c r="PWO240" s="146"/>
      <c r="PWP240" s="146"/>
      <c r="PWQ240" s="146"/>
      <c r="PWR240" s="146"/>
      <c r="PWS240" s="146"/>
      <c r="PWT240" s="146"/>
      <c r="PWU240" s="146"/>
      <c r="PWV240" s="146"/>
      <c r="PWW240" s="146"/>
      <c r="PWX240" s="146"/>
      <c r="PWY240" s="146"/>
      <c r="PWZ240" s="146"/>
      <c r="PXA240" s="146"/>
      <c r="PXB240" s="146"/>
      <c r="PXC240" s="146"/>
      <c r="PXD240" s="146"/>
      <c r="PXE240" s="146"/>
      <c r="PXF240" s="146"/>
      <c r="PXG240" s="146"/>
      <c r="PXH240" s="146"/>
      <c r="PXI240" s="146"/>
      <c r="PXJ240" s="146"/>
      <c r="PXK240" s="146"/>
      <c r="PXL240" s="146"/>
      <c r="PXM240" s="146"/>
      <c r="PXN240" s="146"/>
      <c r="PXO240" s="146"/>
      <c r="PXP240" s="146"/>
      <c r="PXQ240" s="146"/>
      <c r="PXR240" s="146"/>
      <c r="PXS240" s="146"/>
      <c r="PXT240" s="146"/>
      <c r="PXU240" s="146"/>
      <c r="PXV240" s="146"/>
      <c r="PXW240" s="146"/>
      <c r="PXX240" s="146"/>
      <c r="PXY240" s="146"/>
      <c r="PXZ240" s="146"/>
      <c r="PYA240" s="146"/>
      <c r="PYB240" s="146"/>
      <c r="PYC240" s="146"/>
      <c r="PYD240" s="146"/>
      <c r="PYE240" s="146"/>
      <c r="PYF240" s="146"/>
      <c r="PYG240" s="146"/>
      <c r="PYH240" s="146"/>
      <c r="PYI240" s="146"/>
      <c r="PYJ240" s="146"/>
      <c r="PYK240" s="146"/>
      <c r="PYL240" s="146"/>
      <c r="PYM240" s="146"/>
      <c r="PYN240" s="146"/>
      <c r="PYO240" s="146"/>
      <c r="PYP240" s="146"/>
      <c r="PYQ240" s="146"/>
      <c r="PYR240" s="146"/>
      <c r="PYS240" s="146"/>
      <c r="PYT240" s="146"/>
      <c r="PYU240" s="146"/>
      <c r="PYV240" s="146"/>
      <c r="PYW240" s="146"/>
      <c r="PYX240" s="146"/>
      <c r="PYY240" s="146"/>
      <c r="PYZ240" s="146"/>
      <c r="PZA240" s="146"/>
      <c r="PZB240" s="146"/>
      <c r="PZC240" s="146"/>
      <c r="PZD240" s="146"/>
      <c r="PZE240" s="146"/>
      <c r="PZF240" s="146"/>
      <c r="PZG240" s="146"/>
      <c r="PZH240" s="146"/>
      <c r="PZI240" s="146"/>
      <c r="PZJ240" s="146"/>
      <c r="PZK240" s="146"/>
      <c r="PZL240" s="146"/>
      <c r="PZM240" s="146"/>
      <c r="PZN240" s="146"/>
      <c r="PZO240" s="146"/>
      <c r="PZP240" s="146"/>
      <c r="PZQ240" s="146"/>
      <c r="PZR240" s="146"/>
      <c r="PZS240" s="146"/>
      <c r="PZT240" s="146"/>
      <c r="PZU240" s="146"/>
      <c r="PZV240" s="146"/>
      <c r="PZW240" s="146"/>
      <c r="PZX240" s="146"/>
      <c r="PZY240" s="146"/>
      <c r="PZZ240" s="146"/>
      <c r="QAA240" s="146"/>
      <c r="QAB240" s="146"/>
      <c r="QAC240" s="146"/>
      <c r="QAD240" s="146"/>
      <c r="QAE240" s="146"/>
      <c r="QAF240" s="146"/>
      <c r="QAG240" s="146"/>
      <c r="QAH240" s="146"/>
      <c r="QAI240" s="146"/>
      <c r="QAJ240" s="146"/>
      <c r="QAK240" s="146"/>
      <c r="QAL240" s="146"/>
      <c r="QAM240" s="146"/>
      <c r="QAN240" s="146"/>
      <c r="QAO240" s="146"/>
      <c r="QAP240" s="146"/>
      <c r="QAQ240" s="146"/>
      <c r="QAR240" s="146"/>
      <c r="QAS240" s="146"/>
      <c r="QAT240" s="146"/>
      <c r="QAU240" s="146"/>
      <c r="QAV240" s="146"/>
      <c r="QAW240" s="146"/>
      <c r="QAX240" s="146"/>
      <c r="QAY240" s="146"/>
      <c r="QAZ240" s="146"/>
      <c r="QBA240" s="146"/>
      <c r="QBB240" s="146"/>
      <c r="QBC240" s="146"/>
      <c r="QBD240" s="146"/>
      <c r="QBE240" s="146"/>
      <c r="QBF240" s="146"/>
      <c r="QBG240" s="146"/>
      <c r="QBH240" s="146"/>
      <c r="QBI240" s="146"/>
      <c r="QBJ240" s="146"/>
      <c r="QBK240" s="146"/>
      <c r="QBL240" s="146"/>
      <c r="QBM240" s="146"/>
      <c r="QBN240" s="146"/>
      <c r="QBO240" s="146"/>
      <c r="QBP240" s="146"/>
      <c r="QBQ240" s="146"/>
      <c r="QBR240" s="146"/>
      <c r="QBS240" s="146"/>
      <c r="QBT240" s="146"/>
      <c r="QBU240" s="146"/>
      <c r="QBV240" s="146"/>
      <c r="QBW240" s="146"/>
      <c r="QBX240" s="146"/>
      <c r="QBY240" s="146"/>
      <c r="QBZ240" s="146"/>
      <c r="QCA240" s="146"/>
      <c r="QCB240" s="146"/>
      <c r="QCC240" s="146"/>
      <c r="QCD240" s="146"/>
      <c r="QCE240" s="146"/>
      <c r="QCF240" s="146"/>
      <c r="QCG240" s="146"/>
      <c r="QCH240" s="146"/>
      <c r="QCI240" s="146"/>
      <c r="QCJ240" s="146"/>
      <c r="QCK240" s="146"/>
      <c r="QCL240" s="146"/>
      <c r="QCM240" s="146"/>
      <c r="QCN240" s="146"/>
      <c r="QCO240" s="146"/>
      <c r="QCP240" s="146"/>
      <c r="QCQ240" s="146"/>
      <c r="QCR240" s="146"/>
      <c r="QCS240" s="146"/>
      <c r="QCT240" s="146"/>
      <c r="QCU240" s="146"/>
      <c r="QCV240" s="146"/>
      <c r="QCW240" s="146"/>
      <c r="QCX240" s="146"/>
      <c r="QCY240" s="146"/>
      <c r="QCZ240" s="146"/>
      <c r="QDA240" s="146"/>
      <c r="QDB240" s="146"/>
      <c r="QDC240" s="146"/>
      <c r="QDD240" s="146"/>
      <c r="QDE240" s="146"/>
      <c r="QDF240" s="146"/>
      <c r="QDG240" s="146"/>
      <c r="QDH240" s="146"/>
      <c r="QDI240" s="146"/>
      <c r="QDJ240" s="146"/>
      <c r="QDK240" s="146"/>
      <c r="QDL240" s="146"/>
      <c r="QDM240" s="146"/>
      <c r="QDN240" s="146"/>
      <c r="QDO240" s="146"/>
      <c r="QDP240" s="146"/>
      <c r="QDQ240" s="146"/>
      <c r="QDR240" s="146"/>
      <c r="QDS240" s="146"/>
      <c r="QDT240" s="146"/>
      <c r="QDU240" s="146"/>
      <c r="QDV240" s="146"/>
      <c r="QDW240" s="146"/>
      <c r="QDX240" s="146"/>
      <c r="QDY240" s="146"/>
      <c r="QDZ240" s="146"/>
      <c r="QEA240" s="146"/>
      <c r="QEB240" s="146"/>
      <c r="QEC240" s="146"/>
      <c r="QED240" s="146"/>
      <c r="QEE240" s="146"/>
      <c r="QEF240" s="146"/>
      <c r="QEG240" s="146"/>
      <c r="QEH240" s="146"/>
      <c r="QEI240" s="146"/>
      <c r="QEJ240" s="146"/>
      <c r="QEK240" s="146"/>
      <c r="QEL240" s="146"/>
      <c r="QEM240" s="146"/>
      <c r="QEN240" s="146"/>
      <c r="QEO240" s="146"/>
      <c r="QEP240" s="146"/>
      <c r="QEQ240" s="146"/>
      <c r="QER240" s="146"/>
      <c r="QES240" s="146"/>
      <c r="QET240" s="146"/>
      <c r="QEU240" s="146"/>
      <c r="QEV240" s="146"/>
      <c r="QEW240" s="146"/>
      <c r="QEX240" s="146"/>
      <c r="QEY240" s="146"/>
      <c r="QEZ240" s="146"/>
      <c r="QFA240" s="146"/>
      <c r="QFB240" s="146"/>
      <c r="QFC240" s="146"/>
      <c r="QFD240" s="146"/>
      <c r="QFE240" s="146"/>
      <c r="QFF240" s="146"/>
      <c r="QFG240" s="146"/>
      <c r="QFH240" s="146"/>
      <c r="QFI240" s="146"/>
      <c r="QFJ240" s="146"/>
      <c r="QFK240" s="146"/>
      <c r="QFL240" s="146"/>
      <c r="QFM240" s="146"/>
      <c r="QFN240" s="146"/>
      <c r="QFO240" s="146"/>
      <c r="QFP240" s="146"/>
      <c r="QFQ240" s="146"/>
      <c r="QFR240" s="146"/>
      <c r="QFS240" s="146"/>
      <c r="QFT240" s="146"/>
      <c r="QFU240" s="146"/>
      <c r="QFV240" s="146"/>
      <c r="QFW240" s="146"/>
      <c r="QFX240" s="146"/>
      <c r="QFY240" s="146"/>
      <c r="QFZ240" s="146"/>
      <c r="QGA240" s="146"/>
      <c r="QGB240" s="146"/>
      <c r="QGC240" s="146"/>
      <c r="QGD240" s="146"/>
      <c r="QGE240" s="146"/>
      <c r="QGF240" s="146"/>
      <c r="QGG240" s="146"/>
      <c r="QGH240" s="146"/>
      <c r="QGI240" s="146"/>
      <c r="QGJ240" s="146"/>
      <c r="QGK240" s="146"/>
      <c r="QGL240" s="146"/>
      <c r="QGM240" s="146"/>
      <c r="QGN240" s="146"/>
      <c r="QGO240" s="146"/>
      <c r="QGP240" s="146"/>
      <c r="QGQ240" s="146"/>
      <c r="QGR240" s="146"/>
      <c r="QGS240" s="146"/>
      <c r="QGT240" s="146"/>
      <c r="QGU240" s="146"/>
      <c r="QGV240" s="146"/>
      <c r="QGW240" s="146"/>
      <c r="QGX240" s="146"/>
      <c r="QGY240" s="146"/>
      <c r="QGZ240" s="146"/>
      <c r="QHA240" s="146"/>
      <c r="QHB240" s="146"/>
      <c r="QHC240" s="146"/>
      <c r="QHD240" s="146"/>
      <c r="QHE240" s="146"/>
      <c r="QHF240" s="146"/>
      <c r="QHG240" s="146"/>
      <c r="QHH240" s="146"/>
      <c r="QHI240" s="146"/>
      <c r="QHJ240" s="146"/>
      <c r="QHK240" s="146"/>
      <c r="QHL240" s="146"/>
      <c r="QHM240" s="146"/>
      <c r="QHN240" s="146"/>
      <c r="QHO240" s="146"/>
      <c r="QHP240" s="146"/>
      <c r="QHQ240" s="146"/>
      <c r="QHR240" s="146"/>
      <c r="QHS240" s="146"/>
      <c r="QHT240" s="146"/>
      <c r="QHU240" s="146"/>
      <c r="QHV240" s="146"/>
      <c r="QHW240" s="146"/>
      <c r="QHX240" s="146"/>
      <c r="QHY240" s="146"/>
      <c r="QHZ240" s="146"/>
      <c r="QIA240" s="146"/>
      <c r="QIB240" s="146"/>
      <c r="QIC240" s="146"/>
      <c r="QID240" s="146"/>
      <c r="QIE240" s="146"/>
      <c r="QIF240" s="146"/>
      <c r="QIG240" s="146"/>
      <c r="QIH240" s="146"/>
      <c r="QII240" s="146"/>
      <c r="QIJ240" s="146"/>
      <c r="QIK240" s="146"/>
      <c r="QIL240" s="146"/>
      <c r="QIM240" s="146"/>
      <c r="QIN240" s="146"/>
      <c r="QIO240" s="146"/>
      <c r="QIP240" s="146"/>
      <c r="QIQ240" s="146"/>
      <c r="QIR240" s="146"/>
      <c r="QIS240" s="146"/>
      <c r="QIT240" s="146"/>
      <c r="QIU240" s="146"/>
      <c r="QIV240" s="146"/>
      <c r="QIW240" s="146"/>
      <c r="QIX240" s="146"/>
      <c r="QIY240" s="146"/>
      <c r="QIZ240" s="146"/>
      <c r="QJA240" s="146"/>
      <c r="QJB240" s="146"/>
      <c r="QJC240" s="146"/>
      <c r="QJD240" s="146"/>
      <c r="QJE240" s="146"/>
      <c r="QJF240" s="146"/>
      <c r="QJG240" s="146"/>
      <c r="QJH240" s="146"/>
      <c r="QJI240" s="146"/>
      <c r="QJJ240" s="146"/>
      <c r="QJK240" s="146"/>
      <c r="QJL240" s="146"/>
      <c r="QJM240" s="146"/>
      <c r="QJN240" s="146"/>
      <c r="QJO240" s="146"/>
      <c r="QJP240" s="146"/>
      <c r="QJQ240" s="146"/>
      <c r="QJR240" s="146"/>
      <c r="QJS240" s="146"/>
      <c r="QJT240" s="146"/>
      <c r="QJU240" s="146"/>
      <c r="QJV240" s="146"/>
      <c r="QJW240" s="146"/>
      <c r="QJX240" s="146"/>
      <c r="QJY240" s="146"/>
      <c r="QJZ240" s="146"/>
      <c r="QKA240" s="146"/>
      <c r="QKB240" s="146"/>
      <c r="QKC240" s="146"/>
      <c r="QKD240" s="146"/>
      <c r="QKE240" s="146"/>
      <c r="QKF240" s="146"/>
      <c r="QKG240" s="146"/>
      <c r="QKH240" s="146"/>
      <c r="QKI240" s="146"/>
      <c r="QKJ240" s="146"/>
      <c r="QKK240" s="146"/>
      <c r="QKL240" s="146"/>
      <c r="QKM240" s="146"/>
      <c r="QKN240" s="146"/>
      <c r="QKO240" s="146"/>
      <c r="QKP240" s="146"/>
      <c r="QKQ240" s="146"/>
      <c r="QKR240" s="146"/>
      <c r="QKS240" s="146"/>
      <c r="QKT240" s="146"/>
      <c r="QKU240" s="146"/>
      <c r="QKV240" s="146"/>
      <c r="QKW240" s="146"/>
      <c r="QKX240" s="146"/>
      <c r="QKY240" s="146"/>
      <c r="QKZ240" s="146"/>
      <c r="QLA240" s="146"/>
      <c r="QLB240" s="146"/>
      <c r="QLC240" s="146"/>
      <c r="QLD240" s="146"/>
      <c r="QLE240" s="146"/>
      <c r="QLF240" s="146"/>
      <c r="QLG240" s="146"/>
      <c r="QLH240" s="146"/>
      <c r="QLI240" s="146"/>
      <c r="QLJ240" s="146"/>
      <c r="QLK240" s="146"/>
      <c r="QLL240" s="146"/>
      <c r="QLM240" s="146"/>
      <c r="QLN240" s="146"/>
      <c r="QLO240" s="146"/>
      <c r="QLP240" s="146"/>
      <c r="QLQ240" s="146"/>
      <c r="QLR240" s="146"/>
      <c r="QLS240" s="146"/>
      <c r="QLT240" s="146"/>
      <c r="QLU240" s="146"/>
      <c r="QLV240" s="146"/>
      <c r="QLW240" s="146"/>
      <c r="QLX240" s="146"/>
      <c r="QLY240" s="146"/>
      <c r="QLZ240" s="146"/>
      <c r="QMA240" s="146"/>
      <c r="QMB240" s="146"/>
      <c r="QMC240" s="146"/>
      <c r="QMD240" s="146"/>
      <c r="QME240" s="146"/>
      <c r="QMF240" s="146"/>
      <c r="QMG240" s="146"/>
      <c r="QMH240" s="146"/>
      <c r="QMI240" s="146"/>
      <c r="QMJ240" s="146"/>
      <c r="QMK240" s="146"/>
      <c r="QML240" s="146"/>
      <c r="QMM240" s="146"/>
      <c r="QMN240" s="146"/>
      <c r="QMO240" s="146"/>
      <c r="QMP240" s="146"/>
      <c r="QMQ240" s="146"/>
      <c r="QMR240" s="146"/>
      <c r="QMS240" s="146"/>
      <c r="QMT240" s="146"/>
      <c r="QMU240" s="146"/>
      <c r="QMV240" s="146"/>
      <c r="QMW240" s="146"/>
      <c r="QMX240" s="146"/>
      <c r="QMY240" s="146"/>
      <c r="QMZ240" s="146"/>
      <c r="QNA240" s="146"/>
      <c r="QNB240" s="146"/>
      <c r="QNC240" s="146"/>
      <c r="QND240" s="146"/>
      <c r="QNE240" s="146"/>
      <c r="QNF240" s="146"/>
      <c r="QNG240" s="146"/>
      <c r="QNH240" s="146"/>
      <c r="QNI240" s="146"/>
      <c r="QNJ240" s="146"/>
      <c r="QNK240" s="146"/>
      <c r="QNL240" s="146"/>
      <c r="QNM240" s="146"/>
      <c r="QNN240" s="146"/>
      <c r="QNO240" s="146"/>
      <c r="QNP240" s="146"/>
      <c r="QNQ240" s="146"/>
      <c r="QNR240" s="146"/>
      <c r="QNS240" s="146"/>
      <c r="QNT240" s="146"/>
      <c r="QNU240" s="146"/>
      <c r="QNV240" s="146"/>
      <c r="QNW240" s="146"/>
      <c r="QNX240" s="146"/>
      <c r="QNY240" s="146"/>
      <c r="QNZ240" s="146"/>
      <c r="QOA240" s="146"/>
      <c r="QOB240" s="146"/>
      <c r="QOC240" s="146"/>
      <c r="QOD240" s="146"/>
      <c r="QOE240" s="146"/>
      <c r="QOF240" s="146"/>
      <c r="QOG240" s="146"/>
      <c r="QOH240" s="146"/>
      <c r="QOI240" s="146"/>
      <c r="QOJ240" s="146"/>
      <c r="QOK240" s="146"/>
      <c r="QOL240" s="146"/>
      <c r="QOM240" s="146"/>
      <c r="QON240" s="146"/>
      <c r="QOO240" s="146"/>
      <c r="QOP240" s="146"/>
      <c r="QOQ240" s="146"/>
      <c r="QOR240" s="146"/>
      <c r="QOS240" s="146"/>
      <c r="QOT240" s="146"/>
      <c r="QOU240" s="146"/>
      <c r="QOV240" s="146"/>
      <c r="QOW240" s="146"/>
      <c r="QOX240" s="146"/>
      <c r="QOY240" s="146"/>
      <c r="QOZ240" s="146"/>
      <c r="QPA240" s="146"/>
      <c r="QPB240" s="146"/>
      <c r="QPC240" s="146"/>
      <c r="QPD240" s="146"/>
      <c r="QPE240" s="146"/>
      <c r="QPF240" s="146"/>
      <c r="QPG240" s="146"/>
      <c r="QPH240" s="146"/>
      <c r="QPI240" s="146"/>
      <c r="QPJ240" s="146"/>
      <c r="QPK240" s="146"/>
      <c r="QPL240" s="146"/>
      <c r="QPM240" s="146"/>
      <c r="QPN240" s="146"/>
      <c r="QPO240" s="146"/>
      <c r="QPP240" s="146"/>
      <c r="QPQ240" s="146"/>
      <c r="QPR240" s="146"/>
      <c r="QPS240" s="146"/>
      <c r="QPT240" s="146"/>
      <c r="QPU240" s="146"/>
      <c r="QPV240" s="146"/>
      <c r="QPW240" s="146"/>
      <c r="QPX240" s="146"/>
      <c r="QPY240" s="146"/>
      <c r="QPZ240" s="146"/>
      <c r="QQA240" s="146"/>
      <c r="QQB240" s="146"/>
      <c r="QQC240" s="146"/>
      <c r="QQD240" s="146"/>
      <c r="QQE240" s="146"/>
      <c r="QQF240" s="146"/>
      <c r="QQG240" s="146"/>
      <c r="QQH240" s="146"/>
      <c r="QQI240" s="146"/>
      <c r="QQJ240" s="146"/>
      <c r="QQK240" s="146"/>
      <c r="QQL240" s="146"/>
      <c r="QQM240" s="146"/>
      <c r="QQN240" s="146"/>
      <c r="QQO240" s="146"/>
      <c r="QQP240" s="146"/>
      <c r="QQQ240" s="146"/>
      <c r="QQR240" s="146"/>
      <c r="QQS240" s="146"/>
      <c r="QQT240" s="146"/>
      <c r="QQU240" s="146"/>
      <c r="QQV240" s="146"/>
      <c r="QQW240" s="146"/>
      <c r="QQX240" s="146"/>
      <c r="QQY240" s="146"/>
      <c r="QQZ240" s="146"/>
      <c r="QRA240" s="146"/>
      <c r="QRB240" s="146"/>
      <c r="QRC240" s="146"/>
      <c r="QRD240" s="146"/>
      <c r="QRE240" s="146"/>
      <c r="QRF240" s="146"/>
      <c r="QRG240" s="146"/>
      <c r="QRH240" s="146"/>
      <c r="QRI240" s="146"/>
      <c r="QRJ240" s="146"/>
      <c r="QRK240" s="146"/>
      <c r="QRL240" s="146"/>
      <c r="QRM240" s="146"/>
      <c r="QRN240" s="146"/>
      <c r="QRO240" s="146"/>
      <c r="QRP240" s="146"/>
      <c r="QRQ240" s="146"/>
      <c r="QRR240" s="146"/>
      <c r="QRS240" s="146"/>
      <c r="QRT240" s="146"/>
      <c r="QRU240" s="146"/>
      <c r="QRV240" s="146"/>
      <c r="QRW240" s="146"/>
      <c r="QRX240" s="146"/>
      <c r="QRY240" s="146"/>
      <c r="QRZ240" s="146"/>
      <c r="QSA240" s="146"/>
      <c r="QSB240" s="146"/>
      <c r="QSC240" s="146"/>
      <c r="QSD240" s="146"/>
      <c r="QSE240" s="146"/>
      <c r="QSF240" s="146"/>
      <c r="QSG240" s="146"/>
      <c r="QSH240" s="146"/>
      <c r="QSI240" s="146"/>
      <c r="QSJ240" s="146"/>
      <c r="QSK240" s="146"/>
      <c r="QSL240" s="146"/>
      <c r="QSM240" s="146"/>
      <c r="QSN240" s="146"/>
      <c r="QSO240" s="146"/>
      <c r="QSP240" s="146"/>
      <c r="QSQ240" s="146"/>
      <c r="QSR240" s="146"/>
      <c r="QSS240" s="146"/>
      <c r="QST240" s="146"/>
      <c r="QSU240" s="146"/>
      <c r="QSV240" s="146"/>
      <c r="QSW240" s="146"/>
      <c r="QSX240" s="146"/>
      <c r="QSY240" s="146"/>
      <c r="QSZ240" s="146"/>
      <c r="QTA240" s="146"/>
      <c r="QTB240" s="146"/>
      <c r="QTC240" s="146"/>
      <c r="QTD240" s="146"/>
      <c r="QTE240" s="146"/>
      <c r="QTF240" s="146"/>
      <c r="QTG240" s="146"/>
      <c r="QTH240" s="146"/>
      <c r="QTI240" s="146"/>
      <c r="QTJ240" s="146"/>
      <c r="QTK240" s="146"/>
      <c r="QTL240" s="146"/>
      <c r="QTM240" s="146"/>
      <c r="QTN240" s="146"/>
      <c r="QTO240" s="146"/>
      <c r="QTP240" s="146"/>
      <c r="QTQ240" s="146"/>
      <c r="QTR240" s="146"/>
      <c r="QTS240" s="146"/>
      <c r="QTT240" s="146"/>
      <c r="QTU240" s="146"/>
      <c r="QTV240" s="146"/>
      <c r="QTW240" s="146"/>
      <c r="QTX240" s="146"/>
      <c r="QTY240" s="146"/>
      <c r="QTZ240" s="146"/>
      <c r="QUA240" s="146"/>
      <c r="QUB240" s="146"/>
      <c r="QUC240" s="146"/>
      <c r="QUD240" s="146"/>
      <c r="QUE240" s="146"/>
      <c r="QUF240" s="146"/>
      <c r="QUG240" s="146"/>
      <c r="QUH240" s="146"/>
      <c r="QUI240" s="146"/>
      <c r="QUJ240" s="146"/>
      <c r="QUK240" s="146"/>
      <c r="QUL240" s="146"/>
      <c r="QUM240" s="146"/>
      <c r="QUN240" s="146"/>
      <c r="QUO240" s="146"/>
      <c r="QUP240" s="146"/>
      <c r="QUQ240" s="146"/>
      <c r="QUR240" s="146"/>
      <c r="QUS240" s="146"/>
      <c r="QUT240" s="146"/>
      <c r="QUU240" s="146"/>
      <c r="QUV240" s="146"/>
      <c r="QUW240" s="146"/>
      <c r="QUX240" s="146"/>
      <c r="QUY240" s="146"/>
      <c r="QUZ240" s="146"/>
      <c r="QVA240" s="146"/>
      <c r="QVB240" s="146"/>
      <c r="QVC240" s="146"/>
      <c r="QVD240" s="146"/>
      <c r="QVE240" s="146"/>
      <c r="QVF240" s="146"/>
      <c r="QVG240" s="146"/>
      <c r="QVH240" s="146"/>
      <c r="QVI240" s="146"/>
      <c r="QVJ240" s="146"/>
      <c r="QVK240" s="146"/>
      <c r="QVL240" s="146"/>
      <c r="QVM240" s="146"/>
      <c r="QVN240" s="146"/>
      <c r="QVO240" s="146"/>
      <c r="QVP240" s="146"/>
      <c r="QVQ240" s="146"/>
      <c r="QVR240" s="146"/>
      <c r="QVS240" s="146"/>
      <c r="QVT240" s="146"/>
      <c r="QVU240" s="146"/>
      <c r="QVV240" s="146"/>
      <c r="QVW240" s="146"/>
      <c r="QVX240" s="146"/>
      <c r="QVY240" s="146"/>
      <c r="QVZ240" s="146"/>
      <c r="QWA240" s="146"/>
      <c r="QWB240" s="146"/>
      <c r="QWC240" s="146"/>
      <c r="QWD240" s="146"/>
      <c r="QWE240" s="146"/>
      <c r="QWF240" s="146"/>
      <c r="QWG240" s="146"/>
      <c r="QWH240" s="146"/>
      <c r="QWI240" s="146"/>
      <c r="QWJ240" s="146"/>
      <c r="QWK240" s="146"/>
      <c r="QWL240" s="146"/>
      <c r="QWM240" s="146"/>
      <c r="QWN240" s="146"/>
      <c r="QWO240" s="146"/>
      <c r="QWP240" s="146"/>
      <c r="QWQ240" s="146"/>
      <c r="QWR240" s="146"/>
      <c r="QWS240" s="146"/>
      <c r="QWT240" s="146"/>
      <c r="QWU240" s="146"/>
      <c r="QWV240" s="146"/>
      <c r="QWW240" s="146"/>
      <c r="QWX240" s="146"/>
      <c r="QWY240" s="146"/>
      <c r="QWZ240" s="146"/>
      <c r="QXA240" s="146"/>
      <c r="QXB240" s="146"/>
      <c r="QXC240" s="146"/>
      <c r="QXD240" s="146"/>
      <c r="QXE240" s="146"/>
      <c r="QXF240" s="146"/>
      <c r="QXG240" s="146"/>
      <c r="QXH240" s="146"/>
      <c r="QXI240" s="146"/>
      <c r="QXJ240" s="146"/>
      <c r="QXK240" s="146"/>
      <c r="QXL240" s="146"/>
      <c r="QXM240" s="146"/>
      <c r="QXN240" s="146"/>
      <c r="QXO240" s="146"/>
      <c r="QXP240" s="146"/>
      <c r="QXQ240" s="146"/>
      <c r="QXR240" s="146"/>
      <c r="QXS240" s="146"/>
      <c r="QXT240" s="146"/>
      <c r="QXU240" s="146"/>
      <c r="QXV240" s="146"/>
      <c r="QXW240" s="146"/>
      <c r="QXX240" s="146"/>
      <c r="QXY240" s="146"/>
      <c r="QXZ240" s="146"/>
      <c r="QYA240" s="146"/>
      <c r="QYB240" s="146"/>
      <c r="QYC240" s="146"/>
      <c r="QYD240" s="146"/>
      <c r="QYE240" s="146"/>
      <c r="QYF240" s="146"/>
      <c r="QYG240" s="146"/>
      <c r="QYH240" s="146"/>
      <c r="QYI240" s="146"/>
      <c r="QYJ240" s="146"/>
      <c r="QYK240" s="146"/>
      <c r="QYL240" s="146"/>
      <c r="QYM240" s="146"/>
      <c r="QYN240" s="146"/>
      <c r="QYO240" s="146"/>
      <c r="QYP240" s="146"/>
      <c r="QYQ240" s="146"/>
      <c r="QYR240" s="146"/>
      <c r="QYS240" s="146"/>
      <c r="QYT240" s="146"/>
      <c r="QYU240" s="146"/>
      <c r="QYV240" s="146"/>
      <c r="QYW240" s="146"/>
      <c r="QYX240" s="146"/>
      <c r="QYY240" s="146"/>
      <c r="QYZ240" s="146"/>
      <c r="QZA240" s="146"/>
      <c r="QZB240" s="146"/>
      <c r="QZC240" s="146"/>
      <c r="QZD240" s="146"/>
      <c r="QZE240" s="146"/>
      <c r="QZF240" s="146"/>
      <c r="QZG240" s="146"/>
      <c r="QZH240" s="146"/>
      <c r="QZI240" s="146"/>
      <c r="QZJ240" s="146"/>
      <c r="QZK240" s="146"/>
      <c r="QZL240" s="146"/>
      <c r="QZM240" s="146"/>
      <c r="QZN240" s="146"/>
      <c r="QZO240" s="146"/>
      <c r="QZP240" s="146"/>
      <c r="QZQ240" s="146"/>
      <c r="QZR240" s="146"/>
      <c r="QZS240" s="146"/>
      <c r="QZT240" s="146"/>
      <c r="QZU240" s="146"/>
      <c r="QZV240" s="146"/>
      <c r="QZW240" s="146"/>
      <c r="QZX240" s="146"/>
      <c r="QZY240" s="146"/>
      <c r="QZZ240" s="146"/>
      <c r="RAA240" s="146"/>
      <c r="RAB240" s="146"/>
      <c r="RAC240" s="146"/>
      <c r="RAD240" s="146"/>
      <c r="RAE240" s="146"/>
      <c r="RAF240" s="146"/>
      <c r="RAG240" s="146"/>
      <c r="RAH240" s="146"/>
      <c r="RAI240" s="146"/>
      <c r="RAJ240" s="146"/>
      <c r="RAK240" s="146"/>
      <c r="RAL240" s="146"/>
      <c r="RAM240" s="146"/>
      <c r="RAN240" s="146"/>
      <c r="RAO240" s="146"/>
      <c r="RAP240" s="146"/>
      <c r="RAQ240" s="146"/>
      <c r="RAR240" s="146"/>
      <c r="RAS240" s="146"/>
      <c r="RAT240" s="146"/>
      <c r="RAU240" s="146"/>
      <c r="RAV240" s="146"/>
      <c r="RAW240" s="146"/>
      <c r="RAX240" s="146"/>
      <c r="RAY240" s="146"/>
      <c r="RAZ240" s="146"/>
      <c r="RBA240" s="146"/>
      <c r="RBB240" s="146"/>
      <c r="RBC240" s="146"/>
      <c r="RBD240" s="146"/>
      <c r="RBE240" s="146"/>
      <c r="RBF240" s="146"/>
      <c r="RBG240" s="146"/>
      <c r="RBH240" s="146"/>
      <c r="RBI240" s="146"/>
      <c r="RBJ240" s="146"/>
      <c r="RBK240" s="146"/>
      <c r="RBL240" s="146"/>
      <c r="RBM240" s="146"/>
      <c r="RBN240" s="146"/>
      <c r="RBO240" s="146"/>
      <c r="RBP240" s="146"/>
      <c r="RBQ240" s="146"/>
      <c r="RBR240" s="146"/>
      <c r="RBS240" s="146"/>
      <c r="RBT240" s="146"/>
      <c r="RBU240" s="146"/>
      <c r="RBV240" s="146"/>
      <c r="RBW240" s="146"/>
      <c r="RBX240" s="146"/>
      <c r="RBY240" s="146"/>
      <c r="RBZ240" s="146"/>
      <c r="RCA240" s="146"/>
      <c r="RCB240" s="146"/>
      <c r="RCC240" s="146"/>
      <c r="RCD240" s="146"/>
      <c r="RCE240" s="146"/>
      <c r="RCF240" s="146"/>
      <c r="RCG240" s="146"/>
      <c r="RCH240" s="146"/>
      <c r="RCI240" s="146"/>
      <c r="RCJ240" s="146"/>
      <c r="RCK240" s="146"/>
      <c r="RCL240" s="146"/>
      <c r="RCM240" s="146"/>
      <c r="RCN240" s="146"/>
      <c r="RCO240" s="146"/>
      <c r="RCP240" s="146"/>
      <c r="RCQ240" s="146"/>
      <c r="RCR240" s="146"/>
      <c r="RCS240" s="146"/>
      <c r="RCT240" s="146"/>
      <c r="RCU240" s="146"/>
      <c r="RCV240" s="146"/>
      <c r="RCW240" s="146"/>
      <c r="RCX240" s="146"/>
      <c r="RCY240" s="146"/>
      <c r="RCZ240" s="146"/>
      <c r="RDA240" s="146"/>
      <c r="RDB240" s="146"/>
      <c r="RDC240" s="146"/>
      <c r="RDD240" s="146"/>
      <c r="RDE240" s="146"/>
      <c r="RDF240" s="146"/>
      <c r="RDG240" s="146"/>
      <c r="RDH240" s="146"/>
      <c r="RDI240" s="146"/>
      <c r="RDJ240" s="146"/>
      <c r="RDK240" s="146"/>
      <c r="RDL240" s="146"/>
      <c r="RDM240" s="146"/>
      <c r="RDN240" s="146"/>
      <c r="RDO240" s="146"/>
      <c r="RDP240" s="146"/>
      <c r="RDQ240" s="146"/>
      <c r="RDR240" s="146"/>
      <c r="RDS240" s="146"/>
      <c r="RDT240" s="146"/>
      <c r="RDU240" s="146"/>
      <c r="RDV240" s="146"/>
      <c r="RDW240" s="146"/>
      <c r="RDX240" s="146"/>
      <c r="RDY240" s="146"/>
      <c r="RDZ240" s="146"/>
      <c r="REA240" s="146"/>
      <c r="REB240" s="146"/>
      <c r="REC240" s="146"/>
      <c r="RED240" s="146"/>
      <c r="REE240" s="146"/>
      <c r="REF240" s="146"/>
      <c r="REG240" s="146"/>
      <c r="REH240" s="146"/>
      <c r="REI240" s="146"/>
      <c r="REJ240" s="146"/>
      <c r="REK240" s="146"/>
      <c r="REL240" s="146"/>
      <c r="REM240" s="146"/>
      <c r="REN240" s="146"/>
      <c r="REO240" s="146"/>
      <c r="REP240" s="146"/>
      <c r="REQ240" s="146"/>
      <c r="RER240" s="146"/>
      <c r="RES240" s="146"/>
      <c r="RET240" s="146"/>
      <c r="REU240" s="146"/>
      <c r="REV240" s="146"/>
      <c r="REW240" s="146"/>
      <c r="REX240" s="146"/>
      <c r="REY240" s="146"/>
      <c r="REZ240" s="146"/>
      <c r="RFA240" s="146"/>
      <c r="RFB240" s="146"/>
      <c r="RFC240" s="146"/>
      <c r="RFD240" s="146"/>
      <c r="RFE240" s="146"/>
      <c r="RFF240" s="146"/>
      <c r="RFG240" s="146"/>
      <c r="RFH240" s="146"/>
      <c r="RFI240" s="146"/>
      <c r="RFJ240" s="146"/>
      <c r="RFK240" s="146"/>
      <c r="RFL240" s="146"/>
      <c r="RFM240" s="146"/>
      <c r="RFN240" s="146"/>
      <c r="RFO240" s="146"/>
      <c r="RFP240" s="146"/>
      <c r="RFQ240" s="146"/>
      <c r="RFR240" s="146"/>
      <c r="RFS240" s="146"/>
      <c r="RFT240" s="146"/>
      <c r="RFU240" s="146"/>
      <c r="RFV240" s="146"/>
      <c r="RFW240" s="146"/>
      <c r="RFX240" s="146"/>
      <c r="RFY240" s="146"/>
      <c r="RFZ240" s="146"/>
      <c r="RGA240" s="146"/>
      <c r="RGB240" s="146"/>
      <c r="RGC240" s="146"/>
      <c r="RGD240" s="146"/>
      <c r="RGE240" s="146"/>
      <c r="RGF240" s="146"/>
      <c r="RGG240" s="146"/>
      <c r="RGH240" s="146"/>
      <c r="RGI240" s="146"/>
      <c r="RGJ240" s="146"/>
      <c r="RGK240" s="146"/>
      <c r="RGL240" s="146"/>
      <c r="RGM240" s="146"/>
      <c r="RGN240" s="146"/>
      <c r="RGO240" s="146"/>
      <c r="RGP240" s="146"/>
      <c r="RGQ240" s="146"/>
      <c r="RGR240" s="146"/>
      <c r="RGS240" s="146"/>
      <c r="RGT240" s="146"/>
      <c r="RGU240" s="146"/>
      <c r="RGV240" s="146"/>
      <c r="RGW240" s="146"/>
      <c r="RGX240" s="146"/>
      <c r="RGY240" s="146"/>
      <c r="RGZ240" s="146"/>
      <c r="RHA240" s="146"/>
      <c r="RHB240" s="146"/>
      <c r="RHC240" s="146"/>
      <c r="RHD240" s="146"/>
      <c r="RHE240" s="146"/>
      <c r="RHF240" s="146"/>
      <c r="RHG240" s="146"/>
      <c r="RHH240" s="146"/>
      <c r="RHI240" s="146"/>
      <c r="RHJ240" s="146"/>
      <c r="RHK240" s="146"/>
      <c r="RHL240" s="146"/>
      <c r="RHM240" s="146"/>
      <c r="RHN240" s="146"/>
      <c r="RHO240" s="146"/>
      <c r="RHP240" s="146"/>
      <c r="RHQ240" s="146"/>
      <c r="RHR240" s="146"/>
      <c r="RHS240" s="146"/>
      <c r="RHT240" s="146"/>
      <c r="RHU240" s="146"/>
      <c r="RHV240" s="146"/>
      <c r="RHW240" s="146"/>
      <c r="RHX240" s="146"/>
      <c r="RHY240" s="146"/>
      <c r="RHZ240" s="146"/>
      <c r="RIA240" s="146"/>
      <c r="RIB240" s="146"/>
      <c r="RIC240" s="146"/>
      <c r="RID240" s="146"/>
      <c r="RIE240" s="146"/>
      <c r="RIF240" s="146"/>
      <c r="RIG240" s="146"/>
      <c r="RIH240" s="146"/>
      <c r="RII240" s="146"/>
      <c r="RIJ240" s="146"/>
      <c r="RIK240" s="146"/>
      <c r="RIL240" s="146"/>
      <c r="RIM240" s="146"/>
      <c r="RIN240" s="146"/>
      <c r="RIO240" s="146"/>
      <c r="RIP240" s="146"/>
      <c r="RIQ240" s="146"/>
      <c r="RIR240" s="146"/>
      <c r="RIS240" s="146"/>
      <c r="RIT240" s="146"/>
      <c r="RIU240" s="146"/>
      <c r="RIV240" s="146"/>
      <c r="RIW240" s="146"/>
      <c r="RIX240" s="146"/>
      <c r="RIY240" s="146"/>
      <c r="RIZ240" s="146"/>
      <c r="RJA240" s="146"/>
      <c r="RJB240" s="146"/>
      <c r="RJC240" s="146"/>
      <c r="RJD240" s="146"/>
      <c r="RJE240" s="146"/>
      <c r="RJF240" s="146"/>
      <c r="RJG240" s="146"/>
      <c r="RJH240" s="146"/>
      <c r="RJI240" s="146"/>
      <c r="RJJ240" s="146"/>
      <c r="RJK240" s="146"/>
      <c r="RJL240" s="146"/>
      <c r="RJM240" s="146"/>
      <c r="RJN240" s="146"/>
      <c r="RJO240" s="146"/>
      <c r="RJP240" s="146"/>
      <c r="RJQ240" s="146"/>
      <c r="RJR240" s="146"/>
      <c r="RJS240" s="146"/>
      <c r="RJT240" s="146"/>
      <c r="RJU240" s="146"/>
      <c r="RJV240" s="146"/>
      <c r="RJW240" s="146"/>
      <c r="RJX240" s="146"/>
      <c r="RJY240" s="146"/>
      <c r="RJZ240" s="146"/>
      <c r="RKA240" s="146"/>
      <c r="RKB240" s="146"/>
      <c r="RKC240" s="146"/>
      <c r="RKD240" s="146"/>
      <c r="RKE240" s="146"/>
      <c r="RKF240" s="146"/>
      <c r="RKG240" s="146"/>
      <c r="RKH240" s="146"/>
      <c r="RKI240" s="146"/>
      <c r="RKJ240" s="146"/>
      <c r="RKK240" s="146"/>
      <c r="RKL240" s="146"/>
      <c r="RKM240" s="146"/>
      <c r="RKN240" s="146"/>
      <c r="RKO240" s="146"/>
      <c r="RKP240" s="146"/>
      <c r="RKQ240" s="146"/>
      <c r="RKR240" s="146"/>
      <c r="RKS240" s="146"/>
      <c r="RKT240" s="146"/>
      <c r="RKU240" s="146"/>
      <c r="RKV240" s="146"/>
      <c r="RKW240" s="146"/>
      <c r="RKX240" s="146"/>
      <c r="RKY240" s="146"/>
      <c r="RKZ240" s="146"/>
      <c r="RLA240" s="146"/>
      <c r="RLB240" s="146"/>
      <c r="RLC240" s="146"/>
      <c r="RLD240" s="146"/>
      <c r="RLE240" s="146"/>
      <c r="RLF240" s="146"/>
      <c r="RLG240" s="146"/>
      <c r="RLH240" s="146"/>
      <c r="RLI240" s="146"/>
      <c r="RLJ240" s="146"/>
      <c r="RLK240" s="146"/>
      <c r="RLL240" s="146"/>
      <c r="RLM240" s="146"/>
      <c r="RLN240" s="146"/>
      <c r="RLO240" s="146"/>
      <c r="RLP240" s="146"/>
      <c r="RLQ240" s="146"/>
      <c r="RLR240" s="146"/>
      <c r="RLS240" s="146"/>
      <c r="RLT240" s="146"/>
      <c r="RLU240" s="146"/>
      <c r="RLV240" s="146"/>
      <c r="RLW240" s="146"/>
      <c r="RLX240" s="146"/>
      <c r="RLY240" s="146"/>
      <c r="RLZ240" s="146"/>
      <c r="RMA240" s="146"/>
      <c r="RMB240" s="146"/>
      <c r="RMC240" s="146"/>
      <c r="RMD240" s="146"/>
      <c r="RME240" s="146"/>
      <c r="RMF240" s="146"/>
      <c r="RMG240" s="146"/>
      <c r="RMH240" s="146"/>
      <c r="RMI240" s="146"/>
      <c r="RMJ240" s="146"/>
      <c r="RMK240" s="146"/>
      <c r="RML240" s="146"/>
      <c r="RMM240" s="146"/>
      <c r="RMN240" s="146"/>
      <c r="RMO240" s="146"/>
      <c r="RMP240" s="146"/>
      <c r="RMQ240" s="146"/>
      <c r="RMR240" s="146"/>
      <c r="RMS240" s="146"/>
      <c r="RMT240" s="146"/>
      <c r="RMU240" s="146"/>
      <c r="RMV240" s="146"/>
      <c r="RMW240" s="146"/>
      <c r="RMX240" s="146"/>
      <c r="RMY240" s="146"/>
      <c r="RMZ240" s="146"/>
      <c r="RNA240" s="146"/>
      <c r="RNB240" s="146"/>
      <c r="RNC240" s="146"/>
      <c r="RND240" s="146"/>
      <c r="RNE240" s="146"/>
      <c r="RNF240" s="146"/>
      <c r="RNG240" s="146"/>
      <c r="RNH240" s="146"/>
      <c r="RNI240" s="146"/>
      <c r="RNJ240" s="146"/>
      <c r="RNK240" s="146"/>
      <c r="RNL240" s="146"/>
      <c r="RNM240" s="146"/>
      <c r="RNN240" s="146"/>
      <c r="RNO240" s="146"/>
      <c r="RNP240" s="146"/>
      <c r="RNQ240" s="146"/>
      <c r="RNR240" s="146"/>
      <c r="RNS240" s="146"/>
      <c r="RNT240" s="146"/>
      <c r="RNU240" s="146"/>
      <c r="RNV240" s="146"/>
      <c r="RNW240" s="146"/>
      <c r="RNX240" s="146"/>
      <c r="RNY240" s="146"/>
      <c r="RNZ240" s="146"/>
      <c r="ROA240" s="146"/>
      <c r="ROB240" s="146"/>
      <c r="ROC240" s="146"/>
      <c r="ROD240" s="146"/>
      <c r="ROE240" s="146"/>
      <c r="ROF240" s="146"/>
      <c r="ROG240" s="146"/>
      <c r="ROH240" s="146"/>
      <c r="ROI240" s="146"/>
      <c r="ROJ240" s="146"/>
      <c r="ROK240" s="146"/>
      <c r="ROL240" s="146"/>
      <c r="ROM240" s="146"/>
      <c r="RON240" s="146"/>
      <c r="ROO240" s="146"/>
      <c r="ROP240" s="146"/>
      <c r="ROQ240" s="146"/>
      <c r="ROR240" s="146"/>
      <c r="ROS240" s="146"/>
      <c r="ROT240" s="146"/>
      <c r="ROU240" s="146"/>
      <c r="ROV240" s="146"/>
      <c r="ROW240" s="146"/>
      <c r="ROX240" s="146"/>
      <c r="ROY240" s="146"/>
      <c r="ROZ240" s="146"/>
      <c r="RPA240" s="146"/>
      <c r="RPB240" s="146"/>
      <c r="RPC240" s="146"/>
      <c r="RPD240" s="146"/>
      <c r="RPE240" s="146"/>
      <c r="RPF240" s="146"/>
      <c r="RPG240" s="146"/>
      <c r="RPH240" s="146"/>
      <c r="RPI240" s="146"/>
      <c r="RPJ240" s="146"/>
      <c r="RPK240" s="146"/>
      <c r="RPL240" s="146"/>
      <c r="RPM240" s="146"/>
      <c r="RPN240" s="146"/>
      <c r="RPO240" s="146"/>
      <c r="RPP240" s="146"/>
      <c r="RPQ240" s="146"/>
      <c r="RPR240" s="146"/>
      <c r="RPS240" s="146"/>
      <c r="RPT240" s="146"/>
      <c r="RPU240" s="146"/>
      <c r="RPV240" s="146"/>
      <c r="RPW240" s="146"/>
      <c r="RPX240" s="146"/>
      <c r="RPY240" s="146"/>
      <c r="RPZ240" s="146"/>
      <c r="RQA240" s="146"/>
      <c r="RQB240" s="146"/>
      <c r="RQC240" s="146"/>
      <c r="RQD240" s="146"/>
      <c r="RQE240" s="146"/>
      <c r="RQF240" s="146"/>
      <c r="RQG240" s="146"/>
      <c r="RQH240" s="146"/>
      <c r="RQI240" s="146"/>
      <c r="RQJ240" s="146"/>
      <c r="RQK240" s="146"/>
      <c r="RQL240" s="146"/>
      <c r="RQM240" s="146"/>
      <c r="RQN240" s="146"/>
      <c r="RQO240" s="146"/>
      <c r="RQP240" s="146"/>
      <c r="RQQ240" s="146"/>
      <c r="RQR240" s="146"/>
      <c r="RQS240" s="146"/>
      <c r="RQT240" s="146"/>
      <c r="RQU240" s="146"/>
      <c r="RQV240" s="146"/>
      <c r="RQW240" s="146"/>
      <c r="RQX240" s="146"/>
      <c r="RQY240" s="146"/>
      <c r="RQZ240" s="146"/>
      <c r="RRA240" s="146"/>
      <c r="RRB240" s="146"/>
      <c r="RRC240" s="146"/>
      <c r="RRD240" s="146"/>
      <c r="RRE240" s="146"/>
      <c r="RRF240" s="146"/>
      <c r="RRG240" s="146"/>
      <c r="RRH240" s="146"/>
      <c r="RRI240" s="146"/>
      <c r="RRJ240" s="146"/>
      <c r="RRK240" s="146"/>
      <c r="RRL240" s="146"/>
      <c r="RRM240" s="146"/>
      <c r="RRN240" s="146"/>
      <c r="RRO240" s="146"/>
      <c r="RRP240" s="146"/>
      <c r="RRQ240" s="146"/>
      <c r="RRR240" s="146"/>
      <c r="RRS240" s="146"/>
      <c r="RRT240" s="146"/>
      <c r="RRU240" s="146"/>
      <c r="RRV240" s="146"/>
      <c r="RRW240" s="146"/>
      <c r="RRX240" s="146"/>
      <c r="RRY240" s="146"/>
      <c r="RRZ240" s="146"/>
      <c r="RSA240" s="146"/>
      <c r="RSB240" s="146"/>
      <c r="RSC240" s="146"/>
      <c r="RSD240" s="146"/>
      <c r="RSE240" s="146"/>
      <c r="RSF240" s="146"/>
      <c r="RSG240" s="146"/>
      <c r="RSH240" s="146"/>
      <c r="RSI240" s="146"/>
      <c r="RSJ240" s="146"/>
      <c r="RSK240" s="146"/>
      <c r="RSL240" s="146"/>
      <c r="RSM240" s="146"/>
      <c r="RSN240" s="146"/>
      <c r="RSO240" s="146"/>
      <c r="RSP240" s="146"/>
      <c r="RSQ240" s="146"/>
      <c r="RSR240" s="146"/>
      <c r="RSS240" s="146"/>
      <c r="RST240" s="146"/>
      <c r="RSU240" s="146"/>
      <c r="RSV240" s="146"/>
      <c r="RSW240" s="146"/>
      <c r="RSX240" s="146"/>
      <c r="RSY240" s="146"/>
      <c r="RSZ240" s="146"/>
      <c r="RTA240" s="146"/>
      <c r="RTB240" s="146"/>
      <c r="RTC240" s="146"/>
      <c r="RTD240" s="146"/>
      <c r="RTE240" s="146"/>
      <c r="RTF240" s="146"/>
      <c r="RTG240" s="146"/>
      <c r="RTH240" s="146"/>
      <c r="RTI240" s="146"/>
      <c r="RTJ240" s="146"/>
      <c r="RTK240" s="146"/>
      <c r="RTL240" s="146"/>
      <c r="RTM240" s="146"/>
      <c r="RTN240" s="146"/>
      <c r="RTO240" s="146"/>
      <c r="RTP240" s="146"/>
      <c r="RTQ240" s="146"/>
      <c r="RTR240" s="146"/>
      <c r="RTS240" s="146"/>
      <c r="RTT240" s="146"/>
      <c r="RTU240" s="146"/>
      <c r="RTV240" s="146"/>
      <c r="RTW240" s="146"/>
      <c r="RTX240" s="146"/>
      <c r="RTY240" s="146"/>
      <c r="RTZ240" s="146"/>
      <c r="RUA240" s="146"/>
      <c r="RUB240" s="146"/>
      <c r="RUC240" s="146"/>
      <c r="RUD240" s="146"/>
      <c r="RUE240" s="146"/>
      <c r="RUF240" s="146"/>
      <c r="RUG240" s="146"/>
      <c r="RUH240" s="146"/>
      <c r="RUI240" s="146"/>
      <c r="RUJ240" s="146"/>
      <c r="RUK240" s="146"/>
      <c r="RUL240" s="146"/>
      <c r="RUM240" s="146"/>
      <c r="RUN240" s="146"/>
      <c r="RUO240" s="146"/>
      <c r="RUP240" s="146"/>
      <c r="RUQ240" s="146"/>
      <c r="RUR240" s="146"/>
      <c r="RUS240" s="146"/>
      <c r="RUT240" s="146"/>
      <c r="RUU240" s="146"/>
      <c r="RUV240" s="146"/>
      <c r="RUW240" s="146"/>
      <c r="RUX240" s="146"/>
      <c r="RUY240" s="146"/>
      <c r="RUZ240" s="146"/>
      <c r="RVA240" s="146"/>
      <c r="RVB240" s="146"/>
      <c r="RVC240" s="146"/>
      <c r="RVD240" s="146"/>
      <c r="RVE240" s="146"/>
      <c r="RVF240" s="146"/>
      <c r="RVG240" s="146"/>
      <c r="RVH240" s="146"/>
      <c r="RVI240" s="146"/>
      <c r="RVJ240" s="146"/>
      <c r="RVK240" s="146"/>
      <c r="RVL240" s="146"/>
      <c r="RVM240" s="146"/>
      <c r="RVN240" s="146"/>
      <c r="RVO240" s="146"/>
      <c r="RVP240" s="146"/>
      <c r="RVQ240" s="146"/>
      <c r="RVR240" s="146"/>
      <c r="RVS240" s="146"/>
      <c r="RVT240" s="146"/>
      <c r="RVU240" s="146"/>
      <c r="RVV240" s="146"/>
      <c r="RVW240" s="146"/>
      <c r="RVX240" s="146"/>
      <c r="RVY240" s="146"/>
      <c r="RVZ240" s="146"/>
      <c r="RWA240" s="146"/>
      <c r="RWB240" s="146"/>
      <c r="RWC240" s="146"/>
      <c r="RWD240" s="146"/>
      <c r="RWE240" s="146"/>
      <c r="RWF240" s="146"/>
      <c r="RWG240" s="146"/>
      <c r="RWH240" s="146"/>
      <c r="RWI240" s="146"/>
      <c r="RWJ240" s="146"/>
      <c r="RWK240" s="146"/>
      <c r="RWL240" s="146"/>
      <c r="RWM240" s="146"/>
      <c r="RWN240" s="146"/>
      <c r="RWO240" s="146"/>
      <c r="RWP240" s="146"/>
      <c r="RWQ240" s="146"/>
      <c r="RWR240" s="146"/>
      <c r="RWS240" s="146"/>
      <c r="RWT240" s="146"/>
      <c r="RWU240" s="146"/>
      <c r="RWV240" s="146"/>
      <c r="RWW240" s="146"/>
      <c r="RWX240" s="146"/>
      <c r="RWY240" s="146"/>
      <c r="RWZ240" s="146"/>
      <c r="RXA240" s="146"/>
      <c r="RXB240" s="146"/>
      <c r="RXC240" s="146"/>
      <c r="RXD240" s="146"/>
      <c r="RXE240" s="146"/>
      <c r="RXF240" s="146"/>
      <c r="RXG240" s="146"/>
      <c r="RXH240" s="146"/>
      <c r="RXI240" s="146"/>
      <c r="RXJ240" s="146"/>
      <c r="RXK240" s="146"/>
      <c r="RXL240" s="146"/>
      <c r="RXM240" s="146"/>
      <c r="RXN240" s="146"/>
      <c r="RXO240" s="146"/>
      <c r="RXP240" s="146"/>
      <c r="RXQ240" s="146"/>
      <c r="RXR240" s="146"/>
      <c r="RXS240" s="146"/>
      <c r="RXT240" s="146"/>
      <c r="RXU240" s="146"/>
      <c r="RXV240" s="146"/>
      <c r="RXW240" s="146"/>
      <c r="RXX240" s="146"/>
      <c r="RXY240" s="146"/>
      <c r="RXZ240" s="146"/>
      <c r="RYA240" s="146"/>
      <c r="RYB240" s="146"/>
      <c r="RYC240" s="146"/>
      <c r="RYD240" s="146"/>
      <c r="RYE240" s="146"/>
      <c r="RYF240" s="146"/>
      <c r="RYG240" s="146"/>
      <c r="RYH240" s="146"/>
      <c r="RYI240" s="146"/>
      <c r="RYJ240" s="146"/>
      <c r="RYK240" s="146"/>
      <c r="RYL240" s="146"/>
      <c r="RYM240" s="146"/>
      <c r="RYN240" s="146"/>
      <c r="RYO240" s="146"/>
      <c r="RYP240" s="146"/>
      <c r="RYQ240" s="146"/>
      <c r="RYR240" s="146"/>
      <c r="RYS240" s="146"/>
      <c r="RYT240" s="146"/>
      <c r="RYU240" s="146"/>
      <c r="RYV240" s="146"/>
      <c r="RYW240" s="146"/>
      <c r="RYX240" s="146"/>
      <c r="RYY240" s="146"/>
      <c r="RYZ240" s="146"/>
      <c r="RZA240" s="146"/>
      <c r="RZB240" s="146"/>
      <c r="RZC240" s="146"/>
      <c r="RZD240" s="146"/>
      <c r="RZE240" s="146"/>
      <c r="RZF240" s="146"/>
      <c r="RZG240" s="146"/>
      <c r="RZH240" s="146"/>
      <c r="RZI240" s="146"/>
      <c r="RZJ240" s="146"/>
      <c r="RZK240" s="146"/>
      <c r="RZL240" s="146"/>
      <c r="RZM240" s="146"/>
      <c r="RZN240" s="146"/>
      <c r="RZO240" s="146"/>
      <c r="RZP240" s="146"/>
      <c r="RZQ240" s="146"/>
      <c r="RZR240" s="146"/>
      <c r="RZS240" s="146"/>
      <c r="RZT240" s="146"/>
      <c r="RZU240" s="146"/>
      <c r="RZV240" s="146"/>
      <c r="RZW240" s="146"/>
      <c r="RZX240" s="146"/>
      <c r="RZY240" s="146"/>
      <c r="RZZ240" s="146"/>
      <c r="SAA240" s="146"/>
      <c r="SAB240" s="146"/>
      <c r="SAC240" s="146"/>
      <c r="SAD240" s="146"/>
      <c r="SAE240" s="146"/>
      <c r="SAF240" s="146"/>
      <c r="SAG240" s="146"/>
      <c r="SAH240" s="146"/>
      <c r="SAI240" s="146"/>
      <c r="SAJ240" s="146"/>
      <c r="SAK240" s="146"/>
      <c r="SAL240" s="146"/>
      <c r="SAM240" s="146"/>
      <c r="SAN240" s="146"/>
      <c r="SAO240" s="146"/>
      <c r="SAP240" s="146"/>
      <c r="SAQ240" s="146"/>
      <c r="SAR240" s="146"/>
      <c r="SAS240" s="146"/>
      <c r="SAT240" s="146"/>
      <c r="SAU240" s="146"/>
      <c r="SAV240" s="146"/>
      <c r="SAW240" s="146"/>
      <c r="SAX240" s="146"/>
      <c r="SAY240" s="146"/>
      <c r="SAZ240" s="146"/>
      <c r="SBA240" s="146"/>
      <c r="SBB240" s="146"/>
      <c r="SBC240" s="146"/>
      <c r="SBD240" s="146"/>
      <c r="SBE240" s="146"/>
      <c r="SBF240" s="146"/>
      <c r="SBG240" s="146"/>
      <c r="SBH240" s="146"/>
      <c r="SBI240" s="146"/>
      <c r="SBJ240" s="146"/>
      <c r="SBK240" s="146"/>
      <c r="SBL240" s="146"/>
      <c r="SBM240" s="146"/>
      <c r="SBN240" s="146"/>
      <c r="SBO240" s="146"/>
      <c r="SBP240" s="146"/>
      <c r="SBQ240" s="146"/>
      <c r="SBR240" s="146"/>
      <c r="SBS240" s="146"/>
      <c r="SBT240" s="146"/>
      <c r="SBU240" s="146"/>
      <c r="SBV240" s="146"/>
      <c r="SBW240" s="146"/>
      <c r="SBX240" s="146"/>
      <c r="SBY240" s="146"/>
      <c r="SBZ240" s="146"/>
      <c r="SCA240" s="146"/>
      <c r="SCB240" s="146"/>
      <c r="SCC240" s="146"/>
      <c r="SCD240" s="146"/>
      <c r="SCE240" s="146"/>
      <c r="SCF240" s="146"/>
      <c r="SCG240" s="146"/>
      <c r="SCH240" s="146"/>
      <c r="SCI240" s="146"/>
      <c r="SCJ240" s="146"/>
      <c r="SCK240" s="146"/>
      <c r="SCL240" s="146"/>
      <c r="SCM240" s="146"/>
      <c r="SCN240" s="146"/>
      <c r="SCO240" s="146"/>
      <c r="SCP240" s="146"/>
      <c r="SCQ240" s="146"/>
      <c r="SCR240" s="146"/>
      <c r="SCS240" s="146"/>
      <c r="SCT240" s="146"/>
      <c r="SCU240" s="146"/>
      <c r="SCV240" s="146"/>
      <c r="SCW240" s="146"/>
      <c r="SCX240" s="146"/>
      <c r="SCY240" s="146"/>
      <c r="SCZ240" s="146"/>
      <c r="SDA240" s="146"/>
      <c r="SDB240" s="146"/>
      <c r="SDC240" s="146"/>
      <c r="SDD240" s="146"/>
      <c r="SDE240" s="146"/>
      <c r="SDF240" s="146"/>
      <c r="SDG240" s="146"/>
      <c r="SDH240" s="146"/>
      <c r="SDI240" s="146"/>
      <c r="SDJ240" s="146"/>
      <c r="SDK240" s="146"/>
      <c r="SDL240" s="146"/>
      <c r="SDM240" s="146"/>
      <c r="SDN240" s="146"/>
      <c r="SDO240" s="146"/>
      <c r="SDP240" s="146"/>
      <c r="SDQ240" s="146"/>
      <c r="SDR240" s="146"/>
      <c r="SDS240" s="146"/>
      <c r="SDT240" s="146"/>
      <c r="SDU240" s="146"/>
      <c r="SDV240" s="146"/>
      <c r="SDW240" s="146"/>
      <c r="SDX240" s="146"/>
      <c r="SDY240" s="146"/>
      <c r="SDZ240" s="146"/>
      <c r="SEA240" s="146"/>
      <c r="SEB240" s="146"/>
      <c r="SEC240" s="146"/>
      <c r="SED240" s="146"/>
      <c r="SEE240" s="146"/>
      <c r="SEF240" s="146"/>
      <c r="SEG240" s="146"/>
      <c r="SEH240" s="146"/>
      <c r="SEI240" s="146"/>
      <c r="SEJ240" s="146"/>
      <c r="SEK240" s="146"/>
      <c r="SEL240" s="146"/>
      <c r="SEM240" s="146"/>
      <c r="SEN240" s="146"/>
      <c r="SEO240" s="146"/>
      <c r="SEP240" s="146"/>
      <c r="SEQ240" s="146"/>
      <c r="SER240" s="146"/>
      <c r="SES240" s="146"/>
      <c r="SET240" s="146"/>
      <c r="SEU240" s="146"/>
      <c r="SEV240" s="146"/>
      <c r="SEW240" s="146"/>
      <c r="SEX240" s="146"/>
      <c r="SEY240" s="146"/>
      <c r="SEZ240" s="146"/>
      <c r="SFA240" s="146"/>
      <c r="SFB240" s="146"/>
      <c r="SFC240" s="146"/>
      <c r="SFD240" s="146"/>
      <c r="SFE240" s="146"/>
      <c r="SFF240" s="146"/>
      <c r="SFG240" s="146"/>
      <c r="SFH240" s="146"/>
      <c r="SFI240" s="146"/>
      <c r="SFJ240" s="146"/>
      <c r="SFK240" s="146"/>
      <c r="SFL240" s="146"/>
      <c r="SFM240" s="146"/>
      <c r="SFN240" s="146"/>
      <c r="SFO240" s="146"/>
      <c r="SFP240" s="146"/>
      <c r="SFQ240" s="146"/>
      <c r="SFR240" s="146"/>
      <c r="SFS240" s="146"/>
      <c r="SFT240" s="146"/>
      <c r="SFU240" s="146"/>
      <c r="SFV240" s="146"/>
      <c r="SFW240" s="146"/>
      <c r="SFX240" s="146"/>
      <c r="SFY240" s="146"/>
      <c r="SFZ240" s="146"/>
      <c r="SGA240" s="146"/>
      <c r="SGB240" s="146"/>
      <c r="SGC240" s="146"/>
      <c r="SGD240" s="146"/>
      <c r="SGE240" s="146"/>
      <c r="SGF240" s="146"/>
      <c r="SGG240" s="146"/>
      <c r="SGH240" s="146"/>
      <c r="SGI240" s="146"/>
      <c r="SGJ240" s="146"/>
      <c r="SGK240" s="146"/>
      <c r="SGL240" s="146"/>
      <c r="SGM240" s="146"/>
      <c r="SGN240" s="146"/>
      <c r="SGO240" s="146"/>
      <c r="SGP240" s="146"/>
      <c r="SGQ240" s="146"/>
      <c r="SGR240" s="146"/>
      <c r="SGS240" s="146"/>
      <c r="SGT240" s="146"/>
      <c r="SGU240" s="146"/>
      <c r="SGV240" s="146"/>
      <c r="SGW240" s="146"/>
      <c r="SGX240" s="146"/>
      <c r="SGY240" s="146"/>
      <c r="SGZ240" s="146"/>
      <c r="SHA240" s="146"/>
      <c r="SHB240" s="146"/>
      <c r="SHC240" s="146"/>
      <c r="SHD240" s="146"/>
      <c r="SHE240" s="146"/>
      <c r="SHF240" s="146"/>
      <c r="SHG240" s="146"/>
      <c r="SHH240" s="146"/>
      <c r="SHI240" s="146"/>
      <c r="SHJ240" s="146"/>
      <c r="SHK240" s="146"/>
      <c r="SHL240" s="146"/>
      <c r="SHM240" s="146"/>
      <c r="SHN240" s="146"/>
      <c r="SHO240" s="146"/>
      <c r="SHP240" s="146"/>
      <c r="SHQ240" s="146"/>
      <c r="SHR240" s="146"/>
      <c r="SHS240" s="146"/>
      <c r="SHT240" s="146"/>
      <c r="SHU240" s="146"/>
      <c r="SHV240" s="146"/>
      <c r="SHW240" s="146"/>
      <c r="SHX240" s="146"/>
      <c r="SHY240" s="146"/>
      <c r="SHZ240" s="146"/>
      <c r="SIA240" s="146"/>
      <c r="SIB240" s="146"/>
      <c r="SIC240" s="146"/>
      <c r="SID240" s="146"/>
      <c r="SIE240" s="146"/>
      <c r="SIF240" s="146"/>
      <c r="SIG240" s="146"/>
      <c r="SIH240" s="146"/>
      <c r="SII240" s="146"/>
      <c r="SIJ240" s="146"/>
      <c r="SIK240" s="146"/>
      <c r="SIL240" s="146"/>
      <c r="SIM240" s="146"/>
      <c r="SIN240" s="146"/>
      <c r="SIO240" s="146"/>
      <c r="SIP240" s="146"/>
      <c r="SIQ240" s="146"/>
      <c r="SIR240" s="146"/>
      <c r="SIS240" s="146"/>
      <c r="SIT240" s="146"/>
      <c r="SIU240" s="146"/>
      <c r="SIV240" s="146"/>
      <c r="SIW240" s="146"/>
      <c r="SIX240" s="146"/>
      <c r="SIY240" s="146"/>
      <c r="SIZ240" s="146"/>
      <c r="SJA240" s="146"/>
      <c r="SJB240" s="146"/>
      <c r="SJC240" s="146"/>
      <c r="SJD240" s="146"/>
      <c r="SJE240" s="146"/>
      <c r="SJF240" s="146"/>
      <c r="SJG240" s="146"/>
      <c r="SJH240" s="146"/>
      <c r="SJI240" s="146"/>
      <c r="SJJ240" s="146"/>
      <c r="SJK240" s="146"/>
      <c r="SJL240" s="146"/>
      <c r="SJM240" s="146"/>
      <c r="SJN240" s="146"/>
      <c r="SJO240" s="146"/>
      <c r="SJP240" s="146"/>
      <c r="SJQ240" s="146"/>
      <c r="SJR240" s="146"/>
      <c r="SJS240" s="146"/>
      <c r="SJT240" s="146"/>
      <c r="SJU240" s="146"/>
      <c r="SJV240" s="146"/>
      <c r="SJW240" s="146"/>
      <c r="SJX240" s="146"/>
      <c r="SJY240" s="146"/>
      <c r="SJZ240" s="146"/>
      <c r="SKA240" s="146"/>
      <c r="SKB240" s="146"/>
      <c r="SKC240" s="146"/>
      <c r="SKD240" s="146"/>
      <c r="SKE240" s="146"/>
      <c r="SKF240" s="146"/>
      <c r="SKG240" s="146"/>
      <c r="SKH240" s="146"/>
      <c r="SKI240" s="146"/>
      <c r="SKJ240" s="146"/>
      <c r="SKK240" s="146"/>
      <c r="SKL240" s="146"/>
      <c r="SKM240" s="146"/>
      <c r="SKN240" s="146"/>
      <c r="SKO240" s="146"/>
      <c r="SKP240" s="146"/>
      <c r="SKQ240" s="146"/>
      <c r="SKR240" s="146"/>
      <c r="SKS240" s="146"/>
      <c r="SKT240" s="146"/>
      <c r="SKU240" s="146"/>
      <c r="SKV240" s="146"/>
      <c r="SKW240" s="146"/>
      <c r="SKX240" s="146"/>
      <c r="SKY240" s="146"/>
      <c r="SKZ240" s="146"/>
      <c r="SLA240" s="146"/>
      <c r="SLB240" s="146"/>
      <c r="SLC240" s="146"/>
      <c r="SLD240" s="146"/>
      <c r="SLE240" s="146"/>
      <c r="SLF240" s="146"/>
      <c r="SLG240" s="146"/>
      <c r="SLH240" s="146"/>
      <c r="SLI240" s="146"/>
      <c r="SLJ240" s="146"/>
      <c r="SLK240" s="146"/>
      <c r="SLL240" s="146"/>
      <c r="SLM240" s="146"/>
      <c r="SLN240" s="146"/>
      <c r="SLO240" s="146"/>
      <c r="SLP240" s="146"/>
      <c r="SLQ240" s="146"/>
      <c r="SLR240" s="146"/>
      <c r="SLS240" s="146"/>
      <c r="SLT240" s="146"/>
      <c r="SLU240" s="146"/>
      <c r="SLV240" s="146"/>
      <c r="SLW240" s="146"/>
      <c r="SLX240" s="146"/>
      <c r="SLY240" s="146"/>
      <c r="SLZ240" s="146"/>
      <c r="SMA240" s="146"/>
      <c r="SMB240" s="146"/>
      <c r="SMC240" s="146"/>
      <c r="SMD240" s="146"/>
      <c r="SME240" s="146"/>
      <c r="SMF240" s="146"/>
      <c r="SMG240" s="146"/>
      <c r="SMH240" s="146"/>
      <c r="SMI240" s="146"/>
      <c r="SMJ240" s="146"/>
      <c r="SMK240" s="146"/>
      <c r="SML240" s="146"/>
      <c r="SMM240" s="146"/>
      <c r="SMN240" s="146"/>
      <c r="SMO240" s="146"/>
      <c r="SMP240" s="146"/>
      <c r="SMQ240" s="146"/>
      <c r="SMR240" s="146"/>
      <c r="SMS240" s="146"/>
      <c r="SMT240" s="146"/>
      <c r="SMU240" s="146"/>
      <c r="SMV240" s="146"/>
      <c r="SMW240" s="146"/>
      <c r="SMX240" s="146"/>
      <c r="SMY240" s="146"/>
      <c r="SMZ240" s="146"/>
      <c r="SNA240" s="146"/>
      <c r="SNB240" s="146"/>
      <c r="SNC240" s="146"/>
      <c r="SND240" s="146"/>
      <c r="SNE240" s="146"/>
      <c r="SNF240" s="146"/>
      <c r="SNG240" s="146"/>
      <c r="SNH240" s="146"/>
      <c r="SNI240" s="146"/>
      <c r="SNJ240" s="146"/>
      <c r="SNK240" s="146"/>
      <c r="SNL240" s="146"/>
      <c r="SNM240" s="146"/>
      <c r="SNN240" s="146"/>
      <c r="SNO240" s="146"/>
      <c r="SNP240" s="146"/>
      <c r="SNQ240" s="146"/>
      <c r="SNR240" s="146"/>
      <c r="SNS240" s="146"/>
      <c r="SNT240" s="146"/>
      <c r="SNU240" s="146"/>
      <c r="SNV240" s="146"/>
      <c r="SNW240" s="146"/>
      <c r="SNX240" s="146"/>
      <c r="SNY240" s="146"/>
      <c r="SNZ240" s="146"/>
      <c r="SOA240" s="146"/>
      <c r="SOB240" s="146"/>
      <c r="SOC240" s="146"/>
      <c r="SOD240" s="146"/>
      <c r="SOE240" s="146"/>
      <c r="SOF240" s="146"/>
      <c r="SOG240" s="146"/>
      <c r="SOH240" s="146"/>
      <c r="SOI240" s="146"/>
      <c r="SOJ240" s="146"/>
      <c r="SOK240" s="146"/>
      <c r="SOL240" s="146"/>
      <c r="SOM240" s="146"/>
      <c r="SON240" s="146"/>
      <c r="SOO240" s="146"/>
      <c r="SOP240" s="146"/>
      <c r="SOQ240" s="146"/>
      <c r="SOR240" s="146"/>
      <c r="SOS240" s="146"/>
      <c r="SOT240" s="146"/>
      <c r="SOU240" s="146"/>
      <c r="SOV240" s="146"/>
      <c r="SOW240" s="146"/>
      <c r="SOX240" s="146"/>
      <c r="SOY240" s="146"/>
      <c r="SOZ240" s="146"/>
      <c r="SPA240" s="146"/>
      <c r="SPB240" s="146"/>
      <c r="SPC240" s="146"/>
      <c r="SPD240" s="146"/>
      <c r="SPE240" s="146"/>
      <c r="SPF240" s="146"/>
      <c r="SPG240" s="146"/>
      <c r="SPH240" s="146"/>
      <c r="SPI240" s="146"/>
      <c r="SPJ240" s="146"/>
      <c r="SPK240" s="146"/>
      <c r="SPL240" s="146"/>
      <c r="SPM240" s="146"/>
      <c r="SPN240" s="146"/>
      <c r="SPO240" s="146"/>
      <c r="SPP240" s="146"/>
      <c r="SPQ240" s="146"/>
      <c r="SPR240" s="146"/>
      <c r="SPS240" s="146"/>
      <c r="SPT240" s="146"/>
      <c r="SPU240" s="146"/>
      <c r="SPV240" s="146"/>
      <c r="SPW240" s="146"/>
      <c r="SPX240" s="146"/>
      <c r="SPY240" s="146"/>
      <c r="SPZ240" s="146"/>
      <c r="SQA240" s="146"/>
      <c r="SQB240" s="146"/>
      <c r="SQC240" s="146"/>
      <c r="SQD240" s="146"/>
      <c r="SQE240" s="146"/>
      <c r="SQF240" s="146"/>
      <c r="SQG240" s="146"/>
      <c r="SQH240" s="146"/>
      <c r="SQI240" s="146"/>
      <c r="SQJ240" s="146"/>
      <c r="SQK240" s="146"/>
      <c r="SQL240" s="146"/>
      <c r="SQM240" s="146"/>
      <c r="SQN240" s="146"/>
      <c r="SQO240" s="146"/>
      <c r="SQP240" s="146"/>
      <c r="SQQ240" s="146"/>
      <c r="SQR240" s="146"/>
      <c r="SQS240" s="146"/>
      <c r="SQT240" s="146"/>
      <c r="SQU240" s="146"/>
      <c r="SQV240" s="146"/>
      <c r="SQW240" s="146"/>
      <c r="SQX240" s="146"/>
      <c r="SQY240" s="146"/>
      <c r="SQZ240" s="146"/>
      <c r="SRA240" s="146"/>
      <c r="SRB240" s="146"/>
      <c r="SRC240" s="146"/>
      <c r="SRD240" s="146"/>
      <c r="SRE240" s="146"/>
      <c r="SRF240" s="146"/>
      <c r="SRG240" s="146"/>
      <c r="SRH240" s="146"/>
      <c r="SRI240" s="146"/>
      <c r="SRJ240" s="146"/>
      <c r="SRK240" s="146"/>
      <c r="SRL240" s="146"/>
      <c r="SRM240" s="146"/>
      <c r="SRN240" s="146"/>
      <c r="SRO240" s="146"/>
      <c r="SRP240" s="146"/>
      <c r="SRQ240" s="146"/>
      <c r="SRR240" s="146"/>
      <c r="SRS240" s="146"/>
      <c r="SRT240" s="146"/>
      <c r="SRU240" s="146"/>
      <c r="SRV240" s="146"/>
      <c r="SRW240" s="146"/>
      <c r="SRX240" s="146"/>
      <c r="SRY240" s="146"/>
      <c r="SRZ240" s="146"/>
      <c r="SSA240" s="146"/>
      <c r="SSB240" s="146"/>
      <c r="SSC240" s="146"/>
      <c r="SSD240" s="146"/>
      <c r="SSE240" s="146"/>
      <c r="SSF240" s="146"/>
      <c r="SSG240" s="146"/>
      <c r="SSH240" s="146"/>
      <c r="SSI240" s="146"/>
      <c r="SSJ240" s="146"/>
      <c r="SSK240" s="146"/>
      <c r="SSL240" s="146"/>
      <c r="SSM240" s="146"/>
      <c r="SSN240" s="146"/>
      <c r="SSO240" s="146"/>
      <c r="SSP240" s="146"/>
      <c r="SSQ240" s="146"/>
      <c r="SSR240" s="146"/>
      <c r="SSS240" s="146"/>
      <c r="SST240" s="146"/>
      <c r="SSU240" s="146"/>
      <c r="SSV240" s="146"/>
      <c r="SSW240" s="146"/>
      <c r="SSX240" s="146"/>
      <c r="SSY240" s="146"/>
      <c r="SSZ240" s="146"/>
      <c r="STA240" s="146"/>
      <c r="STB240" s="146"/>
      <c r="STC240" s="146"/>
      <c r="STD240" s="146"/>
      <c r="STE240" s="146"/>
      <c r="STF240" s="146"/>
      <c r="STG240" s="146"/>
      <c r="STH240" s="146"/>
      <c r="STI240" s="146"/>
      <c r="STJ240" s="146"/>
      <c r="STK240" s="146"/>
      <c r="STL240" s="146"/>
      <c r="STM240" s="146"/>
      <c r="STN240" s="146"/>
      <c r="STO240" s="146"/>
      <c r="STP240" s="146"/>
      <c r="STQ240" s="146"/>
      <c r="STR240" s="146"/>
      <c r="STS240" s="146"/>
      <c r="STT240" s="146"/>
      <c r="STU240" s="146"/>
      <c r="STV240" s="146"/>
      <c r="STW240" s="146"/>
      <c r="STX240" s="146"/>
      <c r="STY240" s="146"/>
      <c r="STZ240" s="146"/>
      <c r="SUA240" s="146"/>
      <c r="SUB240" s="146"/>
      <c r="SUC240" s="146"/>
      <c r="SUD240" s="146"/>
      <c r="SUE240" s="146"/>
      <c r="SUF240" s="146"/>
      <c r="SUG240" s="146"/>
      <c r="SUH240" s="146"/>
      <c r="SUI240" s="146"/>
      <c r="SUJ240" s="146"/>
      <c r="SUK240" s="146"/>
      <c r="SUL240" s="146"/>
      <c r="SUM240" s="146"/>
      <c r="SUN240" s="146"/>
      <c r="SUO240" s="146"/>
      <c r="SUP240" s="146"/>
      <c r="SUQ240" s="146"/>
      <c r="SUR240" s="146"/>
      <c r="SUS240" s="146"/>
      <c r="SUT240" s="146"/>
      <c r="SUU240" s="146"/>
      <c r="SUV240" s="146"/>
      <c r="SUW240" s="146"/>
      <c r="SUX240" s="146"/>
      <c r="SUY240" s="146"/>
      <c r="SUZ240" s="146"/>
      <c r="SVA240" s="146"/>
      <c r="SVB240" s="146"/>
      <c r="SVC240" s="146"/>
      <c r="SVD240" s="146"/>
      <c r="SVE240" s="146"/>
      <c r="SVF240" s="146"/>
      <c r="SVG240" s="146"/>
      <c r="SVH240" s="146"/>
      <c r="SVI240" s="146"/>
      <c r="SVJ240" s="146"/>
      <c r="SVK240" s="146"/>
      <c r="SVL240" s="146"/>
      <c r="SVM240" s="146"/>
      <c r="SVN240" s="146"/>
      <c r="SVO240" s="146"/>
      <c r="SVP240" s="146"/>
      <c r="SVQ240" s="146"/>
      <c r="SVR240" s="146"/>
      <c r="SVS240" s="146"/>
      <c r="SVT240" s="146"/>
      <c r="SVU240" s="146"/>
      <c r="SVV240" s="146"/>
      <c r="SVW240" s="146"/>
      <c r="SVX240" s="146"/>
      <c r="SVY240" s="146"/>
      <c r="SVZ240" s="146"/>
      <c r="SWA240" s="146"/>
      <c r="SWB240" s="146"/>
      <c r="SWC240" s="146"/>
      <c r="SWD240" s="146"/>
      <c r="SWE240" s="146"/>
      <c r="SWF240" s="146"/>
      <c r="SWG240" s="146"/>
      <c r="SWH240" s="146"/>
      <c r="SWI240" s="146"/>
      <c r="SWJ240" s="146"/>
      <c r="SWK240" s="146"/>
      <c r="SWL240" s="146"/>
      <c r="SWM240" s="146"/>
      <c r="SWN240" s="146"/>
      <c r="SWO240" s="146"/>
      <c r="SWP240" s="146"/>
      <c r="SWQ240" s="146"/>
      <c r="SWR240" s="146"/>
      <c r="SWS240" s="146"/>
      <c r="SWT240" s="146"/>
      <c r="SWU240" s="146"/>
      <c r="SWV240" s="146"/>
      <c r="SWW240" s="146"/>
      <c r="SWX240" s="146"/>
      <c r="SWY240" s="146"/>
      <c r="SWZ240" s="146"/>
      <c r="SXA240" s="146"/>
      <c r="SXB240" s="146"/>
      <c r="SXC240" s="146"/>
      <c r="SXD240" s="146"/>
      <c r="SXE240" s="146"/>
      <c r="SXF240" s="146"/>
      <c r="SXG240" s="146"/>
      <c r="SXH240" s="146"/>
      <c r="SXI240" s="146"/>
      <c r="SXJ240" s="146"/>
      <c r="SXK240" s="146"/>
      <c r="SXL240" s="146"/>
      <c r="SXM240" s="146"/>
      <c r="SXN240" s="146"/>
      <c r="SXO240" s="146"/>
      <c r="SXP240" s="146"/>
      <c r="SXQ240" s="146"/>
      <c r="SXR240" s="146"/>
      <c r="SXS240" s="146"/>
      <c r="SXT240" s="146"/>
      <c r="SXU240" s="146"/>
      <c r="SXV240" s="146"/>
      <c r="SXW240" s="146"/>
      <c r="SXX240" s="146"/>
      <c r="SXY240" s="146"/>
      <c r="SXZ240" s="146"/>
      <c r="SYA240" s="146"/>
      <c r="SYB240" s="146"/>
      <c r="SYC240" s="146"/>
      <c r="SYD240" s="146"/>
      <c r="SYE240" s="146"/>
      <c r="SYF240" s="146"/>
      <c r="SYG240" s="146"/>
      <c r="SYH240" s="146"/>
      <c r="SYI240" s="146"/>
      <c r="SYJ240" s="146"/>
      <c r="SYK240" s="146"/>
      <c r="SYL240" s="146"/>
      <c r="SYM240" s="146"/>
      <c r="SYN240" s="146"/>
      <c r="SYO240" s="146"/>
      <c r="SYP240" s="146"/>
      <c r="SYQ240" s="146"/>
      <c r="SYR240" s="146"/>
      <c r="SYS240" s="146"/>
      <c r="SYT240" s="146"/>
      <c r="SYU240" s="146"/>
      <c r="SYV240" s="146"/>
      <c r="SYW240" s="146"/>
      <c r="SYX240" s="146"/>
      <c r="SYY240" s="146"/>
      <c r="SYZ240" s="146"/>
      <c r="SZA240" s="146"/>
      <c r="SZB240" s="146"/>
      <c r="SZC240" s="146"/>
      <c r="SZD240" s="146"/>
      <c r="SZE240" s="146"/>
      <c r="SZF240" s="146"/>
      <c r="SZG240" s="146"/>
      <c r="SZH240" s="146"/>
      <c r="SZI240" s="146"/>
      <c r="SZJ240" s="146"/>
      <c r="SZK240" s="146"/>
      <c r="SZL240" s="146"/>
      <c r="SZM240" s="146"/>
      <c r="SZN240" s="146"/>
      <c r="SZO240" s="146"/>
      <c r="SZP240" s="146"/>
      <c r="SZQ240" s="146"/>
      <c r="SZR240" s="146"/>
      <c r="SZS240" s="146"/>
      <c r="SZT240" s="146"/>
      <c r="SZU240" s="146"/>
      <c r="SZV240" s="146"/>
      <c r="SZW240" s="146"/>
      <c r="SZX240" s="146"/>
      <c r="SZY240" s="146"/>
      <c r="SZZ240" s="146"/>
      <c r="TAA240" s="146"/>
      <c r="TAB240" s="146"/>
      <c r="TAC240" s="146"/>
      <c r="TAD240" s="146"/>
      <c r="TAE240" s="146"/>
      <c r="TAF240" s="146"/>
      <c r="TAG240" s="146"/>
      <c r="TAH240" s="146"/>
      <c r="TAI240" s="146"/>
      <c r="TAJ240" s="146"/>
      <c r="TAK240" s="146"/>
      <c r="TAL240" s="146"/>
      <c r="TAM240" s="146"/>
      <c r="TAN240" s="146"/>
      <c r="TAO240" s="146"/>
      <c r="TAP240" s="146"/>
      <c r="TAQ240" s="146"/>
      <c r="TAR240" s="146"/>
      <c r="TAS240" s="146"/>
      <c r="TAT240" s="146"/>
      <c r="TAU240" s="146"/>
      <c r="TAV240" s="146"/>
      <c r="TAW240" s="146"/>
      <c r="TAX240" s="146"/>
      <c r="TAY240" s="146"/>
      <c r="TAZ240" s="146"/>
      <c r="TBA240" s="146"/>
      <c r="TBB240" s="146"/>
      <c r="TBC240" s="146"/>
      <c r="TBD240" s="146"/>
      <c r="TBE240" s="146"/>
      <c r="TBF240" s="146"/>
      <c r="TBG240" s="146"/>
      <c r="TBH240" s="146"/>
      <c r="TBI240" s="146"/>
      <c r="TBJ240" s="146"/>
      <c r="TBK240" s="146"/>
      <c r="TBL240" s="146"/>
      <c r="TBM240" s="146"/>
      <c r="TBN240" s="146"/>
      <c r="TBO240" s="146"/>
      <c r="TBP240" s="146"/>
      <c r="TBQ240" s="146"/>
      <c r="TBR240" s="146"/>
      <c r="TBS240" s="146"/>
      <c r="TBT240" s="146"/>
      <c r="TBU240" s="146"/>
      <c r="TBV240" s="146"/>
      <c r="TBW240" s="146"/>
      <c r="TBX240" s="146"/>
      <c r="TBY240" s="146"/>
      <c r="TBZ240" s="146"/>
      <c r="TCA240" s="146"/>
      <c r="TCB240" s="146"/>
      <c r="TCC240" s="146"/>
      <c r="TCD240" s="146"/>
      <c r="TCE240" s="146"/>
      <c r="TCF240" s="146"/>
      <c r="TCG240" s="146"/>
      <c r="TCH240" s="146"/>
      <c r="TCI240" s="146"/>
      <c r="TCJ240" s="146"/>
      <c r="TCK240" s="146"/>
      <c r="TCL240" s="146"/>
      <c r="TCM240" s="146"/>
      <c r="TCN240" s="146"/>
      <c r="TCO240" s="146"/>
      <c r="TCP240" s="146"/>
      <c r="TCQ240" s="146"/>
      <c r="TCR240" s="146"/>
      <c r="TCS240" s="146"/>
      <c r="TCT240" s="146"/>
      <c r="TCU240" s="146"/>
      <c r="TCV240" s="146"/>
      <c r="TCW240" s="146"/>
      <c r="TCX240" s="146"/>
      <c r="TCY240" s="146"/>
      <c r="TCZ240" s="146"/>
      <c r="TDA240" s="146"/>
      <c r="TDB240" s="146"/>
      <c r="TDC240" s="146"/>
      <c r="TDD240" s="146"/>
      <c r="TDE240" s="146"/>
      <c r="TDF240" s="146"/>
      <c r="TDG240" s="146"/>
      <c r="TDH240" s="146"/>
      <c r="TDI240" s="146"/>
      <c r="TDJ240" s="146"/>
      <c r="TDK240" s="146"/>
      <c r="TDL240" s="146"/>
      <c r="TDM240" s="146"/>
      <c r="TDN240" s="146"/>
      <c r="TDO240" s="146"/>
      <c r="TDP240" s="146"/>
      <c r="TDQ240" s="146"/>
      <c r="TDR240" s="146"/>
      <c r="TDS240" s="146"/>
      <c r="TDT240" s="146"/>
      <c r="TDU240" s="146"/>
      <c r="TDV240" s="146"/>
      <c r="TDW240" s="146"/>
      <c r="TDX240" s="146"/>
      <c r="TDY240" s="146"/>
      <c r="TDZ240" s="146"/>
      <c r="TEA240" s="146"/>
      <c r="TEB240" s="146"/>
      <c r="TEC240" s="146"/>
      <c r="TED240" s="146"/>
      <c r="TEE240" s="146"/>
      <c r="TEF240" s="146"/>
      <c r="TEG240" s="146"/>
      <c r="TEH240" s="146"/>
      <c r="TEI240" s="146"/>
      <c r="TEJ240" s="146"/>
      <c r="TEK240" s="146"/>
      <c r="TEL240" s="146"/>
      <c r="TEM240" s="146"/>
      <c r="TEN240" s="146"/>
      <c r="TEO240" s="146"/>
      <c r="TEP240" s="146"/>
      <c r="TEQ240" s="146"/>
      <c r="TER240" s="146"/>
      <c r="TES240" s="146"/>
      <c r="TET240" s="146"/>
      <c r="TEU240" s="146"/>
      <c r="TEV240" s="146"/>
      <c r="TEW240" s="146"/>
      <c r="TEX240" s="146"/>
      <c r="TEY240" s="146"/>
      <c r="TEZ240" s="146"/>
      <c r="TFA240" s="146"/>
      <c r="TFB240" s="146"/>
      <c r="TFC240" s="146"/>
      <c r="TFD240" s="146"/>
      <c r="TFE240" s="146"/>
      <c r="TFF240" s="146"/>
      <c r="TFG240" s="146"/>
      <c r="TFH240" s="146"/>
      <c r="TFI240" s="146"/>
      <c r="TFJ240" s="146"/>
      <c r="TFK240" s="146"/>
      <c r="TFL240" s="146"/>
      <c r="TFM240" s="146"/>
      <c r="TFN240" s="146"/>
      <c r="TFO240" s="146"/>
      <c r="TFP240" s="146"/>
      <c r="TFQ240" s="146"/>
      <c r="TFR240" s="146"/>
      <c r="TFS240" s="146"/>
      <c r="TFT240" s="146"/>
      <c r="TFU240" s="146"/>
      <c r="TFV240" s="146"/>
      <c r="TFW240" s="146"/>
      <c r="TFX240" s="146"/>
      <c r="TFY240" s="146"/>
      <c r="TFZ240" s="146"/>
      <c r="TGA240" s="146"/>
      <c r="TGB240" s="146"/>
      <c r="TGC240" s="146"/>
      <c r="TGD240" s="146"/>
      <c r="TGE240" s="146"/>
      <c r="TGF240" s="146"/>
      <c r="TGG240" s="146"/>
      <c r="TGH240" s="146"/>
      <c r="TGI240" s="146"/>
      <c r="TGJ240" s="146"/>
      <c r="TGK240" s="146"/>
      <c r="TGL240" s="146"/>
      <c r="TGM240" s="146"/>
      <c r="TGN240" s="146"/>
      <c r="TGO240" s="146"/>
      <c r="TGP240" s="146"/>
      <c r="TGQ240" s="146"/>
      <c r="TGR240" s="146"/>
      <c r="TGS240" s="146"/>
      <c r="TGT240" s="146"/>
      <c r="TGU240" s="146"/>
      <c r="TGV240" s="146"/>
      <c r="TGW240" s="146"/>
      <c r="TGX240" s="146"/>
      <c r="TGY240" s="146"/>
      <c r="TGZ240" s="146"/>
      <c r="THA240" s="146"/>
      <c r="THB240" s="146"/>
      <c r="THC240" s="146"/>
      <c r="THD240" s="146"/>
      <c r="THE240" s="146"/>
      <c r="THF240" s="146"/>
      <c r="THG240" s="146"/>
      <c r="THH240" s="146"/>
      <c r="THI240" s="146"/>
      <c r="THJ240" s="146"/>
      <c r="THK240" s="146"/>
      <c r="THL240" s="146"/>
      <c r="THM240" s="146"/>
      <c r="THN240" s="146"/>
      <c r="THO240" s="146"/>
      <c r="THP240" s="146"/>
      <c r="THQ240" s="146"/>
      <c r="THR240" s="146"/>
      <c r="THS240" s="146"/>
      <c r="THT240" s="146"/>
      <c r="THU240" s="146"/>
      <c r="THV240" s="146"/>
      <c r="THW240" s="146"/>
      <c r="THX240" s="146"/>
      <c r="THY240" s="146"/>
      <c r="THZ240" s="146"/>
      <c r="TIA240" s="146"/>
      <c r="TIB240" s="146"/>
      <c r="TIC240" s="146"/>
      <c r="TID240" s="146"/>
      <c r="TIE240" s="146"/>
      <c r="TIF240" s="146"/>
      <c r="TIG240" s="146"/>
      <c r="TIH240" s="146"/>
      <c r="TII240" s="146"/>
      <c r="TIJ240" s="146"/>
      <c r="TIK240" s="146"/>
      <c r="TIL240" s="146"/>
      <c r="TIM240" s="146"/>
      <c r="TIN240" s="146"/>
      <c r="TIO240" s="146"/>
      <c r="TIP240" s="146"/>
      <c r="TIQ240" s="146"/>
      <c r="TIR240" s="146"/>
      <c r="TIS240" s="146"/>
      <c r="TIT240" s="146"/>
      <c r="TIU240" s="146"/>
      <c r="TIV240" s="146"/>
      <c r="TIW240" s="146"/>
      <c r="TIX240" s="146"/>
      <c r="TIY240" s="146"/>
      <c r="TIZ240" s="146"/>
      <c r="TJA240" s="146"/>
      <c r="TJB240" s="146"/>
      <c r="TJC240" s="146"/>
      <c r="TJD240" s="146"/>
      <c r="TJE240" s="146"/>
      <c r="TJF240" s="146"/>
      <c r="TJG240" s="146"/>
      <c r="TJH240" s="146"/>
      <c r="TJI240" s="146"/>
      <c r="TJJ240" s="146"/>
      <c r="TJK240" s="146"/>
      <c r="TJL240" s="146"/>
      <c r="TJM240" s="146"/>
      <c r="TJN240" s="146"/>
      <c r="TJO240" s="146"/>
      <c r="TJP240" s="146"/>
      <c r="TJQ240" s="146"/>
      <c r="TJR240" s="146"/>
      <c r="TJS240" s="146"/>
      <c r="TJT240" s="146"/>
      <c r="TJU240" s="146"/>
      <c r="TJV240" s="146"/>
      <c r="TJW240" s="146"/>
      <c r="TJX240" s="146"/>
      <c r="TJY240" s="146"/>
      <c r="TJZ240" s="146"/>
      <c r="TKA240" s="146"/>
      <c r="TKB240" s="146"/>
      <c r="TKC240" s="146"/>
      <c r="TKD240" s="146"/>
      <c r="TKE240" s="146"/>
      <c r="TKF240" s="146"/>
      <c r="TKG240" s="146"/>
      <c r="TKH240" s="146"/>
      <c r="TKI240" s="146"/>
      <c r="TKJ240" s="146"/>
      <c r="TKK240" s="146"/>
      <c r="TKL240" s="146"/>
      <c r="TKM240" s="146"/>
      <c r="TKN240" s="146"/>
      <c r="TKO240" s="146"/>
      <c r="TKP240" s="146"/>
      <c r="TKQ240" s="146"/>
      <c r="TKR240" s="146"/>
      <c r="TKS240" s="146"/>
      <c r="TKT240" s="146"/>
      <c r="TKU240" s="146"/>
      <c r="TKV240" s="146"/>
      <c r="TKW240" s="146"/>
      <c r="TKX240" s="146"/>
      <c r="TKY240" s="146"/>
      <c r="TKZ240" s="146"/>
      <c r="TLA240" s="146"/>
      <c r="TLB240" s="146"/>
      <c r="TLC240" s="146"/>
      <c r="TLD240" s="146"/>
      <c r="TLE240" s="146"/>
      <c r="TLF240" s="146"/>
      <c r="TLG240" s="146"/>
      <c r="TLH240" s="146"/>
      <c r="TLI240" s="146"/>
      <c r="TLJ240" s="146"/>
      <c r="TLK240" s="146"/>
      <c r="TLL240" s="146"/>
      <c r="TLM240" s="146"/>
      <c r="TLN240" s="146"/>
      <c r="TLO240" s="146"/>
      <c r="TLP240" s="146"/>
      <c r="TLQ240" s="146"/>
      <c r="TLR240" s="146"/>
      <c r="TLS240" s="146"/>
      <c r="TLT240" s="146"/>
      <c r="TLU240" s="146"/>
      <c r="TLV240" s="146"/>
      <c r="TLW240" s="146"/>
      <c r="TLX240" s="146"/>
      <c r="TLY240" s="146"/>
      <c r="TLZ240" s="146"/>
      <c r="TMA240" s="146"/>
      <c r="TMB240" s="146"/>
      <c r="TMC240" s="146"/>
      <c r="TMD240" s="146"/>
      <c r="TME240" s="146"/>
      <c r="TMF240" s="146"/>
      <c r="TMG240" s="146"/>
      <c r="TMH240" s="146"/>
      <c r="TMI240" s="146"/>
      <c r="TMJ240" s="146"/>
      <c r="TMK240" s="146"/>
      <c r="TML240" s="146"/>
      <c r="TMM240" s="146"/>
      <c r="TMN240" s="146"/>
      <c r="TMO240" s="146"/>
      <c r="TMP240" s="146"/>
      <c r="TMQ240" s="146"/>
      <c r="TMR240" s="146"/>
      <c r="TMS240" s="146"/>
      <c r="TMT240" s="146"/>
      <c r="TMU240" s="146"/>
      <c r="TMV240" s="146"/>
      <c r="TMW240" s="146"/>
      <c r="TMX240" s="146"/>
      <c r="TMY240" s="146"/>
      <c r="TMZ240" s="146"/>
      <c r="TNA240" s="146"/>
      <c r="TNB240" s="146"/>
      <c r="TNC240" s="146"/>
      <c r="TND240" s="146"/>
      <c r="TNE240" s="146"/>
      <c r="TNF240" s="146"/>
      <c r="TNG240" s="146"/>
      <c r="TNH240" s="146"/>
      <c r="TNI240" s="146"/>
      <c r="TNJ240" s="146"/>
      <c r="TNK240" s="146"/>
      <c r="TNL240" s="146"/>
      <c r="TNM240" s="146"/>
      <c r="TNN240" s="146"/>
      <c r="TNO240" s="146"/>
      <c r="TNP240" s="146"/>
      <c r="TNQ240" s="146"/>
      <c r="TNR240" s="146"/>
      <c r="TNS240" s="146"/>
      <c r="TNT240" s="146"/>
      <c r="TNU240" s="146"/>
      <c r="TNV240" s="146"/>
      <c r="TNW240" s="146"/>
      <c r="TNX240" s="146"/>
      <c r="TNY240" s="146"/>
      <c r="TNZ240" s="146"/>
      <c r="TOA240" s="146"/>
      <c r="TOB240" s="146"/>
      <c r="TOC240" s="146"/>
      <c r="TOD240" s="146"/>
      <c r="TOE240" s="146"/>
      <c r="TOF240" s="146"/>
      <c r="TOG240" s="146"/>
      <c r="TOH240" s="146"/>
      <c r="TOI240" s="146"/>
      <c r="TOJ240" s="146"/>
      <c r="TOK240" s="146"/>
      <c r="TOL240" s="146"/>
      <c r="TOM240" s="146"/>
      <c r="TON240" s="146"/>
      <c r="TOO240" s="146"/>
      <c r="TOP240" s="146"/>
      <c r="TOQ240" s="146"/>
      <c r="TOR240" s="146"/>
      <c r="TOS240" s="146"/>
      <c r="TOT240" s="146"/>
      <c r="TOU240" s="146"/>
      <c r="TOV240" s="146"/>
      <c r="TOW240" s="146"/>
      <c r="TOX240" s="146"/>
      <c r="TOY240" s="146"/>
      <c r="TOZ240" s="146"/>
      <c r="TPA240" s="146"/>
      <c r="TPB240" s="146"/>
      <c r="TPC240" s="146"/>
      <c r="TPD240" s="146"/>
      <c r="TPE240" s="146"/>
      <c r="TPF240" s="146"/>
      <c r="TPG240" s="146"/>
      <c r="TPH240" s="146"/>
      <c r="TPI240" s="146"/>
      <c r="TPJ240" s="146"/>
      <c r="TPK240" s="146"/>
      <c r="TPL240" s="146"/>
      <c r="TPM240" s="146"/>
      <c r="TPN240" s="146"/>
      <c r="TPO240" s="146"/>
      <c r="TPP240" s="146"/>
      <c r="TPQ240" s="146"/>
      <c r="TPR240" s="146"/>
      <c r="TPS240" s="146"/>
      <c r="TPT240" s="146"/>
      <c r="TPU240" s="146"/>
      <c r="TPV240" s="146"/>
      <c r="TPW240" s="146"/>
      <c r="TPX240" s="146"/>
      <c r="TPY240" s="146"/>
      <c r="TPZ240" s="146"/>
      <c r="TQA240" s="146"/>
      <c r="TQB240" s="146"/>
      <c r="TQC240" s="146"/>
      <c r="TQD240" s="146"/>
      <c r="TQE240" s="146"/>
      <c r="TQF240" s="146"/>
      <c r="TQG240" s="146"/>
      <c r="TQH240" s="146"/>
      <c r="TQI240" s="146"/>
      <c r="TQJ240" s="146"/>
      <c r="TQK240" s="146"/>
      <c r="TQL240" s="146"/>
      <c r="TQM240" s="146"/>
      <c r="TQN240" s="146"/>
      <c r="TQO240" s="146"/>
      <c r="TQP240" s="146"/>
      <c r="TQQ240" s="146"/>
      <c r="TQR240" s="146"/>
      <c r="TQS240" s="146"/>
      <c r="TQT240" s="146"/>
      <c r="TQU240" s="146"/>
      <c r="TQV240" s="146"/>
      <c r="TQW240" s="146"/>
      <c r="TQX240" s="146"/>
      <c r="TQY240" s="146"/>
      <c r="TQZ240" s="146"/>
      <c r="TRA240" s="146"/>
      <c r="TRB240" s="146"/>
      <c r="TRC240" s="146"/>
      <c r="TRD240" s="146"/>
      <c r="TRE240" s="146"/>
      <c r="TRF240" s="146"/>
      <c r="TRG240" s="146"/>
      <c r="TRH240" s="146"/>
      <c r="TRI240" s="146"/>
      <c r="TRJ240" s="146"/>
      <c r="TRK240" s="146"/>
      <c r="TRL240" s="146"/>
      <c r="TRM240" s="146"/>
      <c r="TRN240" s="146"/>
      <c r="TRO240" s="146"/>
      <c r="TRP240" s="146"/>
      <c r="TRQ240" s="146"/>
      <c r="TRR240" s="146"/>
      <c r="TRS240" s="146"/>
      <c r="TRT240" s="146"/>
      <c r="TRU240" s="146"/>
      <c r="TRV240" s="146"/>
      <c r="TRW240" s="146"/>
      <c r="TRX240" s="146"/>
      <c r="TRY240" s="146"/>
      <c r="TRZ240" s="146"/>
      <c r="TSA240" s="146"/>
      <c r="TSB240" s="146"/>
      <c r="TSC240" s="146"/>
      <c r="TSD240" s="146"/>
      <c r="TSE240" s="146"/>
      <c r="TSF240" s="146"/>
      <c r="TSG240" s="146"/>
      <c r="TSH240" s="146"/>
      <c r="TSI240" s="146"/>
      <c r="TSJ240" s="146"/>
      <c r="TSK240" s="146"/>
      <c r="TSL240" s="146"/>
      <c r="TSM240" s="146"/>
      <c r="TSN240" s="146"/>
      <c r="TSO240" s="146"/>
      <c r="TSP240" s="146"/>
      <c r="TSQ240" s="146"/>
      <c r="TSR240" s="146"/>
      <c r="TSS240" s="146"/>
      <c r="TST240" s="146"/>
      <c r="TSU240" s="146"/>
      <c r="TSV240" s="146"/>
      <c r="TSW240" s="146"/>
      <c r="TSX240" s="146"/>
      <c r="TSY240" s="146"/>
      <c r="TSZ240" s="146"/>
      <c r="TTA240" s="146"/>
      <c r="TTB240" s="146"/>
      <c r="TTC240" s="146"/>
      <c r="TTD240" s="146"/>
      <c r="TTE240" s="146"/>
      <c r="TTF240" s="146"/>
      <c r="TTG240" s="146"/>
      <c r="TTH240" s="146"/>
      <c r="TTI240" s="146"/>
      <c r="TTJ240" s="146"/>
      <c r="TTK240" s="146"/>
      <c r="TTL240" s="146"/>
      <c r="TTM240" s="146"/>
      <c r="TTN240" s="146"/>
      <c r="TTO240" s="146"/>
      <c r="TTP240" s="146"/>
      <c r="TTQ240" s="146"/>
      <c r="TTR240" s="146"/>
      <c r="TTS240" s="146"/>
      <c r="TTT240" s="146"/>
      <c r="TTU240" s="146"/>
      <c r="TTV240" s="146"/>
      <c r="TTW240" s="146"/>
      <c r="TTX240" s="146"/>
      <c r="TTY240" s="146"/>
      <c r="TTZ240" s="146"/>
      <c r="TUA240" s="146"/>
      <c r="TUB240" s="146"/>
      <c r="TUC240" s="146"/>
      <c r="TUD240" s="146"/>
      <c r="TUE240" s="146"/>
      <c r="TUF240" s="146"/>
      <c r="TUG240" s="146"/>
      <c r="TUH240" s="146"/>
      <c r="TUI240" s="146"/>
      <c r="TUJ240" s="146"/>
      <c r="TUK240" s="146"/>
      <c r="TUL240" s="146"/>
      <c r="TUM240" s="146"/>
      <c r="TUN240" s="146"/>
      <c r="TUO240" s="146"/>
      <c r="TUP240" s="146"/>
      <c r="TUQ240" s="146"/>
      <c r="TUR240" s="146"/>
      <c r="TUS240" s="146"/>
      <c r="TUT240" s="146"/>
      <c r="TUU240" s="146"/>
      <c r="TUV240" s="146"/>
      <c r="TUW240" s="146"/>
      <c r="TUX240" s="146"/>
      <c r="TUY240" s="146"/>
      <c r="TUZ240" s="146"/>
      <c r="TVA240" s="146"/>
      <c r="TVB240" s="146"/>
      <c r="TVC240" s="146"/>
      <c r="TVD240" s="146"/>
      <c r="TVE240" s="146"/>
      <c r="TVF240" s="146"/>
      <c r="TVG240" s="146"/>
      <c r="TVH240" s="146"/>
      <c r="TVI240" s="146"/>
      <c r="TVJ240" s="146"/>
      <c r="TVK240" s="146"/>
      <c r="TVL240" s="146"/>
      <c r="TVM240" s="146"/>
      <c r="TVN240" s="146"/>
      <c r="TVO240" s="146"/>
      <c r="TVP240" s="146"/>
      <c r="TVQ240" s="146"/>
      <c r="TVR240" s="146"/>
      <c r="TVS240" s="146"/>
      <c r="TVT240" s="146"/>
      <c r="TVU240" s="146"/>
      <c r="TVV240" s="146"/>
      <c r="TVW240" s="146"/>
      <c r="TVX240" s="146"/>
      <c r="TVY240" s="146"/>
      <c r="TVZ240" s="146"/>
      <c r="TWA240" s="146"/>
      <c r="TWB240" s="146"/>
      <c r="TWC240" s="146"/>
      <c r="TWD240" s="146"/>
      <c r="TWE240" s="146"/>
      <c r="TWF240" s="146"/>
      <c r="TWG240" s="146"/>
      <c r="TWH240" s="146"/>
      <c r="TWI240" s="146"/>
      <c r="TWJ240" s="146"/>
      <c r="TWK240" s="146"/>
      <c r="TWL240" s="146"/>
      <c r="TWM240" s="146"/>
      <c r="TWN240" s="146"/>
      <c r="TWO240" s="146"/>
      <c r="TWP240" s="146"/>
      <c r="TWQ240" s="146"/>
      <c r="TWR240" s="146"/>
      <c r="TWS240" s="146"/>
      <c r="TWT240" s="146"/>
      <c r="TWU240" s="146"/>
      <c r="TWV240" s="146"/>
      <c r="TWW240" s="146"/>
      <c r="TWX240" s="146"/>
      <c r="TWY240" s="146"/>
      <c r="TWZ240" s="146"/>
      <c r="TXA240" s="146"/>
      <c r="TXB240" s="146"/>
      <c r="TXC240" s="146"/>
      <c r="TXD240" s="146"/>
      <c r="TXE240" s="146"/>
      <c r="TXF240" s="146"/>
      <c r="TXG240" s="146"/>
      <c r="TXH240" s="146"/>
      <c r="TXI240" s="146"/>
      <c r="TXJ240" s="146"/>
      <c r="TXK240" s="146"/>
      <c r="TXL240" s="146"/>
      <c r="TXM240" s="146"/>
      <c r="TXN240" s="146"/>
      <c r="TXO240" s="146"/>
      <c r="TXP240" s="146"/>
      <c r="TXQ240" s="146"/>
      <c r="TXR240" s="146"/>
      <c r="TXS240" s="146"/>
      <c r="TXT240" s="146"/>
      <c r="TXU240" s="146"/>
      <c r="TXV240" s="146"/>
      <c r="TXW240" s="146"/>
      <c r="TXX240" s="146"/>
      <c r="TXY240" s="146"/>
      <c r="TXZ240" s="146"/>
      <c r="TYA240" s="146"/>
      <c r="TYB240" s="146"/>
      <c r="TYC240" s="146"/>
      <c r="TYD240" s="146"/>
      <c r="TYE240" s="146"/>
      <c r="TYF240" s="146"/>
      <c r="TYG240" s="146"/>
      <c r="TYH240" s="146"/>
      <c r="TYI240" s="146"/>
      <c r="TYJ240" s="146"/>
      <c r="TYK240" s="146"/>
      <c r="TYL240" s="146"/>
      <c r="TYM240" s="146"/>
      <c r="TYN240" s="146"/>
      <c r="TYO240" s="146"/>
      <c r="TYP240" s="146"/>
      <c r="TYQ240" s="146"/>
      <c r="TYR240" s="146"/>
      <c r="TYS240" s="146"/>
      <c r="TYT240" s="146"/>
      <c r="TYU240" s="146"/>
      <c r="TYV240" s="146"/>
      <c r="TYW240" s="146"/>
      <c r="TYX240" s="146"/>
      <c r="TYY240" s="146"/>
      <c r="TYZ240" s="146"/>
      <c r="TZA240" s="146"/>
      <c r="TZB240" s="146"/>
      <c r="TZC240" s="146"/>
      <c r="TZD240" s="146"/>
      <c r="TZE240" s="146"/>
      <c r="TZF240" s="146"/>
      <c r="TZG240" s="146"/>
      <c r="TZH240" s="146"/>
      <c r="TZI240" s="146"/>
      <c r="TZJ240" s="146"/>
      <c r="TZK240" s="146"/>
      <c r="TZL240" s="146"/>
      <c r="TZM240" s="146"/>
      <c r="TZN240" s="146"/>
      <c r="TZO240" s="146"/>
      <c r="TZP240" s="146"/>
      <c r="TZQ240" s="146"/>
      <c r="TZR240" s="146"/>
      <c r="TZS240" s="146"/>
      <c r="TZT240" s="146"/>
      <c r="TZU240" s="146"/>
      <c r="TZV240" s="146"/>
      <c r="TZW240" s="146"/>
      <c r="TZX240" s="146"/>
      <c r="TZY240" s="146"/>
      <c r="TZZ240" s="146"/>
      <c r="UAA240" s="146"/>
      <c r="UAB240" s="146"/>
      <c r="UAC240" s="146"/>
      <c r="UAD240" s="146"/>
      <c r="UAE240" s="146"/>
      <c r="UAF240" s="146"/>
      <c r="UAG240" s="146"/>
      <c r="UAH240" s="146"/>
      <c r="UAI240" s="146"/>
      <c r="UAJ240" s="146"/>
      <c r="UAK240" s="146"/>
      <c r="UAL240" s="146"/>
      <c r="UAM240" s="146"/>
      <c r="UAN240" s="146"/>
      <c r="UAO240" s="146"/>
      <c r="UAP240" s="146"/>
      <c r="UAQ240" s="146"/>
      <c r="UAR240" s="146"/>
      <c r="UAS240" s="146"/>
      <c r="UAT240" s="146"/>
      <c r="UAU240" s="146"/>
      <c r="UAV240" s="146"/>
      <c r="UAW240" s="146"/>
      <c r="UAX240" s="146"/>
      <c r="UAY240" s="146"/>
      <c r="UAZ240" s="146"/>
      <c r="UBA240" s="146"/>
      <c r="UBB240" s="146"/>
      <c r="UBC240" s="146"/>
      <c r="UBD240" s="146"/>
      <c r="UBE240" s="146"/>
      <c r="UBF240" s="146"/>
      <c r="UBG240" s="146"/>
      <c r="UBH240" s="146"/>
      <c r="UBI240" s="146"/>
      <c r="UBJ240" s="146"/>
      <c r="UBK240" s="146"/>
      <c r="UBL240" s="146"/>
      <c r="UBM240" s="146"/>
      <c r="UBN240" s="146"/>
      <c r="UBO240" s="146"/>
      <c r="UBP240" s="146"/>
      <c r="UBQ240" s="146"/>
      <c r="UBR240" s="146"/>
      <c r="UBS240" s="146"/>
      <c r="UBT240" s="146"/>
      <c r="UBU240" s="146"/>
      <c r="UBV240" s="146"/>
      <c r="UBW240" s="146"/>
      <c r="UBX240" s="146"/>
      <c r="UBY240" s="146"/>
      <c r="UBZ240" s="146"/>
      <c r="UCA240" s="146"/>
      <c r="UCB240" s="146"/>
      <c r="UCC240" s="146"/>
      <c r="UCD240" s="146"/>
      <c r="UCE240" s="146"/>
      <c r="UCF240" s="146"/>
      <c r="UCG240" s="146"/>
      <c r="UCH240" s="146"/>
      <c r="UCI240" s="146"/>
      <c r="UCJ240" s="146"/>
      <c r="UCK240" s="146"/>
      <c r="UCL240" s="146"/>
      <c r="UCM240" s="146"/>
      <c r="UCN240" s="146"/>
      <c r="UCO240" s="146"/>
      <c r="UCP240" s="146"/>
      <c r="UCQ240" s="146"/>
      <c r="UCR240" s="146"/>
      <c r="UCS240" s="146"/>
      <c r="UCT240" s="146"/>
      <c r="UCU240" s="146"/>
      <c r="UCV240" s="146"/>
      <c r="UCW240" s="146"/>
      <c r="UCX240" s="146"/>
      <c r="UCY240" s="146"/>
      <c r="UCZ240" s="146"/>
      <c r="UDA240" s="146"/>
      <c r="UDB240" s="146"/>
      <c r="UDC240" s="146"/>
      <c r="UDD240" s="146"/>
      <c r="UDE240" s="146"/>
      <c r="UDF240" s="146"/>
      <c r="UDG240" s="146"/>
      <c r="UDH240" s="146"/>
      <c r="UDI240" s="146"/>
      <c r="UDJ240" s="146"/>
      <c r="UDK240" s="146"/>
      <c r="UDL240" s="146"/>
      <c r="UDM240" s="146"/>
      <c r="UDN240" s="146"/>
      <c r="UDO240" s="146"/>
      <c r="UDP240" s="146"/>
      <c r="UDQ240" s="146"/>
      <c r="UDR240" s="146"/>
      <c r="UDS240" s="146"/>
      <c r="UDT240" s="146"/>
      <c r="UDU240" s="146"/>
      <c r="UDV240" s="146"/>
      <c r="UDW240" s="146"/>
      <c r="UDX240" s="146"/>
      <c r="UDY240" s="146"/>
      <c r="UDZ240" s="146"/>
      <c r="UEA240" s="146"/>
      <c r="UEB240" s="146"/>
      <c r="UEC240" s="146"/>
      <c r="UED240" s="146"/>
      <c r="UEE240" s="146"/>
      <c r="UEF240" s="146"/>
      <c r="UEG240" s="146"/>
      <c r="UEH240" s="146"/>
      <c r="UEI240" s="146"/>
      <c r="UEJ240" s="146"/>
      <c r="UEK240" s="146"/>
      <c r="UEL240" s="146"/>
      <c r="UEM240" s="146"/>
      <c r="UEN240" s="146"/>
      <c r="UEO240" s="146"/>
      <c r="UEP240" s="146"/>
      <c r="UEQ240" s="146"/>
      <c r="UER240" s="146"/>
      <c r="UES240" s="146"/>
      <c r="UET240" s="146"/>
      <c r="UEU240" s="146"/>
      <c r="UEV240" s="146"/>
      <c r="UEW240" s="146"/>
      <c r="UEX240" s="146"/>
      <c r="UEY240" s="146"/>
      <c r="UEZ240" s="146"/>
      <c r="UFA240" s="146"/>
      <c r="UFB240" s="146"/>
      <c r="UFC240" s="146"/>
      <c r="UFD240" s="146"/>
      <c r="UFE240" s="146"/>
      <c r="UFF240" s="146"/>
      <c r="UFG240" s="146"/>
      <c r="UFH240" s="146"/>
      <c r="UFI240" s="146"/>
      <c r="UFJ240" s="146"/>
      <c r="UFK240" s="146"/>
      <c r="UFL240" s="146"/>
      <c r="UFM240" s="146"/>
      <c r="UFN240" s="146"/>
      <c r="UFO240" s="146"/>
      <c r="UFP240" s="146"/>
      <c r="UFQ240" s="146"/>
      <c r="UFR240" s="146"/>
      <c r="UFS240" s="146"/>
      <c r="UFT240" s="146"/>
      <c r="UFU240" s="146"/>
      <c r="UFV240" s="146"/>
      <c r="UFW240" s="146"/>
      <c r="UFX240" s="146"/>
      <c r="UFY240" s="146"/>
      <c r="UFZ240" s="146"/>
      <c r="UGA240" s="146"/>
      <c r="UGB240" s="146"/>
      <c r="UGC240" s="146"/>
      <c r="UGD240" s="146"/>
      <c r="UGE240" s="146"/>
      <c r="UGF240" s="146"/>
      <c r="UGG240" s="146"/>
      <c r="UGH240" s="146"/>
      <c r="UGI240" s="146"/>
      <c r="UGJ240" s="146"/>
      <c r="UGK240" s="146"/>
      <c r="UGL240" s="146"/>
      <c r="UGM240" s="146"/>
      <c r="UGN240" s="146"/>
      <c r="UGO240" s="146"/>
      <c r="UGP240" s="146"/>
      <c r="UGQ240" s="146"/>
      <c r="UGR240" s="146"/>
      <c r="UGS240" s="146"/>
      <c r="UGT240" s="146"/>
      <c r="UGU240" s="146"/>
      <c r="UGV240" s="146"/>
      <c r="UGW240" s="146"/>
      <c r="UGX240" s="146"/>
      <c r="UGY240" s="146"/>
      <c r="UGZ240" s="146"/>
      <c r="UHA240" s="146"/>
      <c r="UHB240" s="146"/>
      <c r="UHC240" s="146"/>
      <c r="UHD240" s="146"/>
      <c r="UHE240" s="146"/>
      <c r="UHF240" s="146"/>
      <c r="UHG240" s="146"/>
      <c r="UHH240" s="146"/>
      <c r="UHI240" s="146"/>
      <c r="UHJ240" s="146"/>
      <c r="UHK240" s="146"/>
      <c r="UHL240" s="146"/>
      <c r="UHM240" s="146"/>
      <c r="UHN240" s="146"/>
      <c r="UHO240" s="146"/>
      <c r="UHP240" s="146"/>
      <c r="UHQ240" s="146"/>
      <c r="UHR240" s="146"/>
      <c r="UHS240" s="146"/>
      <c r="UHT240" s="146"/>
      <c r="UHU240" s="146"/>
      <c r="UHV240" s="146"/>
      <c r="UHW240" s="146"/>
      <c r="UHX240" s="146"/>
      <c r="UHY240" s="146"/>
      <c r="UHZ240" s="146"/>
      <c r="UIA240" s="146"/>
      <c r="UIB240" s="146"/>
      <c r="UIC240" s="146"/>
      <c r="UID240" s="146"/>
      <c r="UIE240" s="146"/>
      <c r="UIF240" s="146"/>
      <c r="UIG240" s="146"/>
      <c r="UIH240" s="146"/>
      <c r="UII240" s="146"/>
      <c r="UIJ240" s="146"/>
      <c r="UIK240" s="146"/>
      <c r="UIL240" s="146"/>
      <c r="UIM240" s="146"/>
      <c r="UIN240" s="146"/>
      <c r="UIO240" s="146"/>
      <c r="UIP240" s="146"/>
      <c r="UIQ240" s="146"/>
      <c r="UIR240" s="146"/>
      <c r="UIS240" s="146"/>
      <c r="UIT240" s="146"/>
      <c r="UIU240" s="146"/>
      <c r="UIV240" s="146"/>
      <c r="UIW240" s="146"/>
      <c r="UIX240" s="146"/>
      <c r="UIY240" s="146"/>
      <c r="UIZ240" s="146"/>
      <c r="UJA240" s="146"/>
      <c r="UJB240" s="146"/>
      <c r="UJC240" s="146"/>
      <c r="UJD240" s="146"/>
      <c r="UJE240" s="146"/>
      <c r="UJF240" s="146"/>
      <c r="UJG240" s="146"/>
      <c r="UJH240" s="146"/>
      <c r="UJI240" s="146"/>
      <c r="UJJ240" s="146"/>
      <c r="UJK240" s="146"/>
      <c r="UJL240" s="146"/>
      <c r="UJM240" s="146"/>
      <c r="UJN240" s="146"/>
      <c r="UJO240" s="146"/>
      <c r="UJP240" s="146"/>
      <c r="UJQ240" s="146"/>
      <c r="UJR240" s="146"/>
      <c r="UJS240" s="146"/>
      <c r="UJT240" s="146"/>
      <c r="UJU240" s="146"/>
      <c r="UJV240" s="146"/>
      <c r="UJW240" s="146"/>
      <c r="UJX240" s="146"/>
      <c r="UJY240" s="146"/>
      <c r="UJZ240" s="146"/>
      <c r="UKA240" s="146"/>
      <c r="UKB240" s="146"/>
      <c r="UKC240" s="146"/>
      <c r="UKD240" s="146"/>
      <c r="UKE240" s="146"/>
      <c r="UKF240" s="146"/>
      <c r="UKG240" s="146"/>
      <c r="UKH240" s="146"/>
      <c r="UKI240" s="146"/>
      <c r="UKJ240" s="146"/>
      <c r="UKK240" s="146"/>
      <c r="UKL240" s="146"/>
      <c r="UKM240" s="146"/>
      <c r="UKN240" s="146"/>
      <c r="UKO240" s="146"/>
      <c r="UKP240" s="146"/>
      <c r="UKQ240" s="146"/>
      <c r="UKR240" s="146"/>
      <c r="UKS240" s="146"/>
      <c r="UKT240" s="146"/>
      <c r="UKU240" s="146"/>
      <c r="UKV240" s="146"/>
      <c r="UKW240" s="146"/>
      <c r="UKX240" s="146"/>
      <c r="UKY240" s="146"/>
      <c r="UKZ240" s="146"/>
      <c r="ULA240" s="146"/>
      <c r="ULB240" s="146"/>
      <c r="ULC240" s="146"/>
      <c r="ULD240" s="146"/>
      <c r="ULE240" s="146"/>
      <c r="ULF240" s="146"/>
      <c r="ULG240" s="146"/>
      <c r="ULH240" s="146"/>
      <c r="ULI240" s="146"/>
      <c r="ULJ240" s="146"/>
      <c r="ULK240" s="146"/>
      <c r="ULL240" s="146"/>
      <c r="ULM240" s="146"/>
      <c r="ULN240" s="146"/>
      <c r="ULO240" s="146"/>
      <c r="ULP240" s="146"/>
      <c r="ULQ240" s="146"/>
      <c r="ULR240" s="146"/>
      <c r="ULS240" s="146"/>
      <c r="ULT240" s="146"/>
      <c r="ULU240" s="146"/>
      <c r="ULV240" s="146"/>
      <c r="ULW240" s="146"/>
      <c r="ULX240" s="146"/>
      <c r="ULY240" s="146"/>
      <c r="ULZ240" s="146"/>
      <c r="UMA240" s="146"/>
      <c r="UMB240" s="146"/>
      <c r="UMC240" s="146"/>
      <c r="UMD240" s="146"/>
      <c r="UME240" s="146"/>
      <c r="UMF240" s="146"/>
      <c r="UMG240" s="146"/>
      <c r="UMH240" s="146"/>
      <c r="UMI240" s="146"/>
      <c r="UMJ240" s="146"/>
      <c r="UMK240" s="146"/>
      <c r="UML240" s="146"/>
      <c r="UMM240" s="146"/>
      <c r="UMN240" s="146"/>
      <c r="UMO240" s="146"/>
      <c r="UMP240" s="146"/>
      <c r="UMQ240" s="146"/>
      <c r="UMR240" s="146"/>
      <c r="UMS240" s="146"/>
      <c r="UMT240" s="146"/>
      <c r="UMU240" s="146"/>
      <c r="UMV240" s="146"/>
      <c r="UMW240" s="146"/>
      <c r="UMX240" s="146"/>
      <c r="UMY240" s="146"/>
      <c r="UMZ240" s="146"/>
      <c r="UNA240" s="146"/>
      <c r="UNB240" s="146"/>
      <c r="UNC240" s="146"/>
      <c r="UND240" s="146"/>
      <c r="UNE240" s="146"/>
      <c r="UNF240" s="146"/>
      <c r="UNG240" s="146"/>
      <c r="UNH240" s="146"/>
      <c r="UNI240" s="146"/>
      <c r="UNJ240" s="146"/>
      <c r="UNK240" s="146"/>
      <c r="UNL240" s="146"/>
      <c r="UNM240" s="146"/>
      <c r="UNN240" s="146"/>
      <c r="UNO240" s="146"/>
      <c r="UNP240" s="146"/>
      <c r="UNQ240" s="146"/>
      <c r="UNR240" s="146"/>
      <c r="UNS240" s="146"/>
      <c r="UNT240" s="146"/>
      <c r="UNU240" s="146"/>
      <c r="UNV240" s="146"/>
      <c r="UNW240" s="146"/>
      <c r="UNX240" s="146"/>
      <c r="UNY240" s="146"/>
      <c r="UNZ240" s="146"/>
      <c r="UOA240" s="146"/>
      <c r="UOB240" s="146"/>
      <c r="UOC240" s="146"/>
      <c r="UOD240" s="146"/>
      <c r="UOE240" s="146"/>
      <c r="UOF240" s="146"/>
      <c r="UOG240" s="146"/>
      <c r="UOH240" s="146"/>
      <c r="UOI240" s="146"/>
      <c r="UOJ240" s="146"/>
      <c r="UOK240" s="146"/>
      <c r="UOL240" s="146"/>
      <c r="UOM240" s="146"/>
      <c r="UON240" s="146"/>
      <c r="UOO240" s="146"/>
      <c r="UOP240" s="146"/>
      <c r="UOQ240" s="146"/>
      <c r="UOR240" s="146"/>
      <c r="UOS240" s="146"/>
      <c r="UOT240" s="146"/>
      <c r="UOU240" s="146"/>
      <c r="UOV240" s="146"/>
      <c r="UOW240" s="146"/>
      <c r="UOX240" s="146"/>
      <c r="UOY240" s="146"/>
      <c r="UOZ240" s="146"/>
      <c r="UPA240" s="146"/>
      <c r="UPB240" s="146"/>
      <c r="UPC240" s="146"/>
      <c r="UPD240" s="146"/>
      <c r="UPE240" s="146"/>
      <c r="UPF240" s="146"/>
      <c r="UPG240" s="146"/>
      <c r="UPH240" s="146"/>
      <c r="UPI240" s="146"/>
      <c r="UPJ240" s="146"/>
      <c r="UPK240" s="146"/>
      <c r="UPL240" s="146"/>
      <c r="UPM240" s="146"/>
      <c r="UPN240" s="146"/>
      <c r="UPO240" s="146"/>
      <c r="UPP240" s="146"/>
      <c r="UPQ240" s="146"/>
      <c r="UPR240" s="146"/>
      <c r="UPS240" s="146"/>
      <c r="UPT240" s="146"/>
      <c r="UPU240" s="146"/>
      <c r="UPV240" s="146"/>
      <c r="UPW240" s="146"/>
      <c r="UPX240" s="146"/>
      <c r="UPY240" s="146"/>
      <c r="UPZ240" s="146"/>
      <c r="UQA240" s="146"/>
      <c r="UQB240" s="146"/>
      <c r="UQC240" s="146"/>
      <c r="UQD240" s="146"/>
      <c r="UQE240" s="146"/>
      <c r="UQF240" s="146"/>
      <c r="UQG240" s="146"/>
      <c r="UQH240" s="146"/>
      <c r="UQI240" s="146"/>
      <c r="UQJ240" s="146"/>
      <c r="UQK240" s="146"/>
      <c r="UQL240" s="146"/>
      <c r="UQM240" s="146"/>
      <c r="UQN240" s="146"/>
      <c r="UQO240" s="146"/>
      <c r="UQP240" s="146"/>
      <c r="UQQ240" s="146"/>
      <c r="UQR240" s="146"/>
      <c r="UQS240" s="146"/>
      <c r="UQT240" s="146"/>
      <c r="UQU240" s="146"/>
      <c r="UQV240" s="146"/>
      <c r="UQW240" s="146"/>
      <c r="UQX240" s="146"/>
      <c r="UQY240" s="146"/>
      <c r="UQZ240" s="146"/>
      <c r="URA240" s="146"/>
      <c r="URB240" s="146"/>
      <c r="URC240" s="146"/>
      <c r="URD240" s="146"/>
      <c r="URE240" s="146"/>
      <c r="URF240" s="146"/>
      <c r="URG240" s="146"/>
      <c r="URH240" s="146"/>
      <c r="URI240" s="146"/>
      <c r="URJ240" s="146"/>
      <c r="URK240" s="146"/>
      <c r="URL240" s="146"/>
      <c r="URM240" s="146"/>
      <c r="URN240" s="146"/>
      <c r="URO240" s="146"/>
      <c r="URP240" s="146"/>
      <c r="URQ240" s="146"/>
      <c r="URR240" s="146"/>
      <c r="URS240" s="146"/>
      <c r="URT240" s="146"/>
      <c r="URU240" s="146"/>
      <c r="URV240" s="146"/>
      <c r="URW240" s="146"/>
      <c r="URX240" s="146"/>
      <c r="URY240" s="146"/>
      <c r="URZ240" s="146"/>
      <c r="USA240" s="146"/>
      <c r="USB240" s="146"/>
      <c r="USC240" s="146"/>
      <c r="USD240" s="146"/>
      <c r="USE240" s="146"/>
      <c r="USF240" s="146"/>
      <c r="USG240" s="146"/>
      <c r="USH240" s="146"/>
      <c r="USI240" s="146"/>
      <c r="USJ240" s="146"/>
      <c r="USK240" s="146"/>
      <c r="USL240" s="146"/>
      <c r="USM240" s="146"/>
      <c r="USN240" s="146"/>
      <c r="USO240" s="146"/>
      <c r="USP240" s="146"/>
      <c r="USQ240" s="146"/>
      <c r="USR240" s="146"/>
      <c r="USS240" s="146"/>
      <c r="UST240" s="146"/>
      <c r="USU240" s="146"/>
      <c r="USV240" s="146"/>
      <c r="USW240" s="146"/>
      <c r="USX240" s="146"/>
      <c r="USY240" s="146"/>
      <c r="USZ240" s="146"/>
      <c r="UTA240" s="146"/>
      <c r="UTB240" s="146"/>
      <c r="UTC240" s="146"/>
      <c r="UTD240" s="146"/>
      <c r="UTE240" s="146"/>
      <c r="UTF240" s="146"/>
      <c r="UTG240" s="146"/>
      <c r="UTH240" s="146"/>
      <c r="UTI240" s="146"/>
      <c r="UTJ240" s="146"/>
      <c r="UTK240" s="146"/>
      <c r="UTL240" s="146"/>
      <c r="UTM240" s="146"/>
      <c r="UTN240" s="146"/>
      <c r="UTO240" s="146"/>
      <c r="UTP240" s="146"/>
      <c r="UTQ240" s="146"/>
      <c r="UTR240" s="146"/>
      <c r="UTS240" s="146"/>
      <c r="UTT240" s="146"/>
      <c r="UTU240" s="146"/>
      <c r="UTV240" s="146"/>
      <c r="UTW240" s="146"/>
      <c r="UTX240" s="146"/>
      <c r="UTY240" s="146"/>
      <c r="UTZ240" s="146"/>
      <c r="UUA240" s="146"/>
      <c r="UUB240" s="146"/>
      <c r="UUC240" s="146"/>
      <c r="UUD240" s="146"/>
      <c r="UUE240" s="146"/>
      <c r="UUF240" s="146"/>
      <c r="UUG240" s="146"/>
      <c r="UUH240" s="146"/>
      <c r="UUI240" s="146"/>
      <c r="UUJ240" s="146"/>
      <c r="UUK240" s="146"/>
      <c r="UUL240" s="146"/>
      <c r="UUM240" s="146"/>
      <c r="UUN240" s="146"/>
      <c r="UUO240" s="146"/>
      <c r="UUP240" s="146"/>
      <c r="UUQ240" s="146"/>
      <c r="UUR240" s="146"/>
      <c r="UUS240" s="146"/>
      <c r="UUT240" s="146"/>
      <c r="UUU240" s="146"/>
      <c r="UUV240" s="146"/>
      <c r="UUW240" s="146"/>
      <c r="UUX240" s="146"/>
      <c r="UUY240" s="146"/>
      <c r="UUZ240" s="146"/>
      <c r="UVA240" s="146"/>
      <c r="UVB240" s="146"/>
      <c r="UVC240" s="146"/>
      <c r="UVD240" s="146"/>
      <c r="UVE240" s="146"/>
      <c r="UVF240" s="146"/>
      <c r="UVG240" s="146"/>
      <c r="UVH240" s="146"/>
      <c r="UVI240" s="146"/>
      <c r="UVJ240" s="146"/>
      <c r="UVK240" s="146"/>
      <c r="UVL240" s="146"/>
      <c r="UVM240" s="146"/>
      <c r="UVN240" s="146"/>
      <c r="UVO240" s="146"/>
      <c r="UVP240" s="146"/>
      <c r="UVQ240" s="146"/>
      <c r="UVR240" s="146"/>
      <c r="UVS240" s="146"/>
      <c r="UVT240" s="146"/>
      <c r="UVU240" s="146"/>
      <c r="UVV240" s="146"/>
      <c r="UVW240" s="146"/>
      <c r="UVX240" s="146"/>
      <c r="UVY240" s="146"/>
      <c r="UVZ240" s="146"/>
      <c r="UWA240" s="146"/>
      <c r="UWB240" s="146"/>
      <c r="UWC240" s="146"/>
      <c r="UWD240" s="146"/>
      <c r="UWE240" s="146"/>
      <c r="UWF240" s="146"/>
      <c r="UWG240" s="146"/>
      <c r="UWH240" s="146"/>
      <c r="UWI240" s="146"/>
      <c r="UWJ240" s="146"/>
      <c r="UWK240" s="146"/>
      <c r="UWL240" s="146"/>
      <c r="UWM240" s="146"/>
      <c r="UWN240" s="146"/>
      <c r="UWO240" s="146"/>
      <c r="UWP240" s="146"/>
      <c r="UWQ240" s="146"/>
      <c r="UWR240" s="146"/>
      <c r="UWS240" s="146"/>
      <c r="UWT240" s="146"/>
      <c r="UWU240" s="146"/>
      <c r="UWV240" s="146"/>
      <c r="UWW240" s="146"/>
      <c r="UWX240" s="146"/>
      <c r="UWY240" s="146"/>
      <c r="UWZ240" s="146"/>
      <c r="UXA240" s="146"/>
      <c r="UXB240" s="146"/>
      <c r="UXC240" s="146"/>
      <c r="UXD240" s="146"/>
      <c r="UXE240" s="146"/>
      <c r="UXF240" s="146"/>
      <c r="UXG240" s="146"/>
      <c r="UXH240" s="146"/>
      <c r="UXI240" s="146"/>
      <c r="UXJ240" s="146"/>
      <c r="UXK240" s="146"/>
      <c r="UXL240" s="146"/>
      <c r="UXM240" s="146"/>
      <c r="UXN240" s="146"/>
      <c r="UXO240" s="146"/>
      <c r="UXP240" s="146"/>
      <c r="UXQ240" s="146"/>
      <c r="UXR240" s="146"/>
      <c r="UXS240" s="146"/>
      <c r="UXT240" s="146"/>
      <c r="UXU240" s="146"/>
      <c r="UXV240" s="146"/>
      <c r="UXW240" s="146"/>
      <c r="UXX240" s="146"/>
      <c r="UXY240" s="146"/>
      <c r="UXZ240" s="146"/>
      <c r="UYA240" s="146"/>
      <c r="UYB240" s="146"/>
      <c r="UYC240" s="146"/>
      <c r="UYD240" s="146"/>
      <c r="UYE240" s="146"/>
      <c r="UYF240" s="146"/>
      <c r="UYG240" s="146"/>
      <c r="UYH240" s="146"/>
      <c r="UYI240" s="146"/>
      <c r="UYJ240" s="146"/>
      <c r="UYK240" s="146"/>
      <c r="UYL240" s="146"/>
      <c r="UYM240" s="146"/>
      <c r="UYN240" s="146"/>
      <c r="UYO240" s="146"/>
      <c r="UYP240" s="146"/>
      <c r="UYQ240" s="146"/>
      <c r="UYR240" s="146"/>
      <c r="UYS240" s="146"/>
      <c r="UYT240" s="146"/>
      <c r="UYU240" s="146"/>
      <c r="UYV240" s="146"/>
      <c r="UYW240" s="146"/>
      <c r="UYX240" s="146"/>
      <c r="UYY240" s="146"/>
      <c r="UYZ240" s="146"/>
      <c r="UZA240" s="146"/>
      <c r="UZB240" s="146"/>
      <c r="UZC240" s="146"/>
      <c r="UZD240" s="146"/>
      <c r="UZE240" s="146"/>
      <c r="UZF240" s="146"/>
      <c r="UZG240" s="146"/>
      <c r="UZH240" s="146"/>
      <c r="UZI240" s="146"/>
      <c r="UZJ240" s="146"/>
      <c r="UZK240" s="146"/>
      <c r="UZL240" s="146"/>
      <c r="UZM240" s="146"/>
      <c r="UZN240" s="146"/>
      <c r="UZO240" s="146"/>
      <c r="UZP240" s="146"/>
      <c r="UZQ240" s="146"/>
      <c r="UZR240" s="146"/>
      <c r="UZS240" s="146"/>
      <c r="UZT240" s="146"/>
      <c r="UZU240" s="146"/>
      <c r="UZV240" s="146"/>
      <c r="UZW240" s="146"/>
      <c r="UZX240" s="146"/>
      <c r="UZY240" s="146"/>
      <c r="UZZ240" s="146"/>
      <c r="VAA240" s="146"/>
      <c r="VAB240" s="146"/>
      <c r="VAC240" s="146"/>
      <c r="VAD240" s="146"/>
      <c r="VAE240" s="146"/>
      <c r="VAF240" s="146"/>
      <c r="VAG240" s="146"/>
      <c r="VAH240" s="146"/>
      <c r="VAI240" s="146"/>
      <c r="VAJ240" s="146"/>
      <c r="VAK240" s="146"/>
      <c r="VAL240" s="146"/>
      <c r="VAM240" s="146"/>
      <c r="VAN240" s="146"/>
      <c r="VAO240" s="146"/>
      <c r="VAP240" s="146"/>
      <c r="VAQ240" s="146"/>
      <c r="VAR240" s="146"/>
      <c r="VAS240" s="146"/>
      <c r="VAT240" s="146"/>
      <c r="VAU240" s="146"/>
      <c r="VAV240" s="146"/>
      <c r="VAW240" s="146"/>
      <c r="VAX240" s="146"/>
      <c r="VAY240" s="146"/>
      <c r="VAZ240" s="146"/>
      <c r="VBA240" s="146"/>
      <c r="VBB240" s="146"/>
      <c r="VBC240" s="146"/>
      <c r="VBD240" s="146"/>
      <c r="VBE240" s="146"/>
      <c r="VBF240" s="146"/>
      <c r="VBG240" s="146"/>
      <c r="VBH240" s="146"/>
      <c r="VBI240" s="146"/>
      <c r="VBJ240" s="146"/>
      <c r="VBK240" s="146"/>
      <c r="VBL240" s="146"/>
      <c r="VBM240" s="146"/>
      <c r="VBN240" s="146"/>
      <c r="VBO240" s="146"/>
      <c r="VBP240" s="146"/>
      <c r="VBQ240" s="146"/>
      <c r="VBR240" s="146"/>
      <c r="VBS240" s="146"/>
      <c r="VBT240" s="146"/>
      <c r="VBU240" s="146"/>
      <c r="VBV240" s="146"/>
      <c r="VBW240" s="146"/>
      <c r="VBX240" s="146"/>
      <c r="VBY240" s="146"/>
      <c r="VBZ240" s="146"/>
      <c r="VCA240" s="146"/>
      <c r="VCB240" s="146"/>
      <c r="VCC240" s="146"/>
      <c r="VCD240" s="146"/>
      <c r="VCE240" s="146"/>
      <c r="VCF240" s="146"/>
      <c r="VCG240" s="146"/>
      <c r="VCH240" s="146"/>
      <c r="VCI240" s="146"/>
      <c r="VCJ240" s="146"/>
      <c r="VCK240" s="146"/>
      <c r="VCL240" s="146"/>
      <c r="VCM240" s="146"/>
      <c r="VCN240" s="146"/>
      <c r="VCO240" s="146"/>
      <c r="VCP240" s="146"/>
      <c r="VCQ240" s="146"/>
      <c r="VCR240" s="146"/>
      <c r="VCS240" s="146"/>
      <c r="VCT240" s="146"/>
      <c r="VCU240" s="146"/>
      <c r="VCV240" s="146"/>
      <c r="VCW240" s="146"/>
      <c r="VCX240" s="146"/>
      <c r="VCY240" s="146"/>
      <c r="VCZ240" s="146"/>
      <c r="VDA240" s="146"/>
      <c r="VDB240" s="146"/>
      <c r="VDC240" s="146"/>
      <c r="VDD240" s="146"/>
      <c r="VDE240" s="146"/>
      <c r="VDF240" s="146"/>
      <c r="VDG240" s="146"/>
      <c r="VDH240" s="146"/>
      <c r="VDI240" s="146"/>
      <c r="VDJ240" s="146"/>
      <c r="VDK240" s="146"/>
      <c r="VDL240" s="146"/>
      <c r="VDM240" s="146"/>
      <c r="VDN240" s="146"/>
      <c r="VDO240" s="146"/>
      <c r="VDP240" s="146"/>
      <c r="VDQ240" s="146"/>
      <c r="VDR240" s="146"/>
      <c r="VDS240" s="146"/>
      <c r="VDT240" s="146"/>
      <c r="VDU240" s="146"/>
      <c r="VDV240" s="146"/>
      <c r="VDW240" s="146"/>
      <c r="VDX240" s="146"/>
      <c r="VDY240" s="146"/>
      <c r="VDZ240" s="146"/>
      <c r="VEA240" s="146"/>
      <c r="VEB240" s="146"/>
      <c r="VEC240" s="146"/>
      <c r="VED240" s="146"/>
      <c r="VEE240" s="146"/>
      <c r="VEF240" s="146"/>
      <c r="VEG240" s="146"/>
      <c r="VEH240" s="146"/>
      <c r="VEI240" s="146"/>
      <c r="VEJ240" s="146"/>
      <c r="VEK240" s="146"/>
      <c r="VEL240" s="146"/>
      <c r="VEM240" s="146"/>
      <c r="VEN240" s="146"/>
      <c r="VEO240" s="146"/>
      <c r="VEP240" s="146"/>
      <c r="VEQ240" s="146"/>
      <c r="VER240" s="146"/>
      <c r="VES240" s="146"/>
      <c r="VET240" s="146"/>
      <c r="VEU240" s="146"/>
      <c r="VEV240" s="146"/>
      <c r="VEW240" s="146"/>
      <c r="VEX240" s="146"/>
      <c r="VEY240" s="146"/>
      <c r="VEZ240" s="146"/>
      <c r="VFA240" s="146"/>
      <c r="VFB240" s="146"/>
      <c r="VFC240" s="146"/>
      <c r="VFD240" s="146"/>
      <c r="VFE240" s="146"/>
      <c r="VFF240" s="146"/>
      <c r="VFG240" s="146"/>
      <c r="VFH240" s="146"/>
      <c r="VFI240" s="146"/>
      <c r="VFJ240" s="146"/>
      <c r="VFK240" s="146"/>
      <c r="VFL240" s="146"/>
      <c r="VFM240" s="146"/>
      <c r="VFN240" s="146"/>
      <c r="VFO240" s="146"/>
      <c r="VFP240" s="146"/>
      <c r="VFQ240" s="146"/>
      <c r="VFR240" s="146"/>
      <c r="VFS240" s="146"/>
      <c r="VFT240" s="146"/>
      <c r="VFU240" s="146"/>
      <c r="VFV240" s="146"/>
      <c r="VFW240" s="146"/>
      <c r="VFX240" s="146"/>
      <c r="VFY240" s="146"/>
      <c r="VFZ240" s="146"/>
      <c r="VGA240" s="146"/>
      <c r="VGB240" s="146"/>
      <c r="VGC240" s="146"/>
      <c r="VGD240" s="146"/>
      <c r="VGE240" s="146"/>
      <c r="VGF240" s="146"/>
      <c r="VGG240" s="146"/>
      <c r="VGH240" s="146"/>
      <c r="VGI240" s="146"/>
      <c r="VGJ240" s="146"/>
      <c r="VGK240" s="146"/>
      <c r="VGL240" s="146"/>
      <c r="VGM240" s="146"/>
      <c r="VGN240" s="146"/>
      <c r="VGO240" s="146"/>
      <c r="VGP240" s="146"/>
      <c r="VGQ240" s="146"/>
      <c r="VGR240" s="146"/>
      <c r="VGS240" s="146"/>
      <c r="VGT240" s="146"/>
      <c r="VGU240" s="146"/>
      <c r="VGV240" s="146"/>
      <c r="VGW240" s="146"/>
      <c r="VGX240" s="146"/>
      <c r="VGY240" s="146"/>
      <c r="VGZ240" s="146"/>
      <c r="VHA240" s="146"/>
      <c r="VHB240" s="146"/>
      <c r="VHC240" s="146"/>
      <c r="VHD240" s="146"/>
      <c r="VHE240" s="146"/>
      <c r="VHF240" s="146"/>
      <c r="VHG240" s="146"/>
      <c r="VHH240" s="146"/>
      <c r="VHI240" s="146"/>
      <c r="VHJ240" s="146"/>
      <c r="VHK240" s="146"/>
      <c r="VHL240" s="146"/>
      <c r="VHM240" s="146"/>
      <c r="VHN240" s="146"/>
      <c r="VHO240" s="146"/>
      <c r="VHP240" s="146"/>
      <c r="VHQ240" s="146"/>
      <c r="VHR240" s="146"/>
      <c r="VHS240" s="146"/>
      <c r="VHT240" s="146"/>
      <c r="VHU240" s="146"/>
      <c r="VHV240" s="146"/>
      <c r="VHW240" s="146"/>
      <c r="VHX240" s="146"/>
      <c r="VHY240" s="146"/>
      <c r="VHZ240" s="146"/>
      <c r="VIA240" s="146"/>
      <c r="VIB240" s="146"/>
      <c r="VIC240" s="146"/>
      <c r="VID240" s="146"/>
      <c r="VIE240" s="146"/>
      <c r="VIF240" s="146"/>
      <c r="VIG240" s="146"/>
      <c r="VIH240" s="146"/>
      <c r="VII240" s="146"/>
      <c r="VIJ240" s="146"/>
      <c r="VIK240" s="146"/>
      <c r="VIL240" s="146"/>
      <c r="VIM240" s="146"/>
      <c r="VIN240" s="146"/>
      <c r="VIO240" s="146"/>
      <c r="VIP240" s="146"/>
      <c r="VIQ240" s="146"/>
      <c r="VIR240" s="146"/>
      <c r="VIS240" s="146"/>
      <c r="VIT240" s="146"/>
      <c r="VIU240" s="146"/>
      <c r="VIV240" s="146"/>
      <c r="VIW240" s="146"/>
      <c r="VIX240" s="146"/>
      <c r="VIY240" s="146"/>
      <c r="VIZ240" s="146"/>
      <c r="VJA240" s="146"/>
      <c r="VJB240" s="146"/>
      <c r="VJC240" s="146"/>
      <c r="VJD240" s="146"/>
      <c r="VJE240" s="146"/>
      <c r="VJF240" s="146"/>
      <c r="VJG240" s="146"/>
      <c r="VJH240" s="146"/>
      <c r="VJI240" s="146"/>
      <c r="VJJ240" s="146"/>
      <c r="VJK240" s="146"/>
      <c r="VJL240" s="146"/>
      <c r="VJM240" s="146"/>
      <c r="VJN240" s="146"/>
      <c r="VJO240" s="146"/>
      <c r="VJP240" s="146"/>
      <c r="VJQ240" s="146"/>
      <c r="VJR240" s="146"/>
      <c r="VJS240" s="146"/>
      <c r="VJT240" s="146"/>
      <c r="VJU240" s="146"/>
      <c r="VJV240" s="146"/>
      <c r="VJW240" s="146"/>
      <c r="VJX240" s="146"/>
      <c r="VJY240" s="146"/>
      <c r="VJZ240" s="146"/>
      <c r="VKA240" s="146"/>
      <c r="VKB240" s="146"/>
      <c r="VKC240" s="146"/>
      <c r="VKD240" s="146"/>
      <c r="VKE240" s="146"/>
      <c r="VKF240" s="146"/>
      <c r="VKG240" s="146"/>
      <c r="VKH240" s="146"/>
      <c r="VKI240" s="146"/>
      <c r="VKJ240" s="146"/>
      <c r="VKK240" s="146"/>
      <c r="VKL240" s="146"/>
      <c r="VKM240" s="146"/>
      <c r="VKN240" s="146"/>
      <c r="VKO240" s="146"/>
      <c r="VKP240" s="146"/>
      <c r="VKQ240" s="146"/>
      <c r="VKR240" s="146"/>
      <c r="VKS240" s="146"/>
      <c r="VKT240" s="146"/>
      <c r="VKU240" s="146"/>
      <c r="VKV240" s="146"/>
      <c r="VKW240" s="146"/>
      <c r="VKX240" s="146"/>
      <c r="VKY240" s="146"/>
      <c r="VKZ240" s="146"/>
      <c r="VLA240" s="146"/>
      <c r="VLB240" s="146"/>
      <c r="VLC240" s="146"/>
      <c r="VLD240" s="146"/>
      <c r="VLE240" s="146"/>
      <c r="VLF240" s="146"/>
      <c r="VLG240" s="146"/>
      <c r="VLH240" s="146"/>
      <c r="VLI240" s="146"/>
      <c r="VLJ240" s="146"/>
      <c r="VLK240" s="146"/>
      <c r="VLL240" s="146"/>
      <c r="VLM240" s="146"/>
      <c r="VLN240" s="146"/>
      <c r="VLO240" s="146"/>
      <c r="VLP240" s="146"/>
      <c r="VLQ240" s="146"/>
      <c r="VLR240" s="146"/>
      <c r="VLS240" s="146"/>
      <c r="VLT240" s="146"/>
      <c r="VLU240" s="146"/>
      <c r="VLV240" s="146"/>
      <c r="VLW240" s="146"/>
      <c r="VLX240" s="146"/>
      <c r="VLY240" s="146"/>
      <c r="VLZ240" s="146"/>
      <c r="VMA240" s="146"/>
      <c r="VMB240" s="146"/>
      <c r="VMC240" s="146"/>
      <c r="VMD240" s="146"/>
      <c r="VME240" s="146"/>
      <c r="VMF240" s="146"/>
      <c r="VMG240" s="146"/>
      <c r="VMH240" s="146"/>
      <c r="VMI240" s="146"/>
      <c r="VMJ240" s="146"/>
      <c r="VMK240" s="146"/>
      <c r="VML240" s="146"/>
      <c r="VMM240" s="146"/>
      <c r="VMN240" s="146"/>
      <c r="VMO240" s="146"/>
      <c r="VMP240" s="146"/>
      <c r="VMQ240" s="146"/>
      <c r="VMR240" s="146"/>
      <c r="VMS240" s="146"/>
      <c r="VMT240" s="146"/>
      <c r="VMU240" s="146"/>
      <c r="VMV240" s="146"/>
      <c r="VMW240" s="146"/>
      <c r="VMX240" s="146"/>
      <c r="VMY240" s="146"/>
      <c r="VMZ240" s="146"/>
      <c r="VNA240" s="146"/>
      <c r="VNB240" s="146"/>
      <c r="VNC240" s="146"/>
      <c r="VND240" s="146"/>
      <c r="VNE240" s="146"/>
      <c r="VNF240" s="146"/>
      <c r="VNG240" s="146"/>
      <c r="VNH240" s="146"/>
      <c r="VNI240" s="146"/>
      <c r="VNJ240" s="146"/>
      <c r="VNK240" s="146"/>
      <c r="VNL240" s="146"/>
      <c r="VNM240" s="146"/>
      <c r="VNN240" s="146"/>
      <c r="VNO240" s="146"/>
      <c r="VNP240" s="146"/>
      <c r="VNQ240" s="146"/>
      <c r="VNR240" s="146"/>
      <c r="VNS240" s="146"/>
      <c r="VNT240" s="146"/>
      <c r="VNU240" s="146"/>
      <c r="VNV240" s="146"/>
      <c r="VNW240" s="146"/>
      <c r="VNX240" s="146"/>
      <c r="VNY240" s="146"/>
      <c r="VNZ240" s="146"/>
      <c r="VOA240" s="146"/>
      <c r="VOB240" s="146"/>
      <c r="VOC240" s="146"/>
      <c r="VOD240" s="146"/>
      <c r="VOE240" s="146"/>
      <c r="VOF240" s="146"/>
      <c r="VOG240" s="146"/>
      <c r="VOH240" s="146"/>
      <c r="VOI240" s="146"/>
      <c r="VOJ240" s="146"/>
      <c r="VOK240" s="146"/>
      <c r="VOL240" s="146"/>
      <c r="VOM240" s="146"/>
      <c r="VON240" s="146"/>
      <c r="VOO240" s="146"/>
      <c r="VOP240" s="146"/>
      <c r="VOQ240" s="146"/>
      <c r="VOR240" s="146"/>
      <c r="VOS240" s="146"/>
      <c r="VOT240" s="146"/>
      <c r="VOU240" s="146"/>
      <c r="VOV240" s="146"/>
      <c r="VOW240" s="146"/>
      <c r="VOX240" s="146"/>
      <c r="VOY240" s="146"/>
      <c r="VOZ240" s="146"/>
      <c r="VPA240" s="146"/>
      <c r="VPB240" s="146"/>
      <c r="VPC240" s="146"/>
      <c r="VPD240" s="146"/>
      <c r="VPE240" s="146"/>
      <c r="VPF240" s="146"/>
      <c r="VPG240" s="146"/>
      <c r="VPH240" s="146"/>
      <c r="VPI240" s="146"/>
      <c r="VPJ240" s="146"/>
      <c r="VPK240" s="146"/>
      <c r="VPL240" s="146"/>
      <c r="VPM240" s="146"/>
      <c r="VPN240" s="146"/>
      <c r="VPO240" s="146"/>
      <c r="VPP240" s="146"/>
      <c r="VPQ240" s="146"/>
      <c r="VPR240" s="146"/>
      <c r="VPS240" s="146"/>
      <c r="VPT240" s="146"/>
      <c r="VPU240" s="146"/>
      <c r="VPV240" s="146"/>
      <c r="VPW240" s="146"/>
      <c r="VPX240" s="146"/>
      <c r="VPY240" s="146"/>
      <c r="VPZ240" s="146"/>
      <c r="VQA240" s="146"/>
      <c r="VQB240" s="146"/>
      <c r="VQC240" s="146"/>
      <c r="VQD240" s="146"/>
      <c r="VQE240" s="146"/>
      <c r="VQF240" s="146"/>
      <c r="VQG240" s="146"/>
      <c r="VQH240" s="146"/>
      <c r="VQI240" s="146"/>
      <c r="VQJ240" s="146"/>
      <c r="VQK240" s="146"/>
      <c r="VQL240" s="146"/>
      <c r="VQM240" s="146"/>
      <c r="VQN240" s="146"/>
      <c r="VQO240" s="146"/>
      <c r="VQP240" s="146"/>
      <c r="VQQ240" s="146"/>
      <c r="VQR240" s="146"/>
      <c r="VQS240" s="146"/>
      <c r="VQT240" s="146"/>
      <c r="VQU240" s="146"/>
      <c r="VQV240" s="146"/>
      <c r="VQW240" s="146"/>
      <c r="VQX240" s="146"/>
      <c r="VQY240" s="146"/>
      <c r="VQZ240" s="146"/>
      <c r="VRA240" s="146"/>
      <c r="VRB240" s="146"/>
      <c r="VRC240" s="146"/>
      <c r="VRD240" s="146"/>
      <c r="VRE240" s="146"/>
      <c r="VRF240" s="146"/>
      <c r="VRG240" s="146"/>
      <c r="VRH240" s="146"/>
      <c r="VRI240" s="146"/>
      <c r="VRJ240" s="146"/>
      <c r="VRK240" s="146"/>
      <c r="VRL240" s="146"/>
      <c r="VRM240" s="146"/>
      <c r="VRN240" s="146"/>
      <c r="VRO240" s="146"/>
      <c r="VRP240" s="146"/>
      <c r="VRQ240" s="146"/>
      <c r="VRR240" s="146"/>
      <c r="VRS240" s="146"/>
      <c r="VRT240" s="146"/>
      <c r="VRU240" s="146"/>
      <c r="VRV240" s="146"/>
      <c r="VRW240" s="146"/>
      <c r="VRX240" s="146"/>
      <c r="VRY240" s="146"/>
      <c r="VRZ240" s="146"/>
      <c r="VSA240" s="146"/>
      <c r="VSB240" s="146"/>
      <c r="VSC240" s="146"/>
      <c r="VSD240" s="146"/>
      <c r="VSE240" s="146"/>
      <c r="VSF240" s="146"/>
      <c r="VSG240" s="146"/>
      <c r="VSH240" s="146"/>
      <c r="VSI240" s="146"/>
      <c r="VSJ240" s="146"/>
      <c r="VSK240" s="146"/>
      <c r="VSL240" s="146"/>
      <c r="VSM240" s="146"/>
      <c r="VSN240" s="146"/>
      <c r="VSO240" s="146"/>
      <c r="VSP240" s="146"/>
      <c r="VSQ240" s="146"/>
      <c r="VSR240" s="146"/>
      <c r="VSS240" s="146"/>
      <c r="VST240" s="146"/>
      <c r="VSU240" s="146"/>
      <c r="VSV240" s="146"/>
      <c r="VSW240" s="146"/>
      <c r="VSX240" s="146"/>
      <c r="VSY240" s="146"/>
      <c r="VSZ240" s="146"/>
      <c r="VTA240" s="146"/>
      <c r="VTB240" s="146"/>
      <c r="VTC240" s="146"/>
      <c r="VTD240" s="146"/>
      <c r="VTE240" s="146"/>
      <c r="VTF240" s="146"/>
      <c r="VTG240" s="146"/>
      <c r="VTH240" s="146"/>
      <c r="VTI240" s="146"/>
      <c r="VTJ240" s="146"/>
      <c r="VTK240" s="146"/>
      <c r="VTL240" s="146"/>
      <c r="VTM240" s="146"/>
      <c r="VTN240" s="146"/>
      <c r="VTO240" s="146"/>
      <c r="VTP240" s="146"/>
      <c r="VTQ240" s="146"/>
      <c r="VTR240" s="146"/>
      <c r="VTS240" s="146"/>
      <c r="VTT240" s="146"/>
      <c r="VTU240" s="146"/>
      <c r="VTV240" s="146"/>
      <c r="VTW240" s="146"/>
      <c r="VTX240" s="146"/>
      <c r="VTY240" s="146"/>
      <c r="VTZ240" s="146"/>
      <c r="VUA240" s="146"/>
      <c r="VUB240" s="146"/>
      <c r="VUC240" s="146"/>
      <c r="VUD240" s="146"/>
      <c r="VUE240" s="146"/>
      <c r="VUF240" s="146"/>
      <c r="VUG240" s="146"/>
      <c r="VUH240" s="146"/>
      <c r="VUI240" s="146"/>
      <c r="VUJ240" s="146"/>
      <c r="VUK240" s="146"/>
      <c r="VUL240" s="146"/>
      <c r="VUM240" s="146"/>
      <c r="VUN240" s="146"/>
      <c r="VUO240" s="146"/>
      <c r="VUP240" s="146"/>
      <c r="VUQ240" s="146"/>
      <c r="VUR240" s="146"/>
      <c r="VUS240" s="146"/>
      <c r="VUT240" s="146"/>
      <c r="VUU240" s="146"/>
      <c r="VUV240" s="146"/>
      <c r="VUW240" s="146"/>
      <c r="VUX240" s="146"/>
      <c r="VUY240" s="146"/>
      <c r="VUZ240" s="146"/>
      <c r="VVA240" s="146"/>
      <c r="VVB240" s="146"/>
      <c r="VVC240" s="146"/>
      <c r="VVD240" s="146"/>
      <c r="VVE240" s="146"/>
      <c r="VVF240" s="146"/>
      <c r="VVG240" s="146"/>
      <c r="VVH240" s="146"/>
      <c r="VVI240" s="146"/>
      <c r="VVJ240" s="146"/>
      <c r="VVK240" s="146"/>
      <c r="VVL240" s="146"/>
      <c r="VVM240" s="146"/>
      <c r="VVN240" s="146"/>
      <c r="VVO240" s="146"/>
      <c r="VVP240" s="146"/>
      <c r="VVQ240" s="146"/>
      <c r="VVR240" s="146"/>
      <c r="VVS240" s="146"/>
      <c r="VVT240" s="146"/>
      <c r="VVU240" s="146"/>
      <c r="VVV240" s="146"/>
      <c r="VVW240" s="146"/>
      <c r="VVX240" s="146"/>
      <c r="VVY240" s="146"/>
      <c r="VVZ240" s="146"/>
      <c r="VWA240" s="146"/>
      <c r="VWB240" s="146"/>
      <c r="VWC240" s="146"/>
      <c r="VWD240" s="146"/>
      <c r="VWE240" s="146"/>
      <c r="VWF240" s="146"/>
      <c r="VWG240" s="146"/>
      <c r="VWH240" s="146"/>
      <c r="VWI240" s="146"/>
      <c r="VWJ240" s="146"/>
      <c r="VWK240" s="146"/>
      <c r="VWL240" s="146"/>
      <c r="VWM240" s="146"/>
      <c r="VWN240" s="146"/>
      <c r="VWO240" s="146"/>
      <c r="VWP240" s="146"/>
      <c r="VWQ240" s="146"/>
      <c r="VWR240" s="146"/>
      <c r="VWS240" s="146"/>
      <c r="VWT240" s="146"/>
      <c r="VWU240" s="146"/>
      <c r="VWV240" s="146"/>
      <c r="VWW240" s="146"/>
      <c r="VWX240" s="146"/>
      <c r="VWY240" s="146"/>
      <c r="VWZ240" s="146"/>
      <c r="VXA240" s="146"/>
      <c r="VXB240" s="146"/>
      <c r="VXC240" s="146"/>
      <c r="VXD240" s="146"/>
      <c r="VXE240" s="146"/>
      <c r="VXF240" s="146"/>
      <c r="VXG240" s="146"/>
      <c r="VXH240" s="146"/>
      <c r="VXI240" s="146"/>
      <c r="VXJ240" s="146"/>
      <c r="VXK240" s="146"/>
      <c r="VXL240" s="146"/>
      <c r="VXM240" s="146"/>
      <c r="VXN240" s="146"/>
      <c r="VXO240" s="146"/>
      <c r="VXP240" s="146"/>
      <c r="VXQ240" s="146"/>
      <c r="VXR240" s="146"/>
      <c r="VXS240" s="146"/>
      <c r="VXT240" s="146"/>
      <c r="VXU240" s="146"/>
      <c r="VXV240" s="146"/>
      <c r="VXW240" s="146"/>
      <c r="VXX240" s="146"/>
      <c r="VXY240" s="146"/>
      <c r="VXZ240" s="146"/>
      <c r="VYA240" s="146"/>
      <c r="VYB240" s="146"/>
      <c r="VYC240" s="146"/>
      <c r="VYD240" s="146"/>
      <c r="VYE240" s="146"/>
      <c r="VYF240" s="146"/>
      <c r="VYG240" s="146"/>
      <c r="VYH240" s="146"/>
      <c r="VYI240" s="146"/>
      <c r="VYJ240" s="146"/>
      <c r="VYK240" s="146"/>
      <c r="VYL240" s="146"/>
      <c r="VYM240" s="146"/>
      <c r="VYN240" s="146"/>
      <c r="VYO240" s="146"/>
      <c r="VYP240" s="146"/>
      <c r="VYQ240" s="146"/>
      <c r="VYR240" s="146"/>
      <c r="VYS240" s="146"/>
      <c r="VYT240" s="146"/>
      <c r="VYU240" s="146"/>
      <c r="VYV240" s="146"/>
      <c r="VYW240" s="146"/>
      <c r="VYX240" s="146"/>
      <c r="VYY240" s="146"/>
      <c r="VYZ240" s="146"/>
      <c r="VZA240" s="146"/>
      <c r="VZB240" s="146"/>
      <c r="VZC240" s="146"/>
      <c r="VZD240" s="146"/>
      <c r="VZE240" s="146"/>
      <c r="VZF240" s="146"/>
      <c r="VZG240" s="146"/>
      <c r="VZH240" s="146"/>
      <c r="VZI240" s="146"/>
      <c r="VZJ240" s="146"/>
      <c r="VZK240" s="146"/>
      <c r="VZL240" s="146"/>
      <c r="VZM240" s="146"/>
      <c r="VZN240" s="146"/>
      <c r="VZO240" s="146"/>
      <c r="VZP240" s="146"/>
      <c r="VZQ240" s="146"/>
      <c r="VZR240" s="146"/>
      <c r="VZS240" s="146"/>
      <c r="VZT240" s="146"/>
      <c r="VZU240" s="146"/>
      <c r="VZV240" s="146"/>
      <c r="VZW240" s="146"/>
      <c r="VZX240" s="146"/>
      <c r="VZY240" s="146"/>
      <c r="VZZ240" s="146"/>
      <c r="WAA240" s="146"/>
      <c r="WAB240" s="146"/>
      <c r="WAC240" s="146"/>
      <c r="WAD240" s="146"/>
      <c r="WAE240" s="146"/>
      <c r="WAF240" s="146"/>
      <c r="WAG240" s="146"/>
      <c r="WAH240" s="146"/>
      <c r="WAI240" s="146"/>
      <c r="WAJ240" s="146"/>
      <c r="WAK240" s="146"/>
      <c r="WAL240" s="146"/>
      <c r="WAM240" s="146"/>
      <c r="WAN240" s="146"/>
      <c r="WAO240" s="146"/>
      <c r="WAP240" s="146"/>
      <c r="WAQ240" s="146"/>
      <c r="WAR240" s="146"/>
      <c r="WAS240" s="146"/>
      <c r="WAT240" s="146"/>
      <c r="WAU240" s="146"/>
      <c r="WAV240" s="146"/>
      <c r="WAW240" s="146"/>
      <c r="WAX240" s="146"/>
      <c r="WAY240" s="146"/>
      <c r="WAZ240" s="146"/>
      <c r="WBA240" s="146"/>
      <c r="WBB240" s="146"/>
      <c r="WBC240" s="146"/>
      <c r="WBD240" s="146"/>
      <c r="WBE240" s="146"/>
      <c r="WBF240" s="146"/>
      <c r="WBG240" s="146"/>
      <c r="WBH240" s="146"/>
      <c r="WBI240" s="146"/>
      <c r="WBJ240" s="146"/>
      <c r="WBK240" s="146"/>
      <c r="WBL240" s="146"/>
      <c r="WBM240" s="146"/>
      <c r="WBN240" s="146"/>
      <c r="WBO240" s="146"/>
      <c r="WBP240" s="146"/>
      <c r="WBQ240" s="146"/>
      <c r="WBR240" s="146"/>
      <c r="WBS240" s="146"/>
      <c r="WBT240" s="146"/>
      <c r="WBU240" s="146"/>
      <c r="WBV240" s="146"/>
      <c r="WBW240" s="146"/>
      <c r="WBX240" s="146"/>
      <c r="WBY240" s="146"/>
      <c r="WBZ240" s="146"/>
      <c r="WCA240" s="146"/>
      <c r="WCB240" s="146"/>
      <c r="WCC240" s="146"/>
      <c r="WCD240" s="146"/>
      <c r="WCE240" s="146"/>
      <c r="WCF240" s="146"/>
      <c r="WCG240" s="146"/>
      <c r="WCH240" s="146"/>
      <c r="WCI240" s="146"/>
      <c r="WCJ240" s="146"/>
      <c r="WCK240" s="146"/>
      <c r="WCL240" s="146"/>
      <c r="WCM240" s="146"/>
      <c r="WCN240" s="146"/>
      <c r="WCO240" s="146"/>
      <c r="WCP240" s="146"/>
      <c r="WCQ240" s="146"/>
      <c r="WCR240" s="146"/>
      <c r="WCS240" s="146"/>
      <c r="WCT240" s="146"/>
      <c r="WCU240" s="146"/>
      <c r="WCV240" s="146"/>
      <c r="WCW240" s="146"/>
      <c r="WCX240" s="146"/>
      <c r="WCY240" s="146"/>
      <c r="WCZ240" s="146"/>
      <c r="WDA240" s="146"/>
      <c r="WDB240" s="146"/>
      <c r="WDC240" s="146"/>
      <c r="WDD240" s="146"/>
      <c r="WDE240" s="146"/>
      <c r="WDF240" s="146"/>
      <c r="WDG240" s="146"/>
      <c r="WDH240" s="146"/>
      <c r="WDI240" s="146"/>
      <c r="WDJ240" s="146"/>
      <c r="WDK240" s="146"/>
      <c r="WDL240" s="146"/>
      <c r="WDM240" s="146"/>
      <c r="WDN240" s="146"/>
      <c r="WDO240" s="146"/>
      <c r="WDP240" s="146"/>
      <c r="WDQ240" s="146"/>
      <c r="WDR240" s="146"/>
      <c r="WDS240" s="146"/>
      <c r="WDT240" s="146"/>
      <c r="WDU240" s="146"/>
      <c r="WDV240" s="146"/>
      <c r="WDW240" s="146"/>
      <c r="WDX240" s="146"/>
      <c r="WDY240" s="146"/>
      <c r="WDZ240" s="146"/>
      <c r="WEA240" s="146"/>
      <c r="WEB240" s="146"/>
      <c r="WEC240" s="146"/>
      <c r="WED240" s="146"/>
      <c r="WEE240" s="146"/>
      <c r="WEF240" s="146"/>
      <c r="WEG240" s="146"/>
      <c r="WEH240" s="146"/>
      <c r="WEI240" s="146"/>
      <c r="WEJ240" s="146"/>
      <c r="WEK240" s="146"/>
      <c r="WEL240" s="146"/>
      <c r="WEM240" s="146"/>
      <c r="WEN240" s="146"/>
      <c r="WEO240" s="146"/>
      <c r="WEP240" s="146"/>
      <c r="WEQ240" s="146"/>
      <c r="WER240" s="146"/>
      <c r="WES240" s="146"/>
      <c r="WET240" s="146"/>
      <c r="WEU240" s="146"/>
      <c r="WEV240" s="146"/>
      <c r="WEW240" s="146"/>
      <c r="WEX240" s="146"/>
      <c r="WEY240" s="146"/>
      <c r="WEZ240" s="146"/>
      <c r="WFA240" s="146"/>
      <c r="WFB240" s="146"/>
      <c r="WFC240" s="146"/>
      <c r="WFD240" s="146"/>
      <c r="WFE240" s="146"/>
      <c r="WFF240" s="146"/>
      <c r="WFG240" s="146"/>
      <c r="WFH240" s="146"/>
      <c r="WFI240" s="146"/>
      <c r="WFJ240" s="146"/>
      <c r="WFK240" s="146"/>
      <c r="WFL240" s="146"/>
      <c r="WFM240" s="146"/>
      <c r="WFN240" s="146"/>
      <c r="WFO240" s="146"/>
      <c r="WFP240" s="146"/>
      <c r="WFQ240" s="146"/>
      <c r="WFR240" s="146"/>
      <c r="WFS240" s="146"/>
      <c r="WFT240" s="146"/>
      <c r="WFU240" s="146"/>
      <c r="WFV240" s="146"/>
      <c r="WFW240" s="146"/>
      <c r="WFX240" s="146"/>
      <c r="WFY240" s="146"/>
      <c r="WFZ240" s="146"/>
      <c r="WGA240" s="146"/>
      <c r="WGB240" s="146"/>
      <c r="WGC240" s="146"/>
      <c r="WGD240" s="146"/>
      <c r="WGE240" s="146"/>
      <c r="WGF240" s="146"/>
      <c r="WGG240" s="146"/>
      <c r="WGH240" s="146"/>
      <c r="WGI240" s="146"/>
      <c r="WGJ240" s="146"/>
      <c r="WGK240" s="146"/>
      <c r="WGL240" s="146"/>
      <c r="WGM240" s="146"/>
      <c r="WGN240" s="146"/>
      <c r="WGO240" s="146"/>
      <c r="WGP240" s="146"/>
      <c r="WGQ240" s="146"/>
      <c r="WGR240" s="146"/>
      <c r="WGS240" s="146"/>
      <c r="WGT240" s="146"/>
      <c r="WGU240" s="146"/>
      <c r="WGV240" s="146"/>
      <c r="WGW240" s="146"/>
      <c r="WGX240" s="146"/>
      <c r="WGY240" s="146"/>
      <c r="WGZ240" s="146"/>
      <c r="WHA240" s="146"/>
      <c r="WHB240" s="146"/>
      <c r="WHC240" s="146"/>
      <c r="WHD240" s="146"/>
      <c r="WHE240" s="146"/>
      <c r="WHF240" s="146"/>
      <c r="WHG240" s="146"/>
      <c r="WHH240" s="146"/>
      <c r="WHI240" s="146"/>
      <c r="WHJ240" s="146"/>
      <c r="WHK240" s="146"/>
      <c r="WHL240" s="146"/>
      <c r="WHM240" s="146"/>
      <c r="WHN240" s="146"/>
      <c r="WHO240" s="146"/>
      <c r="WHP240" s="146"/>
      <c r="WHQ240" s="146"/>
      <c r="WHR240" s="146"/>
      <c r="WHS240" s="146"/>
      <c r="WHT240" s="146"/>
      <c r="WHU240" s="146"/>
      <c r="WHV240" s="146"/>
      <c r="WHW240" s="146"/>
      <c r="WHX240" s="146"/>
      <c r="WHY240" s="146"/>
      <c r="WHZ240" s="146"/>
      <c r="WIA240" s="146"/>
      <c r="WIB240" s="146"/>
      <c r="WIC240" s="146"/>
      <c r="WID240" s="146"/>
      <c r="WIE240" s="146"/>
      <c r="WIF240" s="146"/>
      <c r="WIG240" s="146"/>
      <c r="WIH240" s="146"/>
      <c r="WII240" s="146"/>
      <c r="WIJ240" s="146"/>
      <c r="WIK240" s="146"/>
      <c r="WIL240" s="146"/>
      <c r="WIM240" s="146"/>
      <c r="WIN240" s="146"/>
      <c r="WIO240" s="146"/>
      <c r="WIP240" s="146"/>
      <c r="WIQ240" s="146"/>
      <c r="WIR240" s="146"/>
      <c r="WIS240" s="146"/>
      <c r="WIT240" s="146"/>
      <c r="WIU240" s="146"/>
      <c r="WIV240" s="146"/>
      <c r="WIW240" s="146"/>
      <c r="WIX240" s="146"/>
      <c r="WIY240" s="146"/>
      <c r="WIZ240" s="146"/>
      <c r="WJA240" s="146"/>
      <c r="WJB240" s="146"/>
      <c r="WJC240" s="146"/>
      <c r="WJD240" s="146"/>
      <c r="WJE240" s="146"/>
      <c r="WJF240" s="146"/>
      <c r="WJG240" s="146"/>
      <c r="WJH240" s="146"/>
      <c r="WJI240" s="146"/>
      <c r="WJJ240" s="146"/>
      <c r="WJK240" s="146"/>
      <c r="WJL240" s="146"/>
      <c r="WJM240" s="146"/>
      <c r="WJN240" s="146"/>
      <c r="WJO240" s="146"/>
      <c r="WJP240" s="146"/>
      <c r="WJQ240" s="146"/>
      <c r="WJR240" s="146"/>
      <c r="WJS240" s="146"/>
      <c r="WJT240" s="146"/>
      <c r="WJU240" s="146"/>
      <c r="WJV240" s="146"/>
      <c r="WJW240" s="146"/>
      <c r="WJX240" s="146"/>
      <c r="WJY240" s="146"/>
      <c r="WJZ240" s="146"/>
      <c r="WKA240" s="146"/>
      <c r="WKB240" s="146"/>
      <c r="WKC240" s="146"/>
      <c r="WKD240" s="146"/>
      <c r="WKE240" s="146"/>
      <c r="WKF240" s="146"/>
      <c r="WKG240" s="146"/>
      <c r="WKH240" s="146"/>
      <c r="WKI240" s="146"/>
      <c r="WKJ240" s="146"/>
      <c r="WKK240" s="146"/>
      <c r="WKL240" s="146"/>
      <c r="WKM240" s="146"/>
      <c r="WKN240" s="146"/>
      <c r="WKO240" s="146"/>
      <c r="WKP240" s="146"/>
      <c r="WKQ240" s="146"/>
      <c r="WKR240" s="146"/>
      <c r="WKS240" s="146"/>
      <c r="WKT240" s="146"/>
      <c r="WKU240" s="146"/>
      <c r="WKV240" s="146"/>
      <c r="WKW240" s="146"/>
      <c r="WKX240" s="146"/>
      <c r="WKY240" s="146"/>
      <c r="WKZ240" s="146"/>
      <c r="WLA240" s="146"/>
      <c r="WLB240" s="146"/>
      <c r="WLC240" s="146"/>
      <c r="WLD240" s="146"/>
      <c r="WLE240" s="146"/>
      <c r="WLF240" s="146"/>
      <c r="WLG240" s="146"/>
      <c r="WLH240" s="146"/>
      <c r="WLI240" s="146"/>
      <c r="WLJ240" s="146"/>
      <c r="WLK240" s="146"/>
      <c r="WLL240" s="146"/>
      <c r="WLM240" s="146"/>
      <c r="WLN240" s="146"/>
      <c r="WLO240" s="146"/>
      <c r="WLP240" s="146"/>
      <c r="WLQ240" s="146"/>
      <c r="WLR240" s="146"/>
      <c r="WLS240" s="146"/>
      <c r="WLT240" s="146"/>
      <c r="WLU240" s="146"/>
      <c r="WLV240" s="146"/>
      <c r="WLW240" s="146"/>
      <c r="WLX240" s="146"/>
      <c r="WLY240" s="146"/>
      <c r="WLZ240" s="146"/>
      <c r="WMA240" s="146"/>
      <c r="WMB240" s="146"/>
      <c r="WMC240" s="146"/>
      <c r="WMD240" s="146"/>
      <c r="WME240" s="146"/>
      <c r="WMF240" s="146"/>
      <c r="WMG240" s="146"/>
      <c r="WMH240" s="146"/>
      <c r="WMI240" s="146"/>
      <c r="WMJ240" s="146"/>
      <c r="WMK240" s="146"/>
      <c r="WML240" s="146"/>
      <c r="WMM240" s="146"/>
      <c r="WMN240" s="146"/>
      <c r="WMO240" s="146"/>
      <c r="WMP240" s="146"/>
      <c r="WMQ240" s="146"/>
      <c r="WMR240" s="146"/>
      <c r="WMS240" s="146"/>
      <c r="WMT240" s="146"/>
      <c r="WMU240" s="146"/>
      <c r="WMV240" s="146"/>
      <c r="WMW240" s="146"/>
      <c r="WMX240" s="146"/>
      <c r="WMY240" s="146"/>
      <c r="WMZ240" s="146"/>
      <c r="WNA240" s="146"/>
      <c r="WNB240" s="146"/>
      <c r="WNC240" s="146"/>
      <c r="WND240" s="146"/>
      <c r="WNE240" s="146"/>
      <c r="WNF240" s="146"/>
      <c r="WNG240" s="146"/>
      <c r="WNH240" s="146"/>
      <c r="WNI240" s="146"/>
      <c r="WNJ240" s="146"/>
      <c r="WNK240" s="146"/>
      <c r="WNL240" s="146"/>
      <c r="WNM240" s="146"/>
      <c r="WNN240" s="146"/>
      <c r="WNO240" s="146"/>
      <c r="WNP240" s="146"/>
      <c r="WNQ240" s="146"/>
      <c r="WNR240" s="146"/>
      <c r="WNS240" s="146"/>
      <c r="WNT240" s="146"/>
      <c r="WNU240" s="146"/>
      <c r="WNV240" s="146"/>
      <c r="WNW240" s="146"/>
      <c r="WNX240" s="146"/>
      <c r="WNY240" s="146"/>
      <c r="WNZ240" s="146"/>
      <c r="WOA240" s="146"/>
      <c r="WOB240" s="146"/>
      <c r="WOC240" s="146"/>
      <c r="WOD240" s="146"/>
      <c r="WOE240" s="146"/>
      <c r="WOF240" s="146"/>
      <c r="WOG240" s="146"/>
      <c r="WOH240" s="146"/>
      <c r="WOI240" s="146"/>
      <c r="WOJ240" s="146"/>
      <c r="WOK240" s="146"/>
      <c r="WOL240" s="146"/>
      <c r="WOM240" s="146"/>
      <c r="WON240" s="146"/>
      <c r="WOO240" s="146"/>
      <c r="WOP240" s="146"/>
      <c r="WOQ240" s="146"/>
      <c r="WOR240" s="146"/>
      <c r="WOS240" s="146"/>
      <c r="WOT240" s="146"/>
      <c r="WOU240" s="146"/>
      <c r="WOV240" s="146"/>
      <c r="WOW240" s="146"/>
      <c r="WOX240" s="146"/>
      <c r="WOY240" s="146"/>
      <c r="WOZ240" s="146"/>
      <c r="WPA240" s="146"/>
      <c r="WPB240" s="146"/>
      <c r="WPC240" s="146"/>
      <c r="WPD240" s="146"/>
      <c r="WPE240" s="146"/>
      <c r="WPF240" s="146"/>
      <c r="WPG240" s="146"/>
      <c r="WPH240" s="146"/>
      <c r="WPI240" s="146"/>
      <c r="WPJ240" s="146"/>
      <c r="WPK240" s="146"/>
      <c r="WPL240" s="146"/>
      <c r="WPM240" s="146"/>
      <c r="WPN240" s="146"/>
      <c r="WPO240" s="146"/>
      <c r="WPP240" s="146"/>
      <c r="WPQ240" s="146"/>
      <c r="WPR240" s="146"/>
      <c r="WPS240" s="146"/>
      <c r="WPT240" s="146"/>
      <c r="WPU240" s="146"/>
      <c r="WPV240" s="146"/>
      <c r="WPW240" s="146"/>
      <c r="WPX240" s="146"/>
      <c r="WPY240" s="146"/>
      <c r="WPZ240" s="146"/>
      <c r="WQA240" s="146"/>
      <c r="WQB240" s="146"/>
      <c r="WQC240" s="146"/>
      <c r="WQD240" s="146"/>
      <c r="WQE240" s="146"/>
      <c r="WQF240" s="146"/>
      <c r="WQG240" s="146"/>
      <c r="WQH240" s="146"/>
      <c r="WQI240" s="146"/>
      <c r="WQJ240" s="146"/>
      <c r="WQK240" s="146"/>
      <c r="WQL240" s="146"/>
      <c r="WQM240" s="146"/>
      <c r="WQN240" s="146"/>
      <c r="WQO240" s="146"/>
      <c r="WQP240" s="146"/>
      <c r="WQQ240" s="146"/>
      <c r="WQR240" s="146"/>
      <c r="WQS240" s="146"/>
      <c r="WQT240" s="146"/>
      <c r="WQU240" s="146"/>
      <c r="WQV240" s="146"/>
      <c r="WQW240" s="146"/>
      <c r="WQX240" s="146"/>
      <c r="WQY240" s="146"/>
      <c r="WQZ240" s="146"/>
      <c r="WRA240" s="146"/>
      <c r="WRB240" s="146"/>
      <c r="WRC240" s="146"/>
      <c r="WRD240" s="146"/>
      <c r="WRE240" s="146"/>
      <c r="WRF240" s="146"/>
      <c r="WRG240" s="146"/>
      <c r="WRH240" s="146"/>
      <c r="WRI240" s="146"/>
      <c r="WRJ240" s="146"/>
      <c r="WRK240" s="146"/>
      <c r="WRL240" s="146"/>
      <c r="WRM240" s="146"/>
      <c r="WRN240" s="146"/>
      <c r="WRO240" s="146"/>
      <c r="WRP240" s="146"/>
      <c r="WRQ240" s="146"/>
      <c r="WRR240" s="146"/>
      <c r="WRS240" s="146"/>
      <c r="WRT240" s="146"/>
      <c r="WRU240" s="146"/>
      <c r="WRV240" s="146"/>
      <c r="WRW240" s="146"/>
      <c r="WRX240" s="146"/>
      <c r="WRY240" s="146"/>
      <c r="WRZ240" s="146"/>
      <c r="WSA240" s="146"/>
      <c r="WSB240" s="146"/>
      <c r="WSC240" s="146"/>
      <c r="WSD240" s="146"/>
      <c r="WSE240" s="146"/>
      <c r="WSF240" s="146"/>
      <c r="WSG240" s="146"/>
      <c r="WSH240" s="146"/>
      <c r="WSI240" s="146"/>
      <c r="WSJ240" s="146"/>
      <c r="WSK240" s="146"/>
      <c r="WSL240" s="146"/>
      <c r="WSM240" s="146"/>
      <c r="WSN240" s="146"/>
      <c r="WSO240" s="146"/>
      <c r="WSP240" s="146"/>
      <c r="WSQ240" s="146"/>
      <c r="WSR240" s="146"/>
      <c r="WSS240" s="146"/>
      <c r="WST240" s="146"/>
      <c r="WSU240" s="146"/>
      <c r="WSV240" s="146"/>
      <c r="WSW240" s="146"/>
      <c r="WSX240" s="146"/>
      <c r="WSY240" s="146"/>
      <c r="WSZ240" s="146"/>
      <c r="WTA240" s="146"/>
      <c r="WTB240" s="146"/>
      <c r="WTC240" s="146"/>
      <c r="WTD240" s="146"/>
      <c r="WTE240" s="146"/>
      <c r="WTF240" s="146"/>
      <c r="WTG240" s="146"/>
      <c r="WTH240" s="146"/>
      <c r="WTI240" s="146"/>
      <c r="WTJ240" s="146"/>
      <c r="WTK240" s="146"/>
      <c r="WTL240" s="146"/>
      <c r="WTM240" s="146"/>
      <c r="WTN240" s="146"/>
      <c r="WTO240" s="146"/>
      <c r="WTP240" s="146"/>
      <c r="WTQ240" s="146"/>
      <c r="WTR240" s="146"/>
      <c r="WTS240" s="146"/>
      <c r="WTT240" s="146"/>
      <c r="WTU240" s="146"/>
      <c r="WTV240" s="146"/>
      <c r="WTW240" s="146"/>
      <c r="WTX240" s="146"/>
      <c r="WTY240" s="146"/>
      <c r="WTZ240" s="146"/>
      <c r="WUA240" s="146"/>
      <c r="WUB240" s="146"/>
      <c r="WUC240" s="146"/>
      <c r="WUD240" s="146"/>
      <c r="WUE240" s="146"/>
      <c r="WUF240" s="146"/>
      <c r="WUG240" s="146"/>
      <c r="WUH240" s="146"/>
      <c r="WUI240" s="146"/>
      <c r="WUJ240" s="146"/>
      <c r="WUK240" s="146"/>
      <c r="WUL240" s="146"/>
      <c r="WUM240" s="146"/>
      <c r="WUN240" s="146"/>
      <c r="WUO240" s="146"/>
      <c r="WUP240" s="146"/>
      <c r="WUQ240" s="146"/>
      <c r="WUR240" s="146"/>
      <c r="WUS240" s="146"/>
      <c r="WUT240" s="146"/>
      <c r="WUU240" s="146"/>
      <c r="WUV240" s="146"/>
      <c r="WUW240" s="146"/>
      <c r="WUX240" s="146"/>
      <c r="WUY240" s="146"/>
      <c r="WUZ240" s="146"/>
      <c r="WVA240" s="146"/>
      <c r="WVB240" s="146"/>
      <c r="WVC240" s="146"/>
      <c r="WVD240" s="146"/>
      <c r="WVE240" s="146"/>
      <c r="WVF240" s="146"/>
      <c r="WVG240" s="146"/>
      <c r="WVH240" s="146"/>
      <c r="WVI240" s="146"/>
      <c r="WVJ240" s="146"/>
      <c r="WVK240" s="146"/>
      <c r="WVL240" s="146"/>
      <c r="WVM240" s="146"/>
      <c r="WVN240" s="146"/>
      <c r="WVO240" s="146"/>
      <c r="WVP240" s="146"/>
      <c r="WVQ240" s="146"/>
      <c r="WVR240" s="146"/>
      <c r="WVS240" s="146"/>
      <c r="WVT240" s="146"/>
      <c r="WVU240" s="146"/>
    </row>
    <row r="289" spans="1:5" x14ac:dyDescent="0.3">
      <c r="A289" s="146"/>
      <c r="B289" s="147"/>
      <c r="C289" s="149"/>
      <c r="E289" s="1653"/>
    </row>
    <row r="290" spans="1:5" x14ac:dyDescent="0.3">
      <c r="A290" s="146"/>
      <c r="B290" s="145"/>
      <c r="C290" s="258"/>
      <c r="D290" s="478"/>
      <c r="E290" s="2"/>
    </row>
    <row r="291" spans="1:5" x14ac:dyDescent="0.3">
      <c r="A291" s="146"/>
      <c r="B291" s="147"/>
      <c r="C291" s="258"/>
      <c r="D291" s="1652"/>
      <c r="E291" s="1654"/>
    </row>
    <row r="292" spans="1:5" x14ac:dyDescent="0.3">
      <c r="A292" s="146"/>
      <c r="B292" s="145"/>
      <c r="C292" s="258"/>
      <c r="D292" s="1652"/>
      <c r="E292" s="2"/>
    </row>
    <row r="293" spans="1:5" x14ac:dyDescent="0.3">
      <c r="A293" s="146"/>
      <c r="B293" s="147"/>
      <c r="C293" s="149"/>
      <c r="D293" s="1652"/>
      <c r="E293" s="2"/>
    </row>
    <row r="294" spans="1:5" ht="17.25" x14ac:dyDescent="0.35">
      <c r="A294" s="146"/>
      <c r="B294" s="1649"/>
      <c r="C294" s="1650"/>
      <c r="D294" s="478"/>
      <c r="E294" s="2"/>
    </row>
    <row r="295" spans="1:5" ht="17.25" x14ac:dyDescent="0.35">
      <c r="A295" s="146"/>
      <c r="B295" s="147"/>
      <c r="C295" s="149"/>
      <c r="D295" s="1651"/>
      <c r="E295" s="2"/>
    </row>
    <row r="296" spans="1:5" ht="17.25" x14ac:dyDescent="0.3">
      <c r="A296" s="146"/>
      <c r="B296" s="147"/>
      <c r="C296" s="1641"/>
      <c r="D296" s="1655"/>
      <c r="E296" s="2"/>
    </row>
    <row r="297" spans="1:5" ht="17.25" x14ac:dyDescent="0.35">
      <c r="A297" s="146"/>
      <c r="B297" s="147"/>
      <c r="C297" s="149"/>
      <c r="D297" s="1656"/>
      <c r="E297" s="2"/>
    </row>
    <row r="298" spans="1:5" x14ac:dyDescent="0.3">
      <c r="A298" s="146"/>
      <c r="D298" s="478"/>
    </row>
    <row r="342" spans="1:5" x14ac:dyDescent="0.3">
      <c r="A342" s="146"/>
      <c r="B342" s="147"/>
      <c r="C342" s="149"/>
      <c r="E342" s="1653"/>
    </row>
    <row r="343" spans="1:5" x14ac:dyDescent="0.3">
      <c r="A343" s="146"/>
      <c r="B343" s="145"/>
      <c r="C343" s="258"/>
      <c r="D343" s="478"/>
      <c r="E343" s="2"/>
    </row>
    <row r="344" spans="1:5" x14ac:dyDescent="0.3">
      <c r="A344" s="146"/>
      <c r="B344" s="147"/>
      <c r="C344" s="258"/>
      <c r="D344" s="1652"/>
      <c r="E344" s="1654"/>
    </row>
    <row r="345" spans="1:5" x14ac:dyDescent="0.3">
      <c r="A345" s="146"/>
      <c r="B345" s="145"/>
      <c r="C345" s="258"/>
      <c r="D345" s="1652"/>
      <c r="E345" s="2"/>
    </row>
    <row r="346" spans="1:5" x14ac:dyDescent="0.3">
      <c r="A346" s="146"/>
      <c r="B346" s="147"/>
      <c r="C346" s="149"/>
      <c r="D346" s="1652"/>
      <c r="E346" s="2"/>
    </row>
    <row r="347" spans="1:5" x14ac:dyDescent="0.3">
      <c r="A347" s="146"/>
      <c r="D347" s="478"/>
    </row>
    <row r="362" spans="1:256" s="1601" customFormat="1" x14ac:dyDescent="0.3">
      <c r="A362" s="1600"/>
      <c r="B362" s="146"/>
      <c r="C362" s="149"/>
      <c r="E362" s="71"/>
      <c r="F362" s="146"/>
      <c r="G362" s="146"/>
      <c r="H362" s="146"/>
      <c r="I362" s="146"/>
      <c r="J362" s="71"/>
      <c r="K362" s="146"/>
      <c r="L362" s="71"/>
      <c r="M362" s="146"/>
      <c r="N362" s="146"/>
      <c r="O362" s="146"/>
      <c r="P362" s="146"/>
      <c r="Q362" s="146"/>
      <c r="R362" s="146"/>
      <c r="S362" s="146"/>
      <c r="T362" s="146"/>
      <c r="U362" s="146"/>
      <c r="V362" s="146"/>
      <c r="W362" s="146"/>
      <c r="X362" s="146"/>
      <c r="Y362" s="146"/>
      <c r="Z362" s="146"/>
      <c r="AA362" s="146"/>
      <c r="AB362" s="146"/>
      <c r="AC362" s="146"/>
      <c r="AD362" s="146"/>
      <c r="AE362" s="146"/>
      <c r="AF362" s="146"/>
      <c r="AG362" s="146"/>
      <c r="AH362" s="146"/>
      <c r="AI362" s="146"/>
      <c r="AJ362" s="146"/>
      <c r="AK362" s="146"/>
      <c r="AL362" s="146"/>
      <c r="AM362" s="146"/>
      <c r="AN362" s="146"/>
      <c r="AO362" s="146"/>
      <c r="AP362" s="146"/>
      <c r="AQ362" s="146"/>
      <c r="AR362" s="146"/>
      <c r="AS362" s="146"/>
      <c r="AT362" s="146"/>
      <c r="AU362" s="146"/>
      <c r="AV362" s="146"/>
      <c r="AW362" s="146"/>
      <c r="AX362" s="146"/>
      <c r="AY362" s="146"/>
      <c r="AZ362" s="146"/>
      <c r="BA362" s="146"/>
      <c r="BB362" s="146"/>
      <c r="BC362" s="146"/>
      <c r="BD362" s="146"/>
      <c r="BE362" s="146"/>
      <c r="BF362" s="146"/>
      <c r="BG362" s="146"/>
      <c r="BH362" s="146"/>
      <c r="BI362" s="146"/>
      <c r="BJ362" s="146"/>
      <c r="BK362" s="146"/>
      <c r="BL362" s="146"/>
      <c r="BM362" s="146"/>
      <c r="BN362" s="146"/>
      <c r="BO362" s="146"/>
      <c r="BP362" s="146"/>
      <c r="BQ362" s="146"/>
      <c r="BR362" s="146"/>
      <c r="BS362" s="146"/>
      <c r="BT362" s="146"/>
      <c r="BU362" s="146"/>
      <c r="BV362" s="146"/>
      <c r="BW362" s="146"/>
      <c r="BX362" s="146"/>
      <c r="BY362" s="146"/>
      <c r="BZ362" s="146"/>
      <c r="CA362" s="146"/>
      <c r="CB362" s="146"/>
      <c r="CC362" s="146"/>
      <c r="CD362" s="146"/>
      <c r="CE362" s="146"/>
      <c r="CF362" s="146"/>
      <c r="CG362" s="146"/>
      <c r="CH362" s="146"/>
      <c r="CI362" s="146"/>
      <c r="CJ362" s="146"/>
      <c r="CK362" s="146"/>
      <c r="CL362" s="146"/>
      <c r="CM362" s="146"/>
      <c r="CN362" s="146"/>
      <c r="CO362" s="146"/>
      <c r="CP362" s="146"/>
      <c r="CQ362" s="146"/>
      <c r="CR362" s="146"/>
      <c r="CS362" s="146"/>
      <c r="CT362" s="146"/>
      <c r="CU362" s="146"/>
      <c r="CV362" s="146"/>
      <c r="CW362" s="146"/>
      <c r="CX362" s="146"/>
      <c r="CY362" s="146"/>
      <c r="CZ362" s="146"/>
      <c r="DA362" s="146"/>
      <c r="DB362" s="146"/>
      <c r="DC362" s="146"/>
      <c r="DD362" s="146"/>
      <c r="DE362" s="146"/>
      <c r="DF362" s="146"/>
      <c r="DG362" s="146"/>
      <c r="DH362" s="146"/>
      <c r="DI362" s="146"/>
      <c r="DJ362" s="146"/>
      <c r="DK362" s="146"/>
      <c r="DL362" s="146"/>
      <c r="DM362" s="146"/>
      <c r="DN362" s="146"/>
      <c r="DO362" s="146"/>
      <c r="DP362" s="146"/>
      <c r="DQ362" s="146"/>
      <c r="DR362" s="146"/>
      <c r="DS362" s="146"/>
      <c r="DT362" s="146"/>
      <c r="DU362" s="146"/>
      <c r="DV362" s="146"/>
      <c r="DW362" s="146"/>
      <c r="DX362" s="146"/>
      <c r="DY362" s="146"/>
      <c r="DZ362" s="146"/>
      <c r="EA362" s="146"/>
      <c r="EB362" s="146"/>
      <c r="EC362" s="146"/>
      <c r="ED362" s="146"/>
      <c r="EE362" s="146"/>
      <c r="EF362" s="146"/>
      <c r="EG362" s="146"/>
      <c r="EH362" s="146"/>
      <c r="EI362" s="146"/>
      <c r="EJ362" s="146"/>
      <c r="EK362" s="146"/>
      <c r="EL362" s="146"/>
      <c r="EM362" s="146"/>
      <c r="EN362" s="146"/>
      <c r="EO362" s="146"/>
      <c r="EP362" s="146"/>
      <c r="EQ362" s="146"/>
      <c r="ER362" s="146"/>
      <c r="ES362" s="146"/>
      <c r="ET362" s="146"/>
      <c r="EU362" s="146"/>
      <c r="EV362" s="146"/>
      <c r="EW362" s="146"/>
      <c r="EX362" s="146"/>
      <c r="EY362" s="146"/>
      <c r="EZ362" s="146"/>
      <c r="FA362" s="146"/>
      <c r="FB362" s="146"/>
      <c r="FC362" s="146"/>
      <c r="FD362" s="146"/>
      <c r="FE362" s="146"/>
      <c r="FF362" s="146"/>
      <c r="FG362" s="146"/>
      <c r="FH362" s="146"/>
      <c r="FI362" s="146"/>
      <c r="FJ362" s="146"/>
      <c r="FK362" s="146"/>
      <c r="FL362" s="146"/>
      <c r="FM362" s="146"/>
      <c r="FN362" s="146"/>
      <c r="FO362" s="146"/>
      <c r="FP362" s="146"/>
      <c r="FQ362" s="146"/>
      <c r="FR362" s="146"/>
      <c r="FS362" s="146"/>
      <c r="FT362" s="146"/>
      <c r="FU362" s="146"/>
      <c r="FV362" s="146"/>
      <c r="FW362" s="146"/>
      <c r="FX362" s="146"/>
      <c r="FY362" s="146"/>
      <c r="FZ362" s="146"/>
      <c r="GA362" s="146"/>
      <c r="GB362" s="146"/>
      <c r="GC362" s="146"/>
      <c r="GD362" s="146"/>
      <c r="GE362" s="146"/>
      <c r="GF362" s="146"/>
      <c r="GG362" s="146"/>
      <c r="GH362" s="146"/>
      <c r="GI362" s="146"/>
      <c r="GJ362" s="146"/>
      <c r="GK362" s="146"/>
      <c r="GL362" s="146"/>
      <c r="GM362" s="146"/>
      <c r="GN362" s="146"/>
      <c r="GO362" s="146"/>
      <c r="GP362" s="146"/>
      <c r="GQ362" s="146"/>
      <c r="GR362" s="146"/>
      <c r="GS362" s="146"/>
      <c r="GT362" s="146"/>
      <c r="GU362" s="146"/>
      <c r="GV362" s="146"/>
      <c r="GW362" s="146"/>
      <c r="GX362" s="146"/>
      <c r="GY362" s="146"/>
      <c r="GZ362" s="146"/>
      <c r="HA362" s="146"/>
      <c r="HB362" s="146"/>
      <c r="HC362" s="146"/>
      <c r="HD362" s="146"/>
      <c r="HE362" s="146"/>
      <c r="HF362" s="146"/>
      <c r="HG362" s="146"/>
      <c r="HH362" s="146"/>
      <c r="HI362" s="146"/>
      <c r="HJ362" s="146"/>
      <c r="HK362" s="146"/>
      <c r="HL362" s="146"/>
      <c r="HM362" s="146"/>
      <c r="HN362" s="146"/>
      <c r="HO362" s="146"/>
      <c r="HP362" s="146"/>
      <c r="HQ362" s="146"/>
      <c r="HR362" s="146"/>
      <c r="HS362" s="146"/>
      <c r="HT362" s="146"/>
      <c r="HU362" s="146"/>
      <c r="HV362" s="146"/>
      <c r="HW362" s="146"/>
      <c r="HX362" s="146"/>
      <c r="HY362" s="146"/>
      <c r="HZ362" s="146"/>
      <c r="IA362" s="146"/>
      <c r="IB362" s="146"/>
      <c r="IC362" s="146"/>
      <c r="ID362" s="146"/>
      <c r="IE362" s="146"/>
      <c r="IF362" s="146"/>
      <c r="IG362" s="146"/>
      <c r="IH362" s="146"/>
      <c r="II362" s="146"/>
      <c r="IJ362" s="146"/>
      <c r="IK362" s="146"/>
      <c r="IL362" s="146"/>
      <c r="IM362" s="146"/>
      <c r="IN362" s="146"/>
      <c r="IO362" s="146"/>
      <c r="IP362" s="146"/>
      <c r="IQ362" s="146"/>
      <c r="IR362" s="146"/>
      <c r="IS362" s="146"/>
      <c r="IT362" s="146"/>
      <c r="IU362" s="146"/>
      <c r="IV362" s="146"/>
    </row>
    <row r="383" spans="1:5" x14ac:dyDescent="0.3">
      <c r="A383" s="146"/>
      <c r="B383" s="147"/>
      <c r="C383" s="149"/>
      <c r="E383" s="2"/>
    </row>
    <row r="384" spans="1:5" ht="17.25" x14ac:dyDescent="0.35">
      <c r="A384" s="146"/>
      <c r="B384" s="147"/>
      <c r="C384" s="1641"/>
      <c r="D384" s="478"/>
      <c r="E384" s="1657"/>
    </row>
    <row r="385" spans="1:5" ht="17.25" x14ac:dyDescent="0.35">
      <c r="A385" s="146"/>
      <c r="B385" s="147"/>
      <c r="C385" s="1641"/>
      <c r="D385" s="1656"/>
      <c r="E385" s="1657"/>
    </row>
    <row r="386" spans="1:5" ht="17.25" x14ac:dyDescent="0.35">
      <c r="A386" s="146"/>
      <c r="B386" s="147"/>
      <c r="C386" s="149"/>
      <c r="D386" s="1656"/>
      <c r="E386" s="2"/>
    </row>
    <row r="387" spans="1:5" ht="17.25" x14ac:dyDescent="0.3">
      <c r="A387" s="146"/>
      <c r="B387" s="147"/>
      <c r="C387" s="1641"/>
      <c r="D387" s="478"/>
      <c r="E387" s="2"/>
    </row>
    <row r="388" spans="1:5" ht="17.25" x14ac:dyDescent="0.35">
      <c r="A388" s="146"/>
      <c r="B388" s="147"/>
      <c r="C388" s="149"/>
      <c r="D388" s="1656"/>
      <c r="E388" s="2"/>
    </row>
    <row r="389" spans="1:5" x14ac:dyDescent="0.3">
      <c r="A389" s="146"/>
      <c r="B389" s="147"/>
      <c r="C389" s="149"/>
      <c r="D389" s="478"/>
      <c r="E389" s="2"/>
    </row>
    <row r="390" spans="1:5" x14ac:dyDescent="0.3">
      <c r="A390" s="146"/>
      <c r="B390" s="147"/>
      <c r="C390" s="149"/>
      <c r="D390" s="478"/>
      <c r="E390" s="2"/>
    </row>
    <row r="391" spans="1:5" x14ac:dyDescent="0.3">
      <c r="A391" s="146"/>
      <c r="B391" s="147"/>
      <c r="C391" s="149"/>
      <c r="D391" s="478"/>
      <c r="E391" s="2"/>
    </row>
    <row r="392" spans="1:5" x14ac:dyDescent="0.3">
      <c r="A392" s="146"/>
      <c r="B392" s="147"/>
      <c r="C392" s="149"/>
      <c r="D392" s="478"/>
      <c r="E392" s="2"/>
    </row>
    <row r="393" spans="1:5" ht="17.25" x14ac:dyDescent="0.35">
      <c r="A393" s="146"/>
      <c r="B393" s="147"/>
      <c r="C393" s="1641"/>
      <c r="D393" s="478"/>
      <c r="E393" s="1657"/>
    </row>
    <row r="394" spans="1:5" ht="17.25" x14ac:dyDescent="0.35">
      <c r="A394" s="146"/>
      <c r="B394" s="147"/>
      <c r="C394" s="149"/>
      <c r="D394" s="1656"/>
      <c r="E394" s="2"/>
    </row>
    <row r="395" spans="1:5" x14ac:dyDescent="0.3">
      <c r="A395" s="146"/>
      <c r="B395" s="147"/>
      <c r="C395" s="149"/>
      <c r="D395" s="478"/>
      <c r="E395" s="2"/>
    </row>
    <row r="396" spans="1:5" x14ac:dyDescent="0.3">
      <c r="A396" s="146"/>
      <c r="B396" s="147"/>
      <c r="C396" s="149"/>
      <c r="D396" s="478"/>
      <c r="E396" s="1653"/>
    </row>
    <row r="397" spans="1:5" x14ac:dyDescent="0.3">
      <c r="A397" s="146"/>
      <c r="B397" s="145"/>
      <c r="C397" s="258"/>
      <c r="D397" s="478"/>
      <c r="E397" s="2"/>
    </row>
    <row r="398" spans="1:5" x14ac:dyDescent="0.3">
      <c r="A398" s="146"/>
      <c r="B398" s="147"/>
      <c r="C398" s="258"/>
      <c r="D398" s="1652"/>
      <c r="E398" s="1654"/>
    </row>
    <row r="399" spans="1:5" x14ac:dyDescent="0.3">
      <c r="A399" s="146"/>
      <c r="B399" s="145"/>
      <c r="C399" s="258"/>
      <c r="D399" s="1652"/>
      <c r="E399" s="2"/>
    </row>
    <row r="400" spans="1:5" x14ac:dyDescent="0.3">
      <c r="A400" s="146"/>
      <c r="B400" s="147"/>
      <c r="C400" s="149"/>
      <c r="D400" s="1652"/>
      <c r="E400" s="2"/>
    </row>
    <row r="401" spans="1:5" ht="17.25" x14ac:dyDescent="0.3">
      <c r="A401" s="146"/>
      <c r="B401" s="147"/>
      <c r="C401" s="1641"/>
      <c r="D401" s="478"/>
      <c r="E401" s="2"/>
    </row>
    <row r="402" spans="1:5" ht="17.25" x14ac:dyDescent="0.35">
      <c r="A402" s="146"/>
      <c r="B402" s="147"/>
      <c r="C402" s="149"/>
      <c r="D402" s="1656"/>
      <c r="E402" s="2"/>
    </row>
    <row r="403" spans="1:5" x14ac:dyDescent="0.3">
      <c r="A403" s="146"/>
      <c r="B403" s="147"/>
      <c r="C403" s="149"/>
      <c r="D403" s="478"/>
      <c r="E403" s="2"/>
    </row>
    <row r="404" spans="1:5" x14ac:dyDescent="0.3">
      <c r="A404" s="146"/>
      <c r="B404" s="147"/>
      <c r="C404" s="149"/>
      <c r="D404" s="478"/>
      <c r="E404" s="2"/>
    </row>
    <row r="405" spans="1:5" x14ac:dyDescent="0.3">
      <c r="A405" s="146"/>
      <c r="B405" s="147"/>
      <c r="C405" s="149"/>
      <c r="D405" s="478"/>
      <c r="E405" s="2"/>
    </row>
    <row r="406" spans="1:5" ht="17.25" x14ac:dyDescent="0.35">
      <c r="A406" s="146"/>
      <c r="B406" s="147"/>
      <c r="C406" s="1641"/>
      <c r="D406" s="478"/>
      <c r="E406" s="1657"/>
    </row>
    <row r="407" spans="1:5" ht="17.25" x14ac:dyDescent="0.35">
      <c r="A407" s="146"/>
      <c r="B407" s="147"/>
      <c r="C407" s="149"/>
      <c r="D407" s="1656"/>
      <c r="E407" s="2"/>
    </row>
    <row r="408" spans="1:5" ht="17.25" x14ac:dyDescent="0.3">
      <c r="A408" s="146"/>
      <c r="B408" s="147"/>
      <c r="C408" s="1641"/>
      <c r="D408" s="478"/>
      <c r="E408" s="2"/>
    </row>
    <row r="409" spans="1:5" ht="17.25" x14ac:dyDescent="0.35">
      <c r="A409" s="146"/>
      <c r="B409" s="147"/>
      <c r="C409" s="149"/>
      <c r="D409" s="1656"/>
      <c r="E409" s="2"/>
    </row>
    <row r="410" spans="1:5" x14ac:dyDescent="0.3">
      <c r="A410" s="146"/>
      <c r="B410" s="147"/>
      <c r="C410" s="149"/>
      <c r="D410" s="478"/>
      <c r="E410" s="2"/>
    </row>
    <row r="411" spans="1:5" x14ac:dyDescent="0.3">
      <c r="A411" s="146"/>
      <c r="B411" s="147"/>
      <c r="C411" s="149"/>
      <c r="D411" s="478"/>
      <c r="E411" s="2"/>
    </row>
    <row r="412" spans="1:5" x14ac:dyDescent="0.3">
      <c r="A412" s="146"/>
      <c r="B412" s="147"/>
      <c r="C412" s="149"/>
      <c r="D412" s="478"/>
      <c r="E412" s="2"/>
    </row>
    <row r="413" spans="1:5" x14ac:dyDescent="0.3">
      <c r="A413" s="146"/>
      <c r="B413" s="147"/>
      <c r="C413" s="149"/>
      <c r="D413" s="478"/>
      <c r="E413" s="2"/>
    </row>
    <row r="414" spans="1:5" x14ac:dyDescent="0.3">
      <c r="A414" s="146"/>
      <c r="B414" s="147"/>
      <c r="C414" s="149"/>
      <c r="D414" s="478"/>
      <c r="E414" s="2"/>
    </row>
    <row r="415" spans="1:5" x14ac:dyDescent="0.3">
      <c r="A415" s="146"/>
      <c r="B415" s="147"/>
      <c r="C415" s="149"/>
      <c r="D415" s="478"/>
      <c r="E415" s="2"/>
    </row>
    <row r="416" spans="1:5" x14ac:dyDescent="0.3">
      <c r="A416" s="146"/>
      <c r="B416" s="147"/>
      <c r="C416" s="149"/>
      <c r="D416" s="478"/>
      <c r="E416" s="2"/>
    </row>
    <row r="417" spans="1:5" x14ac:dyDescent="0.3">
      <c r="A417" s="146"/>
      <c r="B417" s="147"/>
      <c r="C417" s="149"/>
      <c r="D417" s="478"/>
      <c r="E417" s="2"/>
    </row>
    <row r="418" spans="1:5" x14ac:dyDescent="0.3">
      <c r="A418" s="146"/>
      <c r="B418" s="147"/>
      <c r="C418" s="149"/>
      <c r="D418" s="478"/>
      <c r="E418" s="2"/>
    </row>
    <row r="419" spans="1:5" x14ac:dyDescent="0.3">
      <c r="A419" s="146"/>
      <c r="B419" s="147"/>
      <c r="C419" s="149"/>
      <c r="D419" s="478"/>
      <c r="E419" s="2"/>
    </row>
    <row r="420" spans="1:5" x14ac:dyDescent="0.3">
      <c r="A420" s="146"/>
      <c r="B420" s="147"/>
      <c r="C420" s="149"/>
      <c r="D420" s="478"/>
      <c r="E420" s="2"/>
    </row>
    <row r="421" spans="1:5" x14ac:dyDescent="0.3">
      <c r="A421" s="146"/>
      <c r="B421" s="147"/>
      <c r="C421" s="149"/>
      <c r="D421" s="478"/>
      <c r="E421" s="2"/>
    </row>
    <row r="422" spans="1:5" x14ac:dyDescent="0.3">
      <c r="A422" s="146"/>
      <c r="B422" s="147"/>
      <c r="C422" s="149"/>
      <c r="D422" s="478"/>
      <c r="E422" s="2"/>
    </row>
    <row r="423" spans="1:5" ht="17.25" x14ac:dyDescent="0.35">
      <c r="A423" s="146"/>
      <c r="B423" s="147"/>
      <c r="C423" s="1641"/>
      <c r="D423" s="478"/>
      <c r="E423" s="1657"/>
    </row>
    <row r="424" spans="1:5" ht="17.25" x14ac:dyDescent="0.35">
      <c r="A424" s="146"/>
      <c r="B424" s="147"/>
      <c r="C424" s="149"/>
      <c r="D424" s="1656"/>
      <c r="E424" s="2"/>
    </row>
    <row r="425" spans="1:5" ht="17.25" x14ac:dyDescent="0.3">
      <c r="A425" s="146"/>
      <c r="B425" s="147"/>
      <c r="C425" s="1641"/>
      <c r="D425" s="478"/>
      <c r="E425" s="2"/>
    </row>
    <row r="426" spans="1:5" ht="17.25" x14ac:dyDescent="0.35">
      <c r="A426" s="146"/>
      <c r="B426" s="147"/>
      <c r="C426" s="149"/>
      <c r="D426" s="1656"/>
      <c r="E426" s="2"/>
    </row>
    <row r="427" spans="1:5" x14ac:dyDescent="0.3">
      <c r="A427" s="146"/>
      <c r="B427" s="147"/>
      <c r="C427" s="149"/>
      <c r="D427" s="478"/>
      <c r="E427" s="2"/>
    </row>
    <row r="428" spans="1:5" x14ac:dyDescent="0.3">
      <c r="A428" s="146"/>
      <c r="B428" s="147"/>
      <c r="C428" s="149"/>
      <c r="D428" s="478"/>
      <c r="E428" s="2"/>
    </row>
    <row r="429" spans="1:5" x14ac:dyDescent="0.3">
      <c r="A429" s="146"/>
      <c r="B429" s="147"/>
      <c r="C429" s="149"/>
      <c r="D429" s="478"/>
      <c r="E429" s="2"/>
    </row>
    <row r="430" spans="1:5" x14ac:dyDescent="0.3">
      <c r="A430" s="146"/>
      <c r="B430" s="147"/>
      <c r="C430" s="149"/>
      <c r="D430" s="478"/>
      <c r="E430" s="2"/>
    </row>
    <row r="431" spans="1:5" x14ac:dyDescent="0.3">
      <c r="A431" s="146"/>
      <c r="B431" s="147"/>
      <c r="C431" s="149"/>
      <c r="D431" s="478"/>
      <c r="E431" s="2"/>
    </row>
    <row r="432" spans="1:5" x14ac:dyDescent="0.3">
      <c r="A432" s="146"/>
      <c r="B432" s="147"/>
      <c r="C432" s="149"/>
      <c r="D432" s="478"/>
      <c r="E432" s="2"/>
    </row>
    <row r="433" spans="1:5" x14ac:dyDescent="0.3">
      <c r="A433" s="146"/>
      <c r="B433" s="147"/>
      <c r="C433" s="149"/>
      <c r="D433" s="478"/>
      <c r="E433" s="2"/>
    </row>
    <row r="434" spans="1:5" x14ac:dyDescent="0.3">
      <c r="A434" s="146"/>
      <c r="B434" s="147"/>
      <c r="C434" s="149"/>
      <c r="D434" s="478"/>
      <c r="E434" s="2"/>
    </row>
    <row r="435" spans="1:5" x14ac:dyDescent="0.3">
      <c r="A435" s="146"/>
      <c r="B435" s="147"/>
      <c r="C435" s="149"/>
      <c r="D435" s="478"/>
      <c r="E435" s="2"/>
    </row>
    <row r="436" spans="1:5" x14ac:dyDescent="0.3">
      <c r="A436" s="146"/>
      <c r="B436" s="147"/>
      <c r="C436" s="149"/>
      <c r="D436" s="478"/>
      <c r="E436" s="2"/>
    </row>
    <row r="437" spans="1:5" x14ac:dyDescent="0.3">
      <c r="A437" s="146"/>
      <c r="B437" s="147"/>
      <c r="C437" s="149"/>
      <c r="D437" s="478"/>
      <c r="E437" s="2"/>
    </row>
    <row r="438" spans="1:5" x14ac:dyDescent="0.3">
      <c r="A438" s="146"/>
      <c r="B438" s="147"/>
      <c r="C438" s="149"/>
      <c r="D438" s="478"/>
      <c r="E438" s="2"/>
    </row>
    <row r="439" spans="1:5" x14ac:dyDescent="0.3">
      <c r="A439" s="146"/>
      <c r="B439" s="147"/>
      <c r="C439" s="149"/>
      <c r="D439" s="478"/>
      <c r="E439" s="2"/>
    </row>
    <row r="440" spans="1:5" x14ac:dyDescent="0.3">
      <c r="A440" s="146"/>
      <c r="B440" s="147"/>
      <c r="C440" s="149"/>
      <c r="D440" s="478"/>
      <c r="E440" s="2"/>
    </row>
    <row r="441" spans="1:5" x14ac:dyDescent="0.3">
      <c r="A441" s="146"/>
      <c r="B441" s="147"/>
      <c r="C441" s="149"/>
      <c r="D441" s="478"/>
      <c r="E441" s="2"/>
    </row>
    <row r="442" spans="1:5" x14ac:dyDescent="0.3">
      <c r="A442" s="146"/>
      <c r="B442" s="147"/>
      <c r="C442" s="149"/>
      <c r="D442" s="478"/>
      <c r="E442" s="2"/>
    </row>
    <row r="443" spans="1:5" x14ac:dyDescent="0.3">
      <c r="A443" s="146"/>
      <c r="B443" s="147"/>
      <c r="C443" s="149"/>
      <c r="D443" s="478"/>
      <c r="E443" s="2"/>
    </row>
    <row r="444" spans="1:5" x14ac:dyDescent="0.3">
      <c r="A444" s="146"/>
      <c r="B444" s="147"/>
      <c r="C444" s="149"/>
      <c r="D444" s="478"/>
      <c r="E444" s="2"/>
    </row>
    <row r="445" spans="1:5" x14ac:dyDescent="0.3">
      <c r="A445" s="146"/>
      <c r="B445" s="147"/>
      <c r="C445" s="149"/>
      <c r="D445" s="478"/>
      <c r="E445" s="2"/>
    </row>
    <row r="446" spans="1:5" x14ac:dyDescent="0.3">
      <c r="A446" s="146"/>
      <c r="B446" s="147"/>
      <c r="C446" s="149"/>
      <c r="D446" s="478"/>
      <c r="E446" s="2"/>
    </row>
    <row r="447" spans="1:5" x14ac:dyDescent="0.3">
      <c r="A447" s="146"/>
      <c r="B447" s="147"/>
      <c r="C447" s="149"/>
      <c r="D447" s="478"/>
      <c r="E447" s="2"/>
    </row>
    <row r="448" spans="1:5" x14ac:dyDescent="0.3">
      <c r="A448" s="146"/>
      <c r="B448" s="147"/>
      <c r="C448" s="149"/>
      <c r="D448" s="478"/>
      <c r="E448" s="2"/>
    </row>
    <row r="449" spans="1:5" x14ac:dyDescent="0.3">
      <c r="A449" s="146"/>
      <c r="B449" s="147"/>
      <c r="C449" s="149"/>
      <c r="D449" s="478"/>
      <c r="E449" s="2"/>
    </row>
    <row r="450" spans="1:5" x14ac:dyDescent="0.3">
      <c r="A450" s="146"/>
      <c r="B450" s="147"/>
      <c r="C450" s="149"/>
      <c r="D450" s="478"/>
      <c r="E450" s="2"/>
    </row>
    <row r="451" spans="1:5" x14ac:dyDescent="0.3">
      <c r="A451" s="146"/>
      <c r="B451" s="147"/>
      <c r="C451" s="149"/>
      <c r="D451" s="478"/>
      <c r="E451" s="2"/>
    </row>
    <row r="452" spans="1:5" x14ac:dyDescent="0.3">
      <c r="A452" s="146"/>
      <c r="B452" s="147"/>
      <c r="C452" s="149"/>
      <c r="D452" s="478"/>
      <c r="E452" s="2"/>
    </row>
    <row r="453" spans="1:5" x14ac:dyDescent="0.3">
      <c r="A453" s="146"/>
      <c r="B453" s="147"/>
      <c r="C453" s="149"/>
      <c r="D453" s="478"/>
      <c r="E453" s="2"/>
    </row>
    <row r="454" spans="1:5" x14ac:dyDescent="0.3">
      <c r="A454" s="146"/>
      <c r="B454" s="147"/>
      <c r="C454" s="149"/>
      <c r="D454" s="478"/>
      <c r="E454" s="2"/>
    </row>
    <row r="455" spans="1:5" x14ac:dyDescent="0.3">
      <c r="A455" s="146"/>
      <c r="B455" s="147"/>
      <c r="C455" s="149"/>
      <c r="D455" s="478"/>
      <c r="E455" s="1658"/>
    </row>
    <row r="456" spans="1:5" ht="17.25" x14ac:dyDescent="0.35">
      <c r="A456" s="146"/>
      <c r="B456" s="147"/>
      <c r="C456" s="1641"/>
      <c r="D456" s="478"/>
      <c r="E456" s="1657"/>
    </row>
    <row r="457" spans="1:5" ht="17.25" x14ac:dyDescent="0.35">
      <c r="A457" s="146"/>
      <c r="B457" s="147"/>
      <c r="C457" s="149"/>
      <c r="D457" s="1656"/>
      <c r="E457" s="2"/>
    </row>
    <row r="458" spans="1:5" ht="17.25" x14ac:dyDescent="0.3">
      <c r="A458" s="146"/>
      <c r="B458" s="147"/>
      <c r="C458" s="1641"/>
      <c r="D458" s="478"/>
      <c r="E458" s="2"/>
    </row>
    <row r="459" spans="1:5" ht="17.25" x14ac:dyDescent="0.35">
      <c r="A459" s="146"/>
      <c r="B459" s="147"/>
      <c r="C459" s="149"/>
      <c r="D459" s="1656"/>
      <c r="E459" s="2"/>
    </row>
    <row r="460" spans="1:5" x14ac:dyDescent="0.3">
      <c r="A460" s="146"/>
      <c r="B460" s="147"/>
      <c r="C460" s="149"/>
      <c r="D460" s="1655"/>
      <c r="E460" s="2"/>
    </row>
    <row r="461" spans="1:5" x14ac:dyDescent="0.3">
      <c r="A461" s="146"/>
      <c r="B461" s="147"/>
      <c r="C461" s="149"/>
      <c r="D461" s="478"/>
      <c r="E461" s="2"/>
    </row>
    <row r="462" spans="1:5" x14ac:dyDescent="0.3">
      <c r="A462" s="146"/>
      <c r="B462" s="147"/>
      <c r="C462" s="149"/>
      <c r="D462" s="478"/>
      <c r="E462" s="2"/>
    </row>
    <row r="463" spans="1:5" x14ac:dyDescent="0.3">
      <c r="A463" s="146"/>
      <c r="B463" s="147"/>
      <c r="C463" s="149"/>
      <c r="D463" s="478"/>
      <c r="E463" s="2"/>
    </row>
    <row r="464" spans="1:5" x14ac:dyDescent="0.3">
      <c r="A464" s="146"/>
      <c r="B464" s="147"/>
      <c r="C464" s="149"/>
      <c r="D464" s="478"/>
      <c r="E464" s="2"/>
    </row>
    <row r="465" spans="1:5" x14ac:dyDescent="0.3">
      <c r="A465" s="146"/>
      <c r="B465" s="147"/>
      <c r="C465" s="149"/>
      <c r="D465" s="478"/>
      <c r="E465" s="2"/>
    </row>
    <row r="466" spans="1:5" x14ac:dyDescent="0.3">
      <c r="A466" s="146"/>
      <c r="B466" s="147"/>
      <c r="C466" s="149"/>
      <c r="D466" s="478"/>
      <c r="E466" s="2"/>
    </row>
    <row r="467" spans="1:5" x14ac:dyDescent="0.3">
      <c r="A467" s="146"/>
      <c r="B467" s="147"/>
      <c r="C467" s="149"/>
      <c r="D467" s="478"/>
      <c r="E467" s="2"/>
    </row>
    <row r="468" spans="1:5" x14ac:dyDescent="0.3">
      <c r="A468" s="146"/>
      <c r="B468" s="147"/>
      <c r="C468" s="149"/>
      <c r="D468" s="478"/>
      <c r="E468" s="2"/>
    </row>
    <row r="469" spans="1:5" x14ac:dyDescent="0.3">
      <c r="A469" s="146"/>
      <c r="B469" s="147"/>
      <c r="C469" s="149"/>
      <c r="D469" s="478"/>
      <c r="E469" s="2"/>
    </row>
    <row r="470" spans="1:5" x14ac:dyDescent="0.3">
      <c r="A470" s="146"/>
      <c r="B470" s="147"/>
      <c r="C470" s="149"/>
      <c r="D470" s="478"/>
      <c r="E470" s="2"/>
    </row>
    <row r="471" spans="1:5" x14ac:dyDescent="0.3">
      <c r="A471" s="146"/>
      <c r="B471" s="147"/>
      <c r="C471" s="149"/>
      <c r="D471" s="478"/>
      <c r="E471" s="2"/>
    </row>
    <row r="472" spans="1:5" x14ac:dyDescent="0.3">
      <c r="A472" s="146"/>
      <c r="B472" s="147"/>
      <c r="C472" s="149"/>
      <c r="D472" s="478"/>
      <c r="E472" s="2"/>
    </row>
    <row r="473" spans="1:5" x14ac:dyDescent="0.3">
      <c r="A473" s="146"/>
      <c r="B473" s="147"/>
      <c r="C473" s="149"/>
      <c r="D473" s="478"/>
      <c r="E473" s="2"/>
    </row>
    <row r="474" spans="1:5" ht="17.25" x14ac:dyDescent="0.35">
      <c r="A474" s="146"/>
      <c r="B474" s="147"/>
      <c r="C474" s="1641"/>
      <c r="D474" s="478"/>
      <c r="E474" s="1657"/>
    </row>
    <row r="475" spans="1:5" ht="17.25" x14ac:dyDescent="0.35">
      <c r="A475" s="146"/>
      <c r="B475" s="147"/>
      <c r="C475" s="149"/>
      <c r="D475" s="1656"/>
      <c r="E475" s="2"/>
    </row>
    <row r="476" spans="1:5" x14ac:dyDescent="0.3">
      <c r="A476" s="146"/>
      <c r="D476" s="1655"/>
    </row>
    <row r="482" spans="1:5" x14ac:dyDescent="0.3">
      <c r="A482" s="146"/>
      <c r="D482" s="1659"/>
    </row>
    <row r="489" spans="1:5" x14ac:dyDescent="0.3">
      <c r="A489" s="146"/>
      <c r="E489" s="1660"/>
    </row>
    <row r="495" spans="1:5" x14ac:dyDescent="0.3">
      <c r="A495" s="146"/>
      <c r="B495" s="147"/>
      <c r="C495" s="149"/>
      <c r="E495" s="1653"/>
    </row>
    <row r="496" spans="1:5" x14ac:dyDescent="0.3">
      <c r="A496" s="146"/>
      <c r="B496" s="145"/>
      <c r="C496" s="258"/>
      <c r="D496" s="478"/>
      <c r="E496" s="2"/>
    </row>
    <row r="497" spans="1:5" x14ac:dyDescent="0.3">
      <c r="A497" s="146"/>
      <c r="B497" s="147"/>
      <c r="C497" s="258"/>
      <c r="D497" s="1652"/>
      <c r="E497" s="1654"/>
    </row>
    <row r="498" spans="1:5" x14ac:dyDescent="0.3">
      <c r="A498" s="146"/>
      <c r="B498" s="145"/>
      <c r="C498" s="258"/>
      <c r="D498" s="1652"/>
      <c r="E498" s="2"/>
    </row>
    <row r="499" spans="1:5" x14ac:dyDescent="0.3">
      <c r="A499" s="146"/>
      <c r="B499" s="147"/>
      <c r="C499" s="149"/>
      <c r="D499" s="1652"/>
      <c r="E499" s="2"/>
    </row>
    <row r="500" spans="1:5" x14ac:dyDescent="0.3">
      <c r="A500" s="146"/>
      <c r="D500" s="478"/>
    </row>
    <row r="501" spans="1:5" x14ac:dyDescent="0.3">
      <c r="A501" s="146"/>
      <c r="D501" s="1659"/>
    </row>
    <row r="509" spans="1:5" x14ac:dyDescent="0.3">
      <c r="A509" s="146"/>
      <c r="E509" s="1660"/>
    </row>
    <row r="513" spans="1:5" ht="17.25" x14ac:dyDescent="0.35">
      <c r="A513" s="146"/>
      <c r="B513" s="147"/>
      <c r="C513" s="149"/>
      <c r="E513" s="1657"/>
    </row>
    <row r="514" spans="1:5" ht="17.25" x14ac:dyDescent="0.35">
      <c r="A514" s="146"/>
      <c r="B514" s="147"/>
      <c r="C514" s="149"/>
      <c r="D514" s="1656"/>
      <c r="E514" s="1657"/>
    </row>
    <row r="515" spans="1:5" ht="17.25" x14ac:dyDescent="0.35">
      <c r="A515" s="146"/>
      <c r="B515" s="147"/>
      <c r="C515" s="149"/>
      <c r="D515" s="1656"/>
      <c r="E515" s="2"/>
    </row>
    <row r="516" spans="1:5" x14ac:dyDescent="0.3">
      <c r="A516" s="146"/>
      <c r="D516" s="478"/>
    </row>
    <row r="532" spans="1:5" ht="17.25" x14ac:dyDescent="0.35">
      <c r="A532" s="146"/>
      <c r="C532" s="146"/>
      <c r="E532" s="1647"/>
    </row>
    <row r="533" spans="1:5" ht="17.25" x14ac:dyDescent="0.35">
      <c r="A533" s="146"/>
      <c r="C533" s="146"/>
      <c r="D533" s="1661"/>
    </row>
    <row r="534" spans="1:5" x14ac:dyDescent="0.3">
      <c r="A534" s="146"/>
      <c r="E534" s="2"/>
    </row>
    <row r="535" spans="1:5" x14ac:dyDescent="0.3">
      <c r="A535" s="146"/>
      <c r="D535" s="1655"/>
      <c r="E535" s="2"/>
    </row>
    <row r="536" spans="1:5" x14ac:dyDescent="0.3">
      <c r="A536" s="146"/>
      <c r="D536" s="478"/>
      <c r="E536" s="2"/>
    </row>
    <row r="537" spans="1:5" x14ac:dyDescent="0.3">
      <c r="A537" s="146"/>
      <c r="D537" s="478"/>
      <c r="E537" s="2"/>
    </row>
    <row r="538" spans="1:5" x14ac:dyDescent="0.3">
      <c r="A538" s="146"/>
      <c r="D538" s="478"/>
      <c r="E538" s="2"/>
    </row>
    <row r="539" spans="1:5" x14ac:dyDescent="0.3">
      <c r="A539" s="146"/>
      <c r="D539" s="478"/>
      <c r="E539" s="2"/>
    </row>
    <row r="540" spans="1:5" x14ac:dyDescent="0.3">
      <c r="A540" s="146"/>
      <c r="D540" s="478"/>
      <c r="E540" s="2"/>
    </row>
    <row r="541" spans="1:5" x14ac:dyDescent="0.3">
      <c r="A541" s="146"/>
      <c r="D541" s="478"/>
      <c r="E541" s="2"/>
    </row>
    <row r="542" spans="1:5" x14ac:dyDescent="0.3">
      <c r="A542" s="146"/>
      <c r="D542" s="478"/>
      <c r="E542" s="2"/>
    </row>
    <row r="543" spans="1:5" x14ac:dyDescent="0.3">
      <c r="A543" s="146"/>
      <c r="D543" s="478"/>
      <c r="E543" s="2"/>
    </row>
    <row r="544" spans="1:5" x14ac:dyDescent="0.3">
      <c r="A544" s="146"/>
      <c r="D544" s="478"/>
      <c r="E544" s="2"/>
    </row>
    <row r="545" spans="1:5" x14ac:dyDescent="0.3">
      <c r="A545" s="146"/>
      <c r="D545" s="478"/>
      <c r="E545" s="1658"/>
    </row>
    <row r="546" spans="1:5" x14ac:dyDescent="0.3">
      <c r="A546" s="146"/>
      <c r="D546" s="478"/>
      <c r="E546" s="2"/>
    </row>
    <row r="547" spans="1:5" x14ac:dyDescent="0.3">
      <c r="A547" s="146"/>
      <c r="D547" s="478"/>
      <c r="E547" s="2"/>
    </row>
    <row r="548" spans="1:5" x14ac:dyDescent="0.3">
      <c r="A548" s="146"/>
      <c r="B548" s="147"/>
      <c r="C548" s="149"/>
      <c r="D548" s="478"/>
      <c r="E548" s="1653"/>
    </row>
    <row r="549" spans="1:5" x14ac:dyDescent="0.3">
      <c r="A549" s="146"/>
      <c r="B549" s="145"/>
      <c r="C549" s="258"/>
      <c r="D549" s="478"/>
      <c r="E549" s="2"/>
    </row>
    <row r="550" spans="1:5" x14ac:dyDescent="0.3">
      <c r="A550" s="146"/>
      <c r="B550" s="147"/>
      <c r="C550" s="258"/>
      <c r="D550" s="1652"/>
      <c r="E550" s="1654"/>
    </row>
    <row r="551" spans="1:5" x14ac:dyDescent="0.3">
      <c r="A551" s="146"/>
      <c r="B551" s="145"/>
      <c r="C551" s="258"/>
      <c r="D551" s="1652"/>
      <c r="E551" s="2"/>
    </row>
    <row r="552" spans="1:5" x14ac:dyDescent="0.3">
      <c r="A552" s="146"/>
      <c r="B552" s="147"/>
      <c r="C552" s="149"/>
      <c r="D552" s="1652"/>
      <c r="E552" s="2"/>
    </row>
    <row r="553" spans="1:5" x14ac:dyDescent="0.3">
      <c r="A553" s="146"/>
      <c r="D553" s="478"/>
    </row>
    <row r="554" spans="1:5" ht="17.25" x14ac:dyDescent="0.35">
      <c r="A554" s="146"/>
      <c r="D554" s="1661"/>
    </row>
    <row r="556" spans="1:5" x14ac:dyDescent="0.3">
      <c r="A556" s="146"/>
      <c r="D556" s="1659"/>
    </row>
    <row r="602" spans="1:5" x14ac:dyDescent="0.3">
      <c r="A602" s="146"/>
      <c r="B602" s="147"/>
      <c r="C602" s="149"/>
      <c r="E602" s="1653"/>
    </row>
    <row r="603" spans="1:5" x14ac:dyDescent="0.3">
      <c r="A603" s="146"/>
      <c r="B603" s="145"/>
      <c r="C603" s="258"/>
      <c r="D603" s="478"/>
      <c r="E603" s="2"/>
    </row>
    <row r="604" spans="1:5" x14ac:dyDescent="0.3">
      <c r="A604" s="146"/>
      <c r="B604" s="147"/>
      <c r="C604" s="258"/>
      <c r="D604" s="1652"/>
      <c r="E604" s="1654"/>
    </row>
    <row r="605" spans="1:5" x14ac:dyDescent="0.3">
      <c r="A605" s="146"/>
      <c r="B605" s="145"/>
      <c r="C605" s="258"/>
      <c r="D605" s="1652"/>
      <c r="E605" s="2"/>
    </row>
    <row r="606" spans="1:5" x14ac:dyDescent="0.3">
      <c r="A606" s="146"/>
      <c r="B606" s="147"/>
      <c r="C606" s="149"/>
      <c r="D606" s="1652"/>
      <c r="E606" s="2"/>
    </row>
    <row r="607" spans="1:5" x14ac:dyDescent="0.3">
      <c r="A607" s="146"/>
      <c r="B607" s="147"/>
      <c r="C607" s="149"/>
      <c r="D607" s="478"/>
      <c r="E607" s="1658"/>
    </row>
    <row r="608" spans="1:5" x14ac:dyDescent="0.3">
      <c r="A608" s="146"/>
      <c r="D608" s="478"/>
      <c r="E608" s="2"/>
    </row>
    <row r="609" spans="1:5" x14ac:dyDescent="0.3">
      <c r="A609" s="146"/>
      <c r="D609" s="478"/>
      <c r="E609" s="2"/>
    </row>
    <row r="610" spans="1:5" x14ac:dyDescent="0.3">
      <c r="A610" s="146"/>
      <c r="D610" s="478"/>
      <c r="E610" s="2"/>
    </row>
    <row r="611" spans="1:5" x14ac:dyDescent="0.3">
      <c r="A611" s="146"/>
      <c r="D611" s="478"/>
      <c r="E611" s="2"/>
    </row>
    <row r="612" spans="1:5" ht="17.25" x14ac:dyDescent="0.35">
      <c r="A612" s="146"/>
      <c r="D612" s="478"/>
      <c r="E612" s="1657"/>
    </row>
    <row r="613" spans="1:5" ht="17.25" x14ac:dyDescent="0.35">
      <c r="A613" s="146"/>
      <c r="D613" s="1656"/>
      <c r="E613" s="2"/>
    </row>
    <row r="614" spans="1:5" x14ac:dyDescent="0.3">
      <c r="A614" s="146"/>
      <c r="C614" s="146"/>
      <c r="D614" s="478"/>
      <c r="E614" s="2"/>
    </row>
    <row r="615" spans="1:5" x14ac:dyDescent="0.3">
      <c r="A615" s="146"/>
      <c r="C615" s="146"/>
      <c r="D615" s="478"/>
      <c r="E615" s="2"/>
    </row>
    <row r="616" spans="1:5" x14ac:dyDescent="0.3">
      <c r="A616" s="146"/>
      <c r="C616" s="146"/>
      <c r="D616" s="1655"/>
      <c r="E616" s="2"/>
    </row>
    <row r="617" spans="1:5" x14ac:dyDescent="0.3">
      <c r="A617" s="146"/>
      <c r="C617" s="146"/>
      <c r="D617" s="478"/>
      <c r="E617" s="2"/>
    </row>
    <row r="618" spans="1:5" x14ac:dyDescent="0.3">
      <c r="A618" s="146"/>
      <c r="C618" s="146"/>
      <c r="D618" s="478"/>
      <c r="E618" s="2"/>
    </row>
    <row r="619" spans="1:5" x14ac:dyDescent="0.3">
      <c r="A619" s="146"/>
      <c r="C619" s="146"/>
      <c r="D619" s="478"/>
      <c r="E619" s="2"/>
    </row>
    <row r="620" spans="1:5" x14ac:dyDescent="0.3">
      <c r="A620" s="146"/>
      <c r="C620" s="146"/>
      <c r="D620" s="478"/>
      <c r="E620" s="2"/>
    </row>
    <row r="621" spans="1:5" x14ac:dyDescent="0.3">
      <c r="A621" s="146"/>
      <c r="C621" s="146"/>
      <c r="D621" s="478"/>
      <c r="E621" s="2"/>
    </row>
    <row r="622" spans="1:5" x14ac:dyDescent="0.3">
      <c r="A622" s="146"/>
      <c r="C622" s="146"/>
      <c r="D622" s="478"/>
      <c r="E622" s="2"/>
    </row>
    <row r="623" spans="1:5" x14ac:dyDescent="0.3">
      <c r="A623" s="146"/>
      <c r="C623" s="146"/>
      <c r="D623" s="478"/>
      <c r="E623" s="2"/>
    </row>
    <row r="624" spans="1:5" x14ac:dyDescent="0.3">
      <c r="A624" s="146"/>
      <c r="C624" s="146"/>
      <c r="D624" s="1655"/>
    </row>
    <row r="639" spans="1:5" x14ac:dyDescent="0.3">
      <c r="A639" s="146"/>
      <c r="E639" s="2"/>
    </row>
    <row r="640" spans="1:5" x14ac:dyDescent="0.3">
      <c r="A640" s="146"/>
      <c r="D640" s="478"/>
    </row>
    <row r="642" spans="1:256" ht="17.25" x14ac:dyDescent="0.35">
      <c r="A642" s="146"/>
      <c r="B642" s="257"/>
      <c r="C642" s="1605"/>
      <c r="E642" s="1630"/>
      <c r="F642" s="257"/>
      <c r="G642" s="257"/>
      <c r="H642" s="257"/>
      <c r="I642" s="257"/>
      <c r="J642" s="1630"/>
      <c r="K642" s="257"/>
      <c r="L642" s="1630"/>
      <c r="M642" s="257"/>
      <c r="N642" s="257"/>
      <c r="O642" s="257"/>
      <c r="P642" s="257"/>
      <c r="Q642" s="257"/>
      <c r="R642" s="257"/>
      <c r="S642" s="257"/>
      <c r="T642" s="257"/>
      <c r="U642" s="257"/>
      <c r="V642" s="257"/>
      <c r="W642" s="257"/>
      <c r="X642" s="257"/>
      <c r="Y642" s="257"/>
      <c r="Z642" s="257"/>
      <c r="AA642" s="257"/>
      <c r="AB642" s="257"/>
      <c r="AC642" s="257"/>
      <c r="AD642" s="257"/>
      <c r="AE642" s="257"/>
      <c r="AF642" s="257"/>
      <c r="AG642" s="257"/>
      <c r="AH642" s="257"/>
      <c r="AI642" s="257"/>
      <c r="AJ642" s="257"/>
      <c r="AK642" s="257"/>
      <c r="AL642" s="257"/>
      <c r="AM642" s="257"/>
      <c r="AN642" s="257"/>
      <c r="AO642" s="257"/>
      <c r="AP642" s="257"/>
      <c r="AQ642" s="257"/>
      <c r="AR642" s="257"/>
      <c r="AS642" s="257"/>
      <c r="AT642" s="257"/>
      <c r="AU642" s="257"/>
      <c r="AV642" s="257"/>
      <c r="AW642" s="257"/>
      <c r="AX642" s="257"/>
      <c r="AY642" s="257"/>
      <c r="AZ642" s="257"/>
      <c r="BA642" s="257"/>
      <c r="BB642" s="257"/>
      <c r="BC642" s="257"/>
      <c r="BD642" s="257"/>
      <c r="BE642" s="257"/>
      <c r="BF642" s="257"/>
      <c r="BG642" s="257"/>
      <c r="BH642" s="257"/>
      <c r="BI642" s="257"/>
      <c r="BJ642" s="257"/>
      <c r="BK642" s="257"/>
      <c r="BL642" s="257"/>
      <c r="BM642" s="257"/>
      <c r="BN642" s="257"/>
      <c r="BO642" s="257"/>
      <c r="BP642" s="257"/>
      <c r="BQ642" s="257"/>
      <c r="BR642" s="257"/>
      <c r="BS642" s="257"/>
      <c r="BT642" s="257"/>
      <c r="BU642" s="257"/>
      <c r="BV642" s="257"/>
      <c r="BW642" s="257"/>
      <c r="BX642" s="257"/>
      <c r="BY642" s="257"/>
      <c r="BZ642" s="257"/>
      <c r="CA642" s="257"/>
      <c r="CB642" s="257"/>
      <c r="CC642" s="257"/>
      <c r="CD642" s="257"/>
      <c r="CE642" s="257"/>
      <c r="CF642" s="257"/>
      <c r="CG642" s="257"/>
      <c r="CH642" s="257"/>
      <c r="CI642" s="257"/>
      <c r="CJ642" s="257"/>
      <c r="CK642" s="257"/>
      <c r="CL642" s="257"/>
      <c r="CM642" s="257"/>
      <c r="CN642" s="257"/>
      <c r="CO642" s="257"/>
      <c r="CP642" s="257"/>
      <c r="CQ642" s="257"/>
      <c r="CR642" s="257"/>
      <c r="CS642" s="257"/>
      <c r="CT642" s="257"/>
      <c r="CU642" s="257"/>
      <c r="CV642" s="257"/>
      <c r="CW642" s="257"/>
      <c r="CX642" s="257"/>
      <c r="CY642" s="257"/>
      <c r="CZ642" s="257"/>
      <c r="DA642" s="257"/>
      <c r="DB642" s="257"/>
      <c r="DC642" s="257"/>
      <c r="DD642" s="257"/>
      <c r="DE642" s="257"/>
      <c r="DF642" s="257"/>
      <c r="DG642" s="257"/>
      <c r="DH642" s="257"/>
      <c r="DI642" s="257"/>
      <c r="DJ642" s="257"/>
      <c r="DK642" s="257"/>
      <c r="DL642" s="257"/>
      <c r="DM642" s="257"/>
      <c r="DN642" s="257"/>
      <c r="DO642" s="257"/>
      <c r="DP642" s="257"/>
      <c r="DQ642" s="257"/>
      <c r="DR642" s="257"/>
      <c r="DS642" s="257"/>
      <c r="DT642" s="257"/>
      <c r="DU642" s="257"/>
      <c r="DV642" s="257"/>
      <c r="DW642" s="257"/>
      <c r="DX642" s="257"/>
      <c r="DY642" s="257"/>
      <c r="DZ642" s="257"/>
      <c r="EA642" s="257"/>
      <c r="EB642" s="257"/>
      <c r="EC642" s="257"/>
      <c r="ED642" s="257"/>
      <c r="EE642" s="257"/>
      <c r="EF642" s="257"/>
      <c r="EG642" s="257"/>
      <c r="EH642" s="257"/>
      <c r="EI642" s="257"/>
      <c r="EJ642" s="257"/>
      <c r="EK642" s="257"/>
      <c r="EL642" s="257"/>
      <c r="EM642" s="257"/>
      <c r="EN642" s="257"/>
      <c r="EO642" s="257"/>
      <c r="EP642" s="257"/>
      <c r="EQ642" s="257"/>
      <c r="ER642" s="257"/>
      <c r="ES642" s="257"/>
      <c r="ET642" s="257"/>
      <c r="EU642" s="257"/>
      <c r="EV642" s="257"/>
      <c r="EW642" s="257"/>
      <c r="EX642" s="257"/>
      <c r="EY642" s="257"/>
      <c r="EZ642" s="257"/>
      <c r="FA642" s="257"/>
      <c r="FB642" s="257"/>
      <c r="FC642" s="257"/>
      <c r="FD642" s="257"/>
      <c r="FE642" s="257"/>
      <c r="FF642" s="257"/>
      <c r="FG642" s="257"/>
      <c r="FH642" s="257"/>
      <c r="FI642" s="257"/>
      <c r="FJ642" s="257"/>
      <c r="FK642" s="257"/>
      <c r="FL642" s="257"/>
      <c r="FM642" s="257"/>
      <c r="FN642" s="257"/>
      <c r="FO642" s="257"/>
      <c r="FP642" s="257"/>
      <c r="FQ642" s="257"/>
      <c r="FR642" s="257"/>
      <c r="FS642" s="257"/>
      <c r="FT642" s="257"/>
      <c r="FU642" s="257"/>
      <c r="FV642" s="257"/>
      <c r="FW642" s="257"/>
      <c r="FX642" s="257"/>
      <c r="FY642" s="257"/>
      <c r="FZ642" s="257"/>
      <c r="GA642" s="257"/>
      <c r="GB642" s="257"/>
      <c r="GC642" s="257"/>
      <c r="GD642" s="257"/>
      <c r="GE642" s="257"/>
      <c r="GF642" s="257"/>
      <c r="GG642" s="257"/>
      <c r="GH642" s="257"/>
      <c r="GI642" s="257"/>
      <c r="GJ642" s="257"/>
      <c r="GK642" s="257"/>
      <c r="GL642" s="257"/>
      <c r="GM642" s="257"/>
      <c r="GN642" s="257"/>
      <c r="GO642" s="257"/>
      <c r="GP642" s="257"/>
      <c r="GQ642" s="257"/>
      <c r="GR642" s="257"/>
      <c r="GS642" s="257"/>
      <c r="GT642" s="257"/>
      <c r="GU642" s="257"/>
      <c r="GV642" s="257"/>
      <c r="GW642" s="257"/>
      <c r="GX642" s="257"/>
      <c r="GY642" s="257"/>
      <c r="GZ642" s="257"/>
      <c r="HA642" s="257"/>
      <c r="HB642" s="257"/>
      <c r="HC642" s="257"/>
      <c r="HD642" s="257"/>
      <c r="HE642" s="257"/>
      <c r="HF642" s="257"/>
      <c r="HG642" s="257"/>
      <c r="HH642" s="257"/>
      <c r="HI642" s="257"/>
      <c r="HJ642" s="257"/>
      <c r="HK642" s="257"/>
      <c r="HL642" s="257"/>
      <c r="HM642" s="257"/>
      <c r="HN642" s="257"/>
      <c r="HO642" s="257"/>
      <c r="HP642" s="257"/>
      <c r="HQ642" s="257"/>
      <c r="HR642" s="257"/>
      <c r="HS642" s="257"/>
      <c r="HT642" s="257"/>
      <c r="HU642" s="257"/>
      <c r="HV642" s="257"/>
      <c r="HW642" s="257"/>
      <c r="HX642" s="257"/>
      <c r="HY642" s="257"/>
      <c r="HZ642" s="257"/>
      <c r="IA642" s="257"/>
      <c r="IB642" s="257"/>
      <c r="IC642" s="257"/>
      <c r="ID642" s="257"/>
      <c r="IE642" s="257"/>
      <c r="IF642" s="257"/>
      <c r="IG642" s="257"/>
      <c r="IH642" s="257"/>
      <c r="II642" s="257"/>
      <c r="IJ642" s="257"/>
      <c r="IK642" s="257"/>
      <c r="IL642" s="257"/>
      <c r="IM642" s="257"/>
      <c r="IN642" s="257"/>
      <c r="IO642" s="257"/>
      <c r="IP642" s="257"/>
      <c r="IQ642" s="257"/>
      <c r="IR642" s="257"/>
      <c r="IS642" s="257"/>
      <c r="IT642" s="257"/>
      <c r="IU642" s="257"/>
      <c r="IV642" s="257"/>
    </row>
    <row r="643" spans="1:256" ht="17.25" x14ac:dyDescent="0.35">
      <c r="A643" s="146"/>
      <c r="D643" s="1606"/>
    </row>
  </sheetData>
  <mergeCells count="3">
    <mergeCell ref="B1:E1"/>
    <mergeCell ref="B2:E2"/>
    <mergeCell ref="B3:E3"/>
  </mergeCells>
  <printOptions horizontalCentered="1"/>
  <pageMargins left="0.19685039370078741" right="0.19685039370078741" top="0.59055118110236227" bottom="0.59055118110236227" header="0.31496062992125984" footer="0.31496062992125984"/>
  <pageSetup paperSize="9" scale="80" fitToHeight="10" orientation="portrait" r:id="rId1"/>
  <headerFooter>
    <oddFooter>&amp;C- &amp;P -</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72"/>
  <sheetViews>
    <sheetView view="pageBreakPreview" topLeftCell="A12" zoomScaleNormal="100" zoomScaleSheetLayoutView="100" workbookViewId="0">
      <selection activeCell="B66" sqref="B66"/>
    </sheetView>
  </sheetViews>
  <sheetFormatPr defaultColWidth="9.140625" defaultRowHeight="14.25" x14ac:dyDescent="0.2"/>
  <cols>
    <col min="1" max="1" width="3.7109375" style="669" customWidth="1"/>
    <col min="2" max="2" width="80.7109375" style="295" customWidth="1"/>
    <col min="3" max="3" width="15.7109375" style="295" customWidth="1"/>
    <col min="4" max="4" width="9.140625" style="295"/>
    <col min="5" max="5" width="90.42578125" style="295" customWidth="1"/>
    <col min="6" max="16384" width="9.140625" style="295"/>
  </cols>
  <sheetData>
    <row r="1" spans="1:5" ht="33.75" customHeight="1" x14ac:dyDescent="0.35">
      <c r="A1" s="966"/>
      <c r="B1" s="2329" t="s">
        <v>1155</v>
      </c>
      <c r="C1" s="2329"/>
    </row>
    <row r="2" spans="1:5" s="463" customFormat="1" ht="18.75" customHeight="1" x14ac:dyDescent="0.3">
      <c r="A2" s="966"/>
      <c r="B2" s="2330" t="s">
        <v>1156</v>
      </c>
      <c r="C2" s="2330"/>
    </row>
    <row r="3" spans="1:5" s="463" customFormat="1" ht="16.5" x14ac:dyDescent="0.3">
      <c r="A3" s="966"/>
      <c r="B3" s="1976"/>
      <c r="C3" s="1976"/>
    </row>
    <row r="4" spans="1:5" ht="19.899999999999999" customHeight="1" x14ac:dyDescent="0.2">
      <c r="A4" s="966"/>
      <c r="B4" s="2296" t="s">
        <v>122</v>
      </c>
      <c r="C4" s="2296"/>
    </row>
    <row r="5" spans="1:5" ht="19.899999999999999" customHeight="1" x14ac:dyDescent="0.2">
      <c r="A5" s="966"/>
      <c r="B5" s="2296" t="s">
        <v>315</v>
      </c>
      <c r="C5" s="2296"/>
    </row>
    <row r="6" spans="1:5" ht="33.75" customHeight="1" x14ac:dyDescent="0.2">
      <c r="A6" s="966"/>
      <c r="B6" s="2331" t="s">
        <v>1138</v>
      </c>
      <c r="C6" s="2331"/>
    </row>
    <row r="7" spans="1:5" s="967" customFormat="1" ht="19.899999999999999" customHeight="1" x14ac:dyDescent="0.3">
      <c r="A7" s="965"/>
      <c r="B7" s="2324" t="s">
        <v>0</v>
      </c>
      <c r="C7" s="2324"/>
    </row>
    <row r="8" spans="1:5" s="144" customFormat="1" ht="15" thickBot="1" x14ac:dyDescent="0.25">
      <c r="A8" s="668"/>
      <c r="B8" s="934" t="s">
        <v>1</v>
      </c>
      <c r="C8" s="933" t="s">
        <v>3</v>
      </c>
    </row>
    <row r="9" spans="1:5" ht="19.899999999999999" customHeight="1" x14ac:dyDescent="0.2">
      <c r="A9" s="197"/>
      <c r="B9" s="2325" t="s">
        <v>321</v>
      </c>
      <c r="C9" s="2327" t="s">
        <v>316</v>
      </c>
    </row>
    <row r="10" spans="1:5" ht="19.899999999999999" customHeight="1" thickBot="1" x14ac:dyDescent="0.25">
      <c r="A10" s="197"/>
      <c r="B10" s="2326"/>
      <c r="C10" s="2328"/>
    </row>
    <row r="11" spans="1:5" s="296" customFormat="1" ht="32.25" customHeight="1" thickTop="1" x14ac:dyDescent="0.2">
      <c r="A11" s="196">
        <v>1</v>
      </c>
      <c r="B11" s="190" t="s">
        <v>1199</v>
      </c>
      <c r="C11" s="1837">
        <v>10200</v>
      </c>
      <c r="D11" s="297"/>
      <c r="E11" s="298"/>
    </row>
    <row r="12" spans="1:5" s="296" customFormat="1" ht="18" customHeight="1" x14ac:dyDescent="0.2">
      <c r="A12" s="196">
        <v>2</v>
      </c>
      <c r="B12" s="190" t="s">
        <v>807</v>
      </c>
      <c r="C12" s="191">
        <f>2550-1550</f>
        <v>1000</v>
      </c>
      <c r="D12" s="297"/>
      <c r="E12" s="298"/>
    </row>
    <row r="13" spans="1:5" s="296" customFormat="1" ht="18" customHeight="1" x14ac:dyDescent="0.2">
      <c r="A13" s="196">
        <v>3</v>
      </c>
      <c r="B13" s="190" t="s">
        <v>808</v>
      </c>
      <c r="C13" s="191">
        <f>2550-1550</f>
        <v>1000</v>
      </c>
      <c r="D13" s="297"/>
      <c r="E13" s="298"/>
    </row>
    <row r="14" spans="1:5" s="296" customFormat="1" ht="18" customHeight="1" x14ac:dyDescent="0.2">
      <c r="A14" s="196">
        <v>4</v>
      </c>
      <c r="B14" s="190" t="s">
        <v>809</v>
      </c>
      <c r="C14" s="191">
        <f>850-400</f>
        <v>450</v>
      </c>
      <c r="D14" s="297"/>
      <c r="E14" s="298"/>
    </row>
    <row r="15" spans="1:5" s="296" customFormat="1" ht="18" customHeight="1" x14ac:dyDescent="0.2">
      <c r="A15" s="196">
        <v>5</v>
      </c>
      <c r="B15" s="190" t="s">
        <v>594</v>
      </c>
      <c r="C15" s="191">
        <f>553-553+500</f>
        <v>500</v>
      </c>
      <c r="D15" s="297"/>
      <c r="E15" s="298"/>
    </row>
    <row r="16" spans="1:5" s="296" customFormat="1" ht="18" customHeight="1" x14ac:dyDescent="0.2">
      <c r="A16" s="196">
        <v>6</v>
      </c>
      <c r="B16" s="190" t="s">
        <v>395</v>
      </c>
      <c r="C16" s="191">
        <f>25975+4880+43245</f>
        <v>74100</v>
      </c>
      <c r="D16" s="297"/>
      <c r="E16" s="298"/>
    </row>
    <row r="17" spans="1:5" s="296" customFormat="1" ht="18" customHeight="1" x14ac:dyDescent="0.2">
      <c r="A17" s="196">
        <v>7</v>
      </c>
      <c r="B17" s="190" t="s">
        <v>318</v>
      </c>
      <c r="C17" s="191">
        <f>6460-5994</f>
        <v>466</v>
      </c>
      <c r="D17" s="297"/>
      <c r="E17" s="298"/>
    </row>
    <row r="18" spans="1:5" s="296" customFormat="1" ht="18" customHeight="1" x14ac:dyDescent="0.2">
      <c r="A18" s="196">
        <v>8</v>
      </c>
      <c r="B18" s="190" t="s">
        <v>317</v>
      </c>
      <c r="C18" s="191">
        <f>11900-1900-4445</f>
        <v>5555</v>
      </c>
      <c r="D18" s="532"/>
      <c r="E18" s="298"/>
    </row>
    <row r="19" spans="1:5" s="296" customFormat="1" ht="18" customHeight="1" x14ac:dyDescent="0.2">
      <c r="A19" s="196">
        <v>9</v>
      </c>
      <c r="B19" s="190" t="s">
        <v>513</v>
      </c>
      <c r="C19" s="191">
        <v>60000</v>
      </c>
      <c r="D19" s="532"/>
      <c r="E19" s="298"/>
    </row>
    <row r="20" spans="1:5" s="296" customFormat="1" ht="30.75" customHeight="1" x14ac:dyDescent="0.2">
      <c r="A20" s="196">
        <v>10</v>
      </c>
      <c r="B20" s="190" t="s">
        <v>822</v>
      </c>
      <c r="C20" s="1837">
        <v>1275</v>
      </c>
      <c r="D20" s="532"/>
      <c r="E20" s="298"/>
    </row>
    <row r="21" spans="1:5" s="296" customFormat="1" ht="18" customHeight="1" x14ac:dyDescent="0.2">
      <c r="A21" s="196">
        <v>11</v>
      </c>
      <c r="B21" s="1795" t="s">
        <v>984</v>
      </c>
      <c r="C21" s="191">
        <v>50</v>
      </c>
      <c r="D21" s="532"/>
      <c r="E21" s="298"/>
    </row>
    <row r="22" spans="1:5" s="296" customFormat="1" ht="18" customHeight="1" x14ac:dyDescent="0.2">
      <c r="A22" s="196">
        <v>12</v>
      </c>
      <c r="B22" s="1795" t="s">
        <v>1038</v>
      </c>
      <c r="C22" s="1682">
        <v>10000</v>
      </c>
      <c r="D22" s="532"/>
      <c r="E22" s="298"/>
    </row>
    <row r="23" spans="1:5" s="296" customFormat="1" ht="18" customHeight="1" x14ac:dyDescent="0.2">
      <c r="A23" s="196">
        <v>13</v>
      </c>
      <c r="B23" s="1795" t="s">
        <v>1017</v>
      </c>
      <c r="C23" s="191">
        <v>375</v>
      </c>
      <c r="D23" s="532"/>
      <c r="E23" s="298"/>
    </row>
    <row r="24" spans="1:5" s="296" customFormat="1" ht="18" customHeight="1" x14ac:dyDescent="0.2">
      <c r="A24" s="196">
        <v>14</v>
      </c>
      <c r="B24" s="1795" t="s">
        <v>1018</v>
      </c>
      <c r="C24" s="191">
        <v>83</v>
      </c>
      <c r="D24" s="532"/>
      <c r="E24" s="298"/>
    </row>
    <row r="25" spans="1:5" s="296" customFormat="1" ht="18" customHeight="1" x14ac:dyDescent="0.2">
      <c r="A25" s="196">
        <v>15</v>
      </c>
      <c r="B25" s="1795" t="s">
        <v>1019</v>
      </c>
      <c r="C25" s="191">
        <v>250</v>
      </c>
      <c r="D25" s="532"/>
      <c r="E25" s="298"/>
    </row>
    <row r="26" spans="1:5" s="296" customFormat="1" ht="18" customHeight="1" x14ac:dyDescent="0.2">
      <c r="A26" s="196">
        <v>16</v>
      </c>
      <c r="B26" s="1683" t="s">
        <v>1024</v>
      </c>
      <c r="C26" s="1682">
        <v>1375</v>
      </c>
      <c r="D26" s="532"/>
      <c r="E26" s="298"/>
    </row>
    <row r="27" spans="1:5" s="296" customFormat="1" ht="18" customHeight="1" x14ac:dyDescent="0.2">
      <c r="A27" s="196">
        <v>17</v>
      </c>
      <c r="B27" s="1795" t="s">
        <v>1181</v>
      </c>
      <c r="C27" s="191">
        <v>1500</v>
      </c>
      <c r="D27" s="532"/>
      <c r="E27" s="298"/>
    </row>
    <row r="28" spans="1:5" s="296" customFormat="1" ht="18" customHeight="1" x14ac:dyDescent="0.2">
      <c r="A28" s="196">
        <v>18</v>
      </c>
      <c r="B28" s="1795" t="s">
        <v>1182</v>
      </c>
      <c r="C28" s="1682">
        <v>4375</v>
      </c>
      <c r="D28" s="532"/>
      <c r="E28" s="298"/>
    </row>
    <row r="29" spans="1:5" s="296" customFormat="1" ht="18" customHeight="1" x14ac:dyDescent="0.2">
      <c r="A29" s="196">
        <v>19</v>
      </c>
      <c r="B29" s="1795" t="s">
        <v>1184</v>
      </c>
      <c r="C29" s="191">
        <v>600</v>
      </c>
      <c r="D29" s="532"/>
      <c r="E29" s="298"/>
    </row>
    <row r="30" spans="1:5" s="296" customFormat="1" ht="18" customHeight="1" x14ac:dyDescent="0.2">
      <c r="A30" s="196">
        <v>20</v>
      </c>
      <c r="B30" s="1929" t="s">
        <v>1185</v>
      </c>
      <c r="C30" s="191"/>
      <c r="D30" s="532"/>
      <c r="E30" s="298"/>
    </row>
    <row r="31" spans="1:5" s="296" customFormat="1" ht="18" customHeight="1" x14ac:dyDescent="0.2">
      <c r="A31" s="196">
        <v>21</v>
      </c>
      <c r="B31" s="190" t="s">
        <v>511</v>
      </c>
      <c r="C31" s="191">
        <v>300</v>
      </c>
      <c r="D31" s="532"/>
      <c r="E31" s="298"/>
    </row>
    <row r="32" spans="1:5" s="296" customFormat="1" ht="18" customHeight="1" x14ac:dyDescent="0.2">
      <c r="A32" s="196">
        <v>22</v>
      </c>
      <c r="B32" s="190" t="s">
        <v>1198</v>
      </c>
      <c r="C32" s="191">
        <v>300</v>
      </c>
      <c r="D32" s="532"/>
      <c r="E32" s="298"/>
    </row>
    <row r="33" spans="1:5" s="296" customFormat="1" ht="18" customHeight="1" x14ac:dyDescent="0.2">
      <c r="A33" s="196">
        <v>23</v>
      </c>
      <c r="B33" s="190" t="s">
        <v>1060</v>
      </c>
      <c r="C33" s="191">
        <v>900</v>
      </c>
      <c r="D33" s="532"/>
      <c r="E33" s="298"/>
    </row>
    <row r="34" spans="1:5" s="296" customFormat="1" ht="18" customHeight="1" x14ac:dyDescent="0.2">
      <c r="A34" s="196">
        <v>24</v>
      </c>
      <c r="B34" s="190" t="s">
        <v>1245</v>
      </c>
      <c r="C34" s="191">
        <v>1000</v>
      </c>
      <c r="D34" s="532"/>
      <c r="E34" s="298"/>
    </row>
    <row r="35" spans="1:5" s="296" customFormat="1" ht="18" customHeight="1" x14ac:dyDescent="0.2">
      <c r="A35" s="196">
        <v>25</v>
      </c>
      <c r="B35" s="1929" t="s">
        <v>1084</v>
      </c>
      <c r="C35" s="191"/>
      <c r="D35" s="532"/>
      <c r="E35" s="298"/>
    </row>
    <row r="36" spans="1:5" s="296" customFormat="1" ht="18" customHeight="1" x14ac:dyDescent="0.2">
      <c r="A36" s="196">
        <v>26</v>
      </c>
      <c r="B36" s="190" t="s">
        <v>510</v>
      </c>
      <c r="C36" s="191">
        <f>17000-8500</f>
        <v>8500</v>
      </c>
      <c r="D36" s="532"/>
      <c r="E36" s="298"/>
    </row>
    <row r="37" spans="1:5" s="296" customFormat="1" ht="18" customHeight="1" x14ac:dyDescent="0.2">
      <c r="A37" s="196">
        <v>27</v>
      </c>
      <c r="B37" s="190" t="s">
        <v>511</v>
      </c>
      <c r="C37" s="191">
        <f>28000-15500</f>
        <v>12500</v>
      </c>
      <c r="D37" s="532"/>
      <c r="E37" s="298"/>
    </row>
    <row r="38" spans="1:5" s="296" customFormat="1" ht="18" customHeight="1" x14ac:dyDescent="0.2">
      <c r="A38" s="196">
        <v>28</v>
      </c>
      <c r="B38" s="190" t="s">
        <v>354</v>
      </c>
      <c r="C38" s="191">
        <f>30000-15000</f>
        <v>15000</v>
      </c>
      <c r="D38" s="532"/>
      <c r="E38" s="298"/>
    </row>
    <row r="39" spans="1:5" s="296" customFormat="1" ht="18" customHeight="1" x14ac:dyDescent="0.2">
      <c r="A39" s="196">
        <v>29</v>
      </c>
      <c r="B39" s="190" t="s">
        <v>1052</v>
      </c>
      <c r="C39" s="191">
        <v>3000</v>
      </c>
      <c r="D39" s="532"/>
      <c r="E39" s="298"/>
    </row>
    <row r="40" spans="1:5" s="296" customFormat="1" ht="18" customHeight="1" x14ac:dyDescent="0.2">
      <c r="A40" s="196">
        <v>30</v>
      </c>
      <c r="B40" s="190" t="s">
        <v>1053</v>
      </c>
      <c r="C40" s="191">
        <v>1500</v>
      </c>
      <c r="D40" s="532"/>
      <c r="E40" s="298"/>
    </row>
    <row r="41" spans="1:5" s="296" customFormat="1" ht="18" customHeight="1" x14ac:dyDescent="0.2">
      <c r="A41" s="196">
        <v>31</v>
      </c>
      <c r="B41" s="190" t="s">
        <v>1054</v>
      </c>
      <c r="C41" s="191">
        <v>1750</v>
      </c>
      <c r="D41" s="532"/>
      <c r="E41" s="298"/>
    </row>
    <row r="42" spans="1:5" s="296" customFormat="1" ht="18" customHeight="1" x14ac:dyDescent="0.2">
      <c r="A42" s="196">
        <v>32</v>
      </c>
      <c r="B42" s="190" t="s">
        <v>1055</v>
      </c>
      <c r="C42" s="191">
        <v>3000</v>
      </c>
      <c r="D42" s="532"/>
      <c r="E42" s="298"/>
    </row>
    <row r="43" spans="1:5" s="296" customFormat="1" ht="18" customHeight="1" x14ac:dyDescent="0.2">
      <c r="A43" s="196">
        <v>33</v>
      </c>
      <c r="B43" s="190" t="s">
        <v>1056</v>
      </c>
      <c r="C43" s="191">
        <v>2500</v>
      </c>
      <c r="D43" s="532"/>
      <c r="E43" s="298"/>
    </row>
    <row r="44" spans="1:5" s="296" customFormat="1" ht="18" customHeight="1" x14ac:dyDescent="0.2">
      <c r="A44" s="196">
        <v>34</v>
      </c>
      <c r="B44" s="190" t="s">
        <v>1057</v>
      </c>
      <c r="C44" s="191">
        <v>1600</v>
      </c>
      <c r="D44" s="532"/>
      <c r="E44" s="298"/>
    </row>
    <row r="45" spans="1:5" s="296" customFormat="1" ht="18" customHeight="1" x14ac:dyDescent="0.2">
      <c r="A45" s="196">
        <v>35</v>
      </c>
      <c r="B45" s="190" t="s">
        <v>1058</v>
      </c>
      <c r="C45" s="191">
        <v>500</v>
      </c>
      <c r="D45" s="532"/>
      <c r="E45" s="298"/>
    </row>
    <row r="46" spans="1:5" s="296" customFormat="1" ht="18" customHeight="1" x14ac:dyDescent="0.2">
      <c r="A46" s="196">
        <v>36</v>
      </c>
      <c r="B46" s="190" t="s">
        <v>1059</v>
      </c>
      <c r="C46" s="191">
        <v>4750</v>
      </c>
      <c r="D46" s="532"/>
      <c r="E46" s="298"/>
    </row>
    <row r="47" spans="1:5" s="296" customFormat="1" ht="18" customHeight="1" x14ac:dyDescent="0.2">
      <c r="A47" s="196">
        <v>37</v>
      </c>
      <c r="B47" s="190" t="s">
        <v>1060</v>
      </c>
      <c r="C47" s="191">
        <v>1500</v>
      </c>
      <c r="D47" s="532"/>
      <c r="E47" s="298"/>
    </row>
    <row r="48" spans="1:5" s="296" customFormat="1" ht="18" customHeight="1" x14ac:dyDescent="0.2">
      <c r="A48" s="196">
        <v>38</v>
      </c>
      <c r="B48" s="190" t="s">
        <v>1061</v>
      </c>
      <c r="C48" s="191">
        <v>700</v>
      </c>
      <c r="D48" s="532"/>
      <c r="E48" s="298"/>
    </row>
    <row r="49" spans="1:5" s="296" customFormat="1" ht="18" customHeight="1" x14ac:dyDescent="0.2">
      <c r="A49" s="196">
        <v>39</v>
      </c>
      <c r="B49" s="190" t="s">
        <v>1111</v>
      </c>
      <c r="C49" s="191">
        <v>300</v>
      </c>
      <c r="D49" s="532"/>
      <c r="E49" s="298"/>
    </row>
    <row r="50" spans="1:5" s="296" customFormat="1" ht="18" customHeight="1" x14ac:dyDescent="0.2">
      <c r="A50" s="196">
        <v>40</v>
      </c>
      <c r="B50" s="190" t="s">
        <v>1062</v>
      </c>
      <c r="C50" s="191">
        <v>300</v>
      </c>
      <c r="D50" s="532"/>
      <c r="E50" s="298"/>
    </row>
    <row r="51" spans="1:5" s="296" customFormat="1" ht="18" customHeight="1" x14ac:dyDescent="0.2">
      <c r="A51" s="196">
        <v>41</v>
      </c>
      <c r="B51" s="190" t="s">
        <v>1063</v>
      </c>
      <c r="C51" s="191">
        <v>300</v>
      </c>
      <c r="D51" s="532"/>
      <c r="E51" s="298"/>
    </row>
    <row r="52" spans="1:5" s="296" customFormat="1" ht="18" customHeight="1" x14ac:dyDescent="0.2">
      <c r="A52" s="196">
        <v>42</v>
      </c>
      <c r="B52" s="190" t="s">
        <v>1064</v>
      </c>
      <c r="C52" s="191">
        <v>100</v>
      </c>
      <c r="D52" s="532"/>
      <c r="E52" s="298"/>
    </row>
    <row r="53" spans="1:5" s="296" customFormat="1" ht="18" customHeight="1" x14ac:dyDescent="0.2">
      <c r="A53" s="196">
        <v>43</v>
      </c>
      <c r="B53" s="190" t="s">
        <v>1065</v>
      </c>
      <c r="C53" s="191">
        <v>100</v>
      </c>
      <c r="D53" s="532"/>
      <c r="E53" s="298"/>
    </row>
    <row r="54" spans="1:5" s="296" customFormat="1" ht="18" customHeight="1" x14ac:dyDescent="0.2">
      <c r="A54" s="196">
        <v>44</v>
      </c>
      <c r="B54" s="190" t="s">
        <v>1066</v>
      </c>
      <c r="C54" s="191">
        <v>100</v>
      </c>
      <c r="D54" s="532"/>
      <c r="E54" s="298"/>
    </row>
    <row r="55" spans="1:5" s="296" customFormat="1" ht="18" customHeight="1" x14ac:dyDescent="0.2">
      <c r="A55" s="196">
        <v>45</v>
      </c>
      <c r="B55" s="190" t="s">
        <v>1067</v>
      </c>
      <c r="C55" s="191">
        <v>100</v>
      </c>
      <c r="D55" s="532"/>
      <c r="E55" s="298"/>
    </row>
    <row r="56" spans="1:5" s="296" customFormat="1" ht="18" customHeight="1" x14ac:dyDescent="0.2">
      <c r="A56" s="196">
        <v>46</v>
      </c>
      <c r="B56" s="190" t="s">
        <v>1068</v>
      </c>
      <c r="C56" s="191">
        <v>75</v>
      </c>
      <c r="D56" s="532"/>
      <c r="E56" s="298"/>
    </row>
    <row r="57" spans="1:5" s="296" customFormat="1" ht="18" customHeight="1" x14ac:dyDescent="0.2">
      <c r="A57" s="196">
        <v>47</v>
      </c>
      <c r="B57" s="190" t="s">
        <v>1069</v>
      </c>
      <c r="C57" s="191">
        <v>50</v>
      </c>
      <c r="D57" s="532"/>
      <c r="E57" s="298"/>
    </row>
    <row r="58" spans="1:5" s="296" customFormat="1" ht="18" customHeight="1" x14ac:dyDescent="0.2">
      <c r="A58" s="196">
        <v>48</v>
      </c>
      <c r="B58" s="190" t="s">
        <v>1070</v>
      </c>
      <c r="C58" s="191">
        <v>50</v>
      </c>
      <c r="D58" s="532"/>
      <c r="E58" s="298"/>
    </row>
    <row r="59" spans="1:5" s="296" customFormat="1" ht="18" customHeight="1" x14ac:dyDescent="0.2">
      <c r="A59" s="196">
        <v>49</v>
      </c>
      <c r="B59" s="190" t="s">
        <v>1071</v>
      </c>
      <c r="C59" s="191">
        <v>50</v>
      </c>
      <c r="D59" s="532"/>
      <c r="E59" s="298"/>
    </row>
    <row r="60" spans="1:5" s="296" customFormat="1" ht="18" customHeight="1" x14ac:dyDescent="0.2">
      <c r="A60" s="196">
        <v>50</v>
      </c>
      <c r="B60" s="190" t="s">
        <v>1072</v>
      </c>
      <c r="C60" s="191">
        <v>50</v>
      </c>
      <c r="D60" s="532"/>
      <c r="E60" s="298"/>
    </row>
    <row r="61" spans="1:5" s="296" customFormat="1" ht="18" customHeight="1" x14ac:dyDescent="0.2">
      <c r="A61" s="196">
        <v>51</v>
      </c>
      <c r="B61" s="190" t="s">
        <v>1073</v>
      </c>
      <c r="C61" s="191">
        <v>50</v>
      </c>
      <c r="D61" s="532"/>
      <c r="E61" s="298"/>
    </row>
    <row r="62" spans="1:5" s="296" customFormat="1" ht="18" customHeight="1" x14ac:dyDescent="0.2">
      <c r="A62" s="196">
        <v>52</v>
      </c>
      <c r="B62" s="190" t="s">
        <v>1074</v>
      </c>
      <c r="C62" s="191">
        <v>50</v>
      </c>
      <c r="D62" s="532"/>
      <c r="E62" s="298"/>
    </row>
    <row r="63" spans="1:5" s="296" customFormat="1" ht="18" customHeight="1" x14ac:dyDescent="0.2">
      <c r="A63" s="196">
        <v>53</v>
      </c>
      <c r="B63" s="190" t="s">
        <v>1075</v>
      </c>
      <c r="C63" s="191">
        <v>50</v>
      </c>
      <c r="D63" s="532"/>
      <c r="E63" s="298"/>
    </row>
    <row r="64" spans="1:5" s="296" customFormat="1" ht="18" customHeight="1" x14ac:dyDescent="0.2">
      <c r="A64" s="196">
        <v>54</v>
      </c>
      <c r="B64" s="190" t="s">
        <v>1076</v>
      </c>
      <c r="C64" s="191">
        <v>50</v>
      </c>
      <c r="D64" s="532"/>
      <c r="E64" s="298"/>
    </row>
    <row r="65" spans="1:5" s="296" customFormat="1" ht="18" customHeight="1" x14ac:dyDescent="0.2">
      <c r="A65" s="196">
        <v>55</v>
      </c>
      <c r="B65" s="190" t="s">
        <v>1077</v>
      </c>
      <c r="C65" s="191">
        <v>50</v>
      </c>
      <c r="D65" s="532"/>
      <c r="E65" s="298"/>
    </row>
    <row r="66" spans="1:5" s="296" customFormat="1" ht="18" customHeight="1" x14ac:dyDescent="0.2">
      <c r="A66" s="196">
        <v>56</v>
      </c>
      <c r="B66" s="190" t="s">
        <v>1078</v>
      </c>
      <c r="C66" s="191">
        <v>50</v>
      </c>
      <c r="D66" s="532"/>
      <c r="E66" s="298"/>
    </row>
    <row r="67" spans="1:5" s="296" customFormat="1" ht="18" customHeight="1" x14ac:dyDescent="0.3">
      <c r="A67" s="196">
        <v>57</v>
      </c>
      <c r="B67" s="1930" t="s">
        <v>1079</v>
      </c>
      <c r="C67" s="191"/>
      <c r="D67" s="532"/>
      <c r="E67" s="298"/>
    </row>
    <row r="68" spans="1:5" s="296" customFormat="1" ht="18" customHeight="1" x14ac:dyDescent="0.2">
      <c r="A68" s="196">
        <v>58</v>
      </c>
      <c r="B68" s="190" t="s">
        <v>1080</v>
      </c>
      <c r="C68" s="191">
        <v>600</v>
      </c>
      <c r="D68" s="532"/>
      <c r="E68" s="298"/>
    </row>
    <row r="69" spans="1:5" s="296" customFormat="1" ht="18" customHeight="1" x14ac:dyDescent="0.2">
      <c r="A69" s="196">
        <v>59</v>
      </c>
      <c r="B69" s="190" t="s">
        <v>1081</v>
      </c>
      <c r="C69" s="191">
        <v>600</v>
      </c>
      <c r="D69" s="532"/>
      <c r="E69" s="298"/>
    </row>
    <row r="70" spans="1:5" s="296" customFormat="1" ht="18" customHeight="1" x14ac:dyDescent="0.2">
      <c r="A70" s="196">
        <v>60</v>
      </c>
      <c r="B70" s="190" t="s">
        <v>1082</v>
      </c>
      <c r="C70" s="191">
        <v>600</v>
      </c>
      <c r="D70" s="532"/>
      <c r="E70" s="298"/>
    </row>
    <row r="71" spans="1:5" s="296" customFormat="1" ht="18" customHeight="1" thickBot="1" x14ac:dyDescent="0.25">
      <c r="A71" s="196">
        <v>61</v>
      </c>
      <c r="B71" s="190" t="s">
        <v>1083</v>
      </c>
      <c r="C71" s="191">
        <v>1800</v>
      </c>
      <c r="D71" s="532"/>
      <c r="E71" s="298"/>
    </row>
    <row r="72" spans="1:5" ht="30" customHeight="1" thickBot="1" x14ac:dyDescent="0.25">
      <c r="A72" s="196"/>
      <c r="B72" s="192" t="s">
        <v>13</v>
      </c>
      <c r="C72" s="193">
        <f>SUM(C11:C71)</f>
        <v>237929</v>
      </c>
    </row>
  </sheetData>
  <mergeCells count="8">
    <mergeCell ref="B7:C7"/>
    <mergeCell ref="B9:B10"/>
    <mergeCell ref="C9:C10"/>
    <mergeCell ref="B1:C1"/>
    <mergeCell ref="B2:C2"/>
    <mergeCell ref="B4:C4"/>
    <mergeCell ref="B5:C5"/>
    <mergeCell ref="B6:C6"/>
  </mergeCells>
  <printOptions horizontalCentered="1"/>
  <pageMargins left="0.19685039370078741" right="0.19685039370078741" top="0.59055118110236227" bottom="0.59055118110236227" header="0.31496062992125984" footer="0.31496062992125984"/>
  <pageSetup paperSize="9" fitToHeight="0" orientation="portrait" r:id="rId1"/>
  <headerFooter>
    <oddFooter>&amp;C- &amp;P -</odd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Q345"/>
  <sheetViews>
    <sheetView view="pageBreakPreview" zoomScaleNormal="100" zoomScaleSheetLayoutView="100" workbookViewId="0">
      <selection activeCell="B1" sqref="B1:M1"/>
    </sheetView>
  </sheetViews>
  <sheetFormatPr defaultColWidth="9.140625" defaultRowHeight="15" x14ac:dyDescent="0.3"/>
  <cols>
    <col min="1" max="1" width="3.7109375" style="720" customWidth="1"/>
    <col min="2" max="2" width="5.7109375" style="711" customWidth="1"/>
    <col min="3" max="3" width="5.7109375" style="712" customWidth="1"/>
    <col min="4" max="4" width="59.7109375" style="713" customWidth="1"/>
    <col min="5" max="7" width="10.7109375" style="709" customWidth="1"/>
    <col min="8" max="8" width="6.7109375" style="714" customWidth="1"/>
    <col min="9" max="11" width="14.85546875" style="709" customWidth="1"/>
    <col min="12" max="12" width="15.7109375" style="709" customWidth="1"/>
    <col min="13" max="13" width="13.7109375" style="719" customWidth="1"/>
    <col min="14" max="16384" width="9.140625" style="710"/>
  </cols>
  <sheetData>
    <row r="1" spans="1:251" ht="17.25" x14ac:dyDescent="0.35">
      <c r="A1" s="1969"/>
      <c r="B1" s="2332" t="s">
        <v>1368</v>
      </c>
      <c r="C1" s="2332"/>
      <c r="D1" s="2332"/>
      <c r="E1" s="2332"/>
      <c r="F1" s="2332"/>
      <c r="G1" s="2332"/>
      <c r="H1" s="2332"/>
      <c r="I1" s="2332"/>
      <c r="J1" s="2332"/>
      <c r="K1" s="2332"/>
      <c r="L1" s="2332"/>
      <c r="M1" s="2332"/>
    </row>
    <row r="2" spans="1:251" s="416" customFormat="1" ht="18" customHeight="1" x14ac:dyDescent="0.3">
      <c r="A2" s="1969"/>
      <c r="B2" s="2333" t="s">
        <v>1150</v>
      </c>
      <c r="C2" s="2333"/>
      <c r="D2" s="2333"/>
      <c r="E2" s="2333"/>
      <c r="F2" s="2333"/>
      <c r="G2" s="2333"/>
      <c r="H2" s="2333"/>
      <c r="I2" s="2333"/>
      <c r="J2" s="2333"/>
      <c r="K2" s="2333"/>
      <c r="L2" s="2333"/>
      <c r="M2" s="2333"/>
      <c r="N2" s="1567"/>
      <c r="O2" s="1567"/>
      <c r="P2" s="1567"/>
      <c r="Q2" s="1567"/>
      <c r="R2" s="1567"/>
      <c r="S2" s="1567"/>
      <c r="T2" s="1567"/>
      <c r="U2" s="1567"/>
      <c r="V2" s="1567"/>
      <c r="W2" s="1567"/>
      <c r="X2" s="1567"/>
      <c r="Y2" s="1567"/>
      <c r="Z2" s="1567"/>
      <c r="AA2" s="1567"/>
      <c r="AB2" s="1567"/>
      <c r="AC2" s="1567"/>
      <c r="AD2" s="1567"/>
      <c r="AE2" s="1567"/>
      <c r="AF2" s="1567"/>
      <c r="AG2" s="1567"/>
      <c r="AH2" s="1567"/>
      <c r="AI2" s="1567"/>
      <c r="AJ2" s="1567"/>
      <c r="AK2" s="1567"/>
      <c r="AL2" s="1567"/>
      <c r="AM2" s="1567"/>
      <c r="AN2" s="1567"/>
      <c r="AO2" s="1567"/>
      <c r="AP2" s="1567"/>
      <c r="AQ2" s="1567"/>
      <c r="AR2" s="1567"/>
      <c r="AS2" s="1567"/>
      <c r="AT2" s="1567"/>
      <c r="AU2" s="1567"/>
      <c r="AV2" s="1567"/>
      <c r="AW2" s="1567"/>
      <c r="AX2" s="1567"/>
      <c r="AY2" s="1567"/>
      <c r="AZ2" s="1567"/>
      <c r="BA2" s="1567"/>
      <c r="BB2" s="1567"/>
      <c r="BC2" s="1567"/>
      <c r="BD2" s="1567"/>
      <c r="BE2" s="1567"/>
      <c r="BF2" s="1567"/>
      <c r="BG2" s="1567"/>
      <c r="BH2" s="1567"/>
      <c r="BI2" s="1567"/>
      <c r="BJ2" s="1567"/>
      <c r="BK2" s="1567"/>
      <c r="BL2" s="1567"/>
      <c r="BM2" s="1567"/>
      <c r="BN2" s="1567"/>
      <c r="BO2" s="1567"/>
      <c r="BP2" s="1567"/>
      <c r="BQ2" s="1567"/>
      <c r="BR2" s="1567"/>
      <c r="BS2" s="1567"/>
      <c r="BT2" s="1567"/>
      <c r="BU2" s="1567"/>
      <c r="BV2" s="1567"/>
      <c r="BW2" s="1567"/>
      <c r="BX2" s="1567"/>
      <c r="BY2" s="1567"/>
      <c r="BZ2" s="1567"/>
      <c r="CA2" s="1567"/>
      <c r="CB2" s="1567"/>
      <c r="CC2" s="1567"/>
      <c r="CD2" s="1567"/>
      <c r="CE2" s="1567"/>
      <c r="CF2" s="1567"/>
      <c r="CG2" s="1567"/>
      <c r="CH2" s="1567"/>
      <c r="CI2" s="1567"/>
      <c r="CJ2" s="1567"/>
      <c r="CK2" s="1567"/>
      <c r="CL2" s="1567"/>
      <c r="CM2" s="1567"/>
      <c r="CN2" s="1567"/>
      <c r="CO2" s="1567"/>
      <c r="CP2" s="1567"/>
      <c r="CQ2" s="1567"/>
      <c r="CR2" s="1567"/>
      <c r="CS2" s="1567"/>
      <c r="CT2" s="1567"/>
      <c r="CU2" s="1567"/>
      <c r="CV2" s="1567"/>
      <c r="CW2" s="1567"/>
      <c r="CX2" s="1567"/>
      <c r="CY2" s="1567"/>
      <c r="CZ2" s="1567"/>
      <c r="DA2" s="1567"/>
      <c r="DB2" s="1567"/>
      <c r="DC2" s="1567"/>
      <c r="DD2" s="1567"/>
      <c r="DE2" s="1567"/>
      <c r="DF2" s="1567"/>
      <c r="DG2" s="1567"/>
      <c r="DH2" s="1567"/>
      <c r="DI2" s="1567"/>
      <c r="DJ2" s="1567"/>
      <c r="DK2" s="1567"/>
      <c r="DL2" s="1567"/>
      <c r="DM2" s="1567"/>
      <c r="DN2" s="1567"/>
      <c r="DO2" s="1567"/>
      <c r="DP2" s="1567"/>
      <c r="DQ2" s="1567"/>
      <c r="DR2" s="1567"/>
      <c r="DS2" s="1567"/>
      <c r="DT2" s="1567"/>
      <c r="DU2" s="1567"/>
      <c r="DV2" s="1567"/>
      <c r="DW2" s="1567"/>
      <c r="DX2" s="1567"/>
      <c r="DY2" s="1567"/>
      <c r="DZ2" s="1567"/>
      <c r="EA2" s="1567"/>
      <c r="EB2" s="1567"/>
      <c r="EC2" s="1567"/>
      <c r="ED2" s="1567"/>
      <c r="EE2" s="1567"/>
      <c r="EF2" s="1567"/>
      <c r="EG2" s="1567"/>
      <c r="EH2" s="1567"/>
      <c r="EI2" s="1567"/>
      <c r="EJ2" s="1567"/>
      <c r="EK2" s="1567"/>
      <c r="EL2" s="1567"/>
      <c r="EM2" s="1567"/>
      <c r="EN2" s="1567"/>
      <c r="EO2" s="1567"/>
      <c r="EP2" s="1567"/>
      <c r="EQ2" s="1567"/>
      <c r="ER2" s="1567"/>
      <c r="ES2" s="1567"/>
      <c r="ET2" s="1567"/>
      <c r="EU2" s="1567"/>
      <c r="EV2" s="1567"/>
      <c r="EW2" s="1567"/>
      <c r="EX2" s="1567"/>
      <c r="EY2" s="1567"/>
      <c r="EZ2" s="1567"/>
      <c r="FA2" s="1567"/>
      <c r="FB2" s="1567"/>
      <c r="FC2" s="1567"/>
      <c r="FD2" s="1567"/>
      <c r="FE2" s="1567"/>
      <c r="FF2" s="1567"/>
      <c r="FG2" s="1567"/>
      <c r="FH2" s="1567"/>
      <c r="FI2" s="1567"/>
      <c r="FJ2" s="1567"/>
      <c r="FK2" s="1567"/>
      <c r="FL2" s="1567"/>
      <c r="FM2" s="1567"/>
      <c r="FN2" s="1567"/>
      <c r="FO2" s="1567"/>
      <c r="FP2" s="1567"/>
      <c r="FQ2" s="1567"/>
      <c r="FR2" s="1567"/>
      <c r="FS2" s="1567"/>
      <c r="FT2" s="1567"/>
      <c r="FU2" s="1567"/>
      <c r="FV2" s="1567"/>
      <c r="FW2" s="1567"/>
      <c r="FX2" s="1567"/>
      <c r="FY2" s="1567"/>
      <c r="FZ2" s="1567"/>
      <c r="GA2" s="1567"/>
      <c r="GB2" s="1567"/>
      <c r="GC2" s="1567"/>
      <c r="GD2" s="1567"/>
      <c r="GE2" s="1567"/>
      <c r="GF2" s="1567"/>
      <c r="GG2" s="1567"/>
      <c r="GH2" s="1567"/>
      <c r="GI2" s="1567"/>
      <c r="GJ2" s="1567"/>
      <c r="GK2" s="1567"/>
      <c r="GL2" s="1567"/>
      <c r="GM2" s="1567"/>
      <c r="GN2" s="1567"/>
      <c r="GO2" s="1567"/>
      <c r="GP2" s="1567"/>
      <c r="GQ2" s="1567"/>
      <c r="GR2" s="1567"/>
      <c r="GS2" s="1567"/>
      <c r="GT2" s="1567"/>
      <c r="GU2" s="1567"/>
      <c r="GV2" s="1567"/>
      <c r="GW2" s="1567"/>
      <c r="GX2" s="1567"/>
      <c r="GY2" s="1567"/>
      <c r="GZ2" s="1567"/>
      <c r="HA2" s="1567"/>
      <c r="HB2" s="1567"/>
      <c r="HC2" s="1567"/>
      <c r="HD2" s="1567"/>
      <c r="HE2" s="1567"/>
      <c r="HF2" s="1567"/>
      <c r="HG2" s="1567"/>
      <c r="HH2" s="1567"/>
      <c r="HI2" s="1567"/>
      <c r="HJ2" s="1567"/>
      <c r="HK2" s="1567"/>
      <c r="HL2" s="1567"/>
      <c r="HM2" s="1567"/>
      <c r="HN2" s="1567"/>
      <c r="HO2" s="1567"/>
      <c r="HP2" s="1567"/>
      <c r="HQ2" s="1567"/>
      <c r="HR2" s="1567"/>
      <c r="HS2" s="1567"/>
      <c r="HT2" s="1567"/>
      <c r="HU2" s="1567"/>
      <c r="HV2" s="1567"/>
      <c r="HW2" s="1567"/>
      <c r="HX2" s="1567"/>
      <c r="HY2" s="1567"/>
      <c r="HZ2" s="1567"/>
      <c r="IA2" s="1567"/>
      <c r="IB2" s="1567"/>
      <c r="IC2" s="1567"/>
      <c r="ID2" s="1567"/>
      <c r="IE2" s="1567"/>
      <c r="IF2" s="1567"/>
      <c r="IG2" s="1567"/>
      <c r="IH2" s="1567"/>
      <c r="II2" s="1567"/>
      <c r="IJ2" s="1567"/>
      <c r="IK2" s="1567"/>
      <c r="IL2" s="1567"/>
      <c r="IM2" s="1567"/>
      <c r="IN2" s="1567"/>
      <c r="IO2" s="1567"/>
      <c r="IP2" s="1567"/>
      <c r="IQ2" s="1567"/>
    </row>
    <row r="3" spans="1:251" s="416" customFormat="1" ht="18" customHeight="1" x14ac:dyDescent="0.3">
      <c r="A3" s="1969"/>
      <c r="B3" s="2028"/>
      <c r="C3" s="2028"/>
      <c r="D3" s="2028"/>
      <c r="E3" s="2028"/>
      <c r="F3" s="2028"/>
      <c r="G3" s="2028"/>
      <c r="H3" s="2028"/>
      <c r="I3" s="2028"/>
      <c r="J3" s="2028"/>
      <c r="K3" s="2028"/>
      <c r="L3" s="2028"/>
      <c r="M3" s="2028"/>
      <c r="N3" s="1567"/>
      <c r="O3" s="1567"/>
      <c r="P3" s="1567"/>
      <c r="Q3" s="1567"/>
      <c r="R3" s="1567"/>
      <c r="S3" s="1567"/>
      <c r="T3" s="1567"/>
      <c r="U3" s="1567"/>
      <c r="V3" s="1567"/>
      <c r="W3" s="1567"/>
      <c r="X3" s="1567"/>
      <c r="Y3" s="1567"/>
      <c r="Z3" s="1567"/>
      <c r="AA3" s="1567"/>
      <c r="AB3" s="1567"/>
      <c r="AC3" s="1567"/>
      <c r="AD3" s="1567"/>
      <c r="AE3" s="1567"/>
      <c r="AF3" s="1567"/>
      <c r="AG3" s="1567"/>
      <c r="AH3" s="1567"/>
      <c r="AI3" s="1567"/>
      <c r="AJ3" s="1567"/>
      <c r="AK3" s="1567"/>
      <c r="AL3" s="1567"/>
      <c r="AM3" s="1567"/>
      <c r="AN3" s="1567"/>
      <c r="AO3" s="1567"/>
      <c r="AP3" s="1567"/>
      <c r="AQ3" s="1567"/>
      <c r="AR3" s="1567"/>
      <c r="AS3" s="1567"/>
      <c r="AT3" s="1567"/>
      <c r="AU3" s="1567"/>
      <c r="AV3" s="1567"/>
      <c r="AW3" s="1567"/>
      <c r="AX3" s="1567"/>
      <c r="AY3" s="1567"/>
      <c r="AZ3" s="1567"/>
      <c r="BA3" s="1567"/>
      <c r="BB3" s="1567"/>
      <c r="BC3" s="1567"/>
      <c r="BD3" s="1567"/>
      <c r="BE3" s="1567"/>
      <c r="BF3" s="1567"/>
      <c r="BG3" s="1567"/>
      <c r="BH3" s="1567"/>
      <c r="BI3" s="1567"/>
      <c r="BJ3" s="1567"/>
      <c r="BK3" s="1567"/>
      <c r="BL3" s="1567"/>
      <c r="BM3" s="1567"/>
      <c r="BN3" s="1567"/>
      <c r="BO3" s="1567"/>
      <c r="BP3" s="1567"/>
      <c r="BQ3" s="1567"/>
      <c r="BR3" s="1567"/>
      <c r="BS3" s="1567"/>
      <c r="BT3" s="1567"/>
      <c r="BU3" s="1567"/>
      <c r="BV3" s="1567"/>
      <c r="BW3" s="1567"/>
      <c r="BX3" s="1567"/>
      <c r="BY3" s="1567"/>
      <c r="BZ3" s="1567"/>
      <c r="CA3" s="1567"/>
      <c r="CB3" s="1567"/>
      <c r="CC3" s="1567"/>
      <c r="CD3" s="1567"/>
      <c r="CE3" s="1567"/>
      <c r="CF3" s="1567"/>
      <c r="CG3" s="1567"/>
      <c r="CH3" s="1567"/>
      <c r="CI3" s="1567"/>
      <c r="CJ3" s="1567"/>
      <c r="CK3" s="1567"/>
      <c r="CL3" s="1567"/>
      <c r="CM3" s="1567"/>
      <c r="CN3" s="1567"/>
      <c r="CO3" s="1567"/>
      <c r="CP3" s="1567"/>
      <c r="CQ3" s="1567"/>
      <c r="CR3" s="1567"/>
      <c r="CS3" s="1567"/>
      <c r="CT3" s="1567"/>
      <c r="CU3" s="1567"/>
      <c r="CV3" s="1567"/>
      <c r="CW3" s="1567"/>
      <c r="CX3" s="1567"/>
      <c r="CY3" s="1567"/>
      <c r="CZ3" s="1567"/>
      <c r="DA3" s="1567"/>
      <c r="DB3" s="1567"/>
      <c r="DC3" s="1567"/>
      <c r="DD3" s="1567"/>
      <c r="DE3" s="1567"/>
      <c r="DF3" s="1567"/>
      <c r="DG3" s="1567"/>
      <c r="DH3" s="1567"/>
      <c r="DI3" s="1567"/>
      <c r="DJ3" s="1567"/>
      <c r="DK3" s="1567"/>
      <c r="DL3" s="1567"/>
      <c r="DM3" s="1567"/>
      <c r="DN3" s="1567"/>
      <c r="DO3" s="1567"/>
      <c r="DP3" s="1567"/>
      <c r="DQ3" s="1567"/>
      <c r="DR3" s="1567"/>
      <c r="DS3" s="1567"/>
      <c r="DT3" s="1567"/>
      <c r="DU3" s="1567"/>
      <c r="DV3" s="1567"/>
      <c r="DW3" s="1567"/>
      <c r="DX3" s="1567"/>
      <c r="DY3" s="1567"/>
      <c r="DZ3" s="1567"/>
      <c r="EA3" s="1567"/>
      <c r="EB3" s="1567"/>
      <c r="EC3" s="1567"/>
      <c r="ED3" s="1567"/>
      <c r="EE3" s="1567"/>
      <c r="EF3" s="1567"/>
      <c r="EG3" s="1567"/>
      <c r="EH3" s="1567"/>
      <c r="EI3" s="1567"/>
      <c r="EJ3" s="1567"/>
      <c r="EK3" s="1567"/>
      <c r="EL3" s="1567"/>
      <c r="EM3" s="1567"/>
      <c r="EN3" s="1567"/>
      <c r="EO3" s="1567"/>
      <c r="EP3" s="1567"/>
      <c r="EQ3" s="1567"/>
      <c r="ER3" s="1567"/>
      <c r="ES3" s="1567"/>
      <c r="ET3" s="1567"/>
      <c r="EU3" s="1567"/>
      <c r="EV3" s="1567"/>
      <c r="EW3" s="1567"/>
      <c r="EX3" s="1567"/>
      <c r="EY3" s="1567"/>
      <c r="EZ3" s="1567"/>
      <c r="FA3" s="1567"/>
      <c r="FB3" s="1567"/>
      <c r="FC3" s="1567"/>
      <c r="FD3" s="1567"/>
      <c r="FE3" s="1567"/>
      <c r="FF3" s="1567"/>
      <c r="FG3" s="1567"/>
      <c r="FH3" s="1567"/>
      <c r="FI3" s="1567"/>
      <c r="FJ3" s="1567"/>
      <c r="FK3" s="1567"/>
      <c r="FL3" s="1567"/>
      <c r="FM3" s="1567"/>
      <c r="FN3" s="1567"/>
      <c r="FO3" s="1567"/>
      <c r="FP3" s="1567"/>
      <c r="FQ3" s="1567"/>
      <c r="FR3" s="1567"/>
      <c r="FS3" s="1567"/>
      <c r="FT3" s="1567"/>
      <c r="FU3" s="1567"/>
      <c r="FV3" s="1567"/>
      <c r="FW3" s="1567"/>
      <c r="FX3" s="1567"/>
      <c r="FY3" s="1567"/>
      <c r="FZ3" s="1567"/>
      <c r="GA3" s="1567"/>
      <c r="GB3" s="1567"/>
      <c r="GC3" s="1567"/>
      <c r="GD3" s="1567"/>
      <c r="GE3" s="1567"/>
      <c r="GF3" s="1567"/>
      <c r="GG3" s="1567"/>
      <c r="GH3" s="1567"/>
      <c r="GI3" s="1567"/>
      <c r="GJ3" s="1567"/>
      <c r="GK3" s="1567"/>
      <c r="GL3" s="1567"/>
      <c r="GM3" s="1567"/>
      <c r="GN3" s="1567"/>
      <c r="GO3" s="1567"/>
      <c r="GP3" s="1567"/>
      <c r="GQ3" s="1567"/>
      <c r="GR3" s="1567"/>
      <c r="GS3" s="1567"/>
      <c r="GT3" s="1567"/>
      <c r="GU3" s="1567"/>
      <c r="GV3" s="1567"/>
      <c r="GW3" s="1567"/>
      <c r="GX3" s="1567"/>
      <c r="GY3" s="1567"/>
      <c r="GZ3" s="1567"/>
      <c r="HA3" s="1567"/>
      <c r="HB3" s="1567"/>
      <c r="HC3" s="1567"/>
      <c r="HD3" s="1567"/>
      <c r="HE3" s="1567"/>
      <c r="HF3" s="1567"/>
      <c r="HG3" s="1567"/>
      <c r="HH3" s="1567"/>
      <c r="HI3" s="1567"/>
      <c r="HJ3" s="1567"/>
      <c r="HK3" s="1567"/>
      <c r="HL3" s="1567"/>
      <c r="HM3" s="1567"/>
      <c r="HN3" s="1567"/>
      <c r="HO3" s="1567"/>
      <c r="HP3" s="1567"/>
      <c r="HQ3" s="1567"/>
      <c r="HR3" s="1567"/>
      <c r="HS3" s="1567"/>
      <c r="HT3" s="1567"/>
      <c r="HU3" s="1567"/>
      <c r="HV3" s="1567"/>
      <c r="HW3" s="1567"/>
      <c r="HX3" s="1567"/>
      <c r="HY3" s="1567"/>
      <c r="HZ3" s="1567"/>
      <c r="IA3" s="1567"/>
      <c r="IB3" s="1567"/>
      <c r="IC3" s="1567"/>
      <c r="ID3" s="1567"/>
      <c r="IE3" s="1567"/>
      <c r="IF3" s="1567"/>
      <c r="IG3" s="1567"/>
      <c r="IH3" s="1567"/>
      <c r="II3" s="1567"/>
      <c r="IJ3" s="1567"/>
      <c r="IK3" s="1567"/>
      <c r="IL3" s="1567"/>
      <c r="IM3" s="1567"/>
      <c r="IN3" s="1567"/>
      <c r="IO3" s="1567"/>
      <c r="IP3" s="1567"/>
      <c r="IQ3" s="1567"/>
    </row>
    <row r="4" spans="1:251" s="416" customFormat="1" ht="18" customHeight="1" x14ac:dyDescent="0.35">
      <c r="A4" s="720"/>
      <c r="B4" s="2337" t="s">
        <v>14</v>
      </c>
      <c r="C4" s="2337"/>
      <c r="D4" s="2337"/>
      <c r="E4" s="2337"/>
      <c r="F4" s="2337"/>
      <c r="G4" s="2337"/>
      <c r="H4" s="2337"/>
      <c r="I4" s="2337"/>
      <c r="J4" s="2337"/>
      <c r="K4" s="2337"/>
      <c r="L4" s="2337"/>
      <c r="M4" s="2337"/>
    </row>
    <row r="5" spans="1:251" s="416" customFormat="1" ht="18" customHeight="1" x14ac:dyDescent="0.3">
      <c r="A5" s="720"/>
      <c r="B5" s="2338" t="s">
        <v>1139</v>
      </c>
      <c r="C5" s="2338"/>
      <c r="D5" s="2338"/>
      <c r="E5" s="2338"/>
      <c r="F5" s="2338"/>
      <c r="G5" s="2338"/>
      <c r="H5" s="2338"/>
      <c r="I5" s="2338"/>
      <c r="J5" s="2338"/>
      <c r="K5" s="2338"/>
      <c r="L5" s="2338"/>
      <c r="M5" s="2338"/>
    </row>
    <row r="6" spans="1:251" ht="18" customHeight="1" x14ac:dyDescent="0.3">
      <c r="M6" s="715" t="s">
        <v>0</v>
      </c>
    </row>
    <row r="7" spans="1:251" s="133" customFormat="1" ht="18" customHeight="1" thickBot="1" x14ac:dyDescent="0.25">
      <c r="A7" s="720"/>
      <c r="B7" s="742" t="s">
        <v>1</v>
      </c>
      <c r="C7" s="743" t="s">
        <v>3</v>
      </c>
      <c r="D7" s="743" t="s">
        <v>2</v>
      </c>
      <c r="E7" s="743" t="s">
        <v>4</v>
      </c>
      <c r="F7" s="743" t="s">
        <v>5</v>
      </c>
      <c r="G7" s="743" t="s">
        <v>15</v>
      </c>
      <c r="H7" s="743" t="s">
        <v>16</v>
      </c>
      <c r="I7" s="743" t="s">
        <v>17</v>
      </c>
      <c r="J7" s="743" t="s">
        <v>36</v>
      </c>
      <c r="K7" s="743" t="s">
        <v>30</v>
      </c>
      <c r="L7" s="743" t="s">
        <v>23</v>
      </c>
      <c r="M7" s="743" t="s">
        <v>37</v>
      </c>
      <c r="N7" s="720"/>
      <c r="O7" s="720"/>
      <c r="P7" s="720"/>
      <c r="Q7" s="720"/>
      <c r="R7" s="720"/>
      <c r="S7" s="720"/>
      <c r="T7" s="720"/>
      <c r="U7" s="720"/>
      <c r="V7" s="720"/>
      <c r="W7" s="720"/>
      <c r="X7" s="720"/>
      <c r="Y7" s="720"/>
      <c r="Z7" s="720"/>
      <c r="AA7" s="720"/>
      <c r="AB7" s="720"/>
      <c r="AC7" s="720"/>
      <c r="AD7" s="720"/>
      <c r="AE7" s="720"/>
      <c r="AF7" s="720"/>
      <c r="AG7" s="720"/>
      <c r="AH7" s="720"/>
      <c r="AI7" s="720"/>
      <c r="AJ7" s="720"/>
      <c r="AK7" s="720"/>
      <c r="AL7" s="720"/>
      <c r="AM7" s="720"/>
      <c r="AN7" s="720"/>
      <c r="AO7" s="720"/>
      <c r="AP7" s="720"/>
      <c r="AQ7" s="720"/>
      <c r="AR7" s="720"/>
      <c r="AS7" s="720"/>
      <c r="AT7" s="720"/>
      <c r="AU7" s="720"/>
      <c r="AV7" s="720"/>
      <c r="AW7" s="720"/>
      <c r="AX7" s="720"/>
      <c r="AY7" s="720"/>
      <c r="AZ7" s="720"/>
      <c r="BA7" s="720"/>
      <c r="BB7" s="720"/>
      <c r="BC7" s="720"/>
      <c r="BD7" s="720"/>
      <c r="BE7" s="720"/>
      <c r="BF7" s="720"/>
      <c r="BG7" s="720"/>
      <c r="BH7" s="720"/>
      <c r="BI7" s="720"/>
      <c r="BJ7" s="720"/>
      <c r="BK7" s="720"/>
      <c r="BL7" s="720"/>
      <c r="BM7" s="720"/>
      <c r="BN7" s="720"/>
      <c r="BO7" s="720"/>
      <c r="BP7" s="720"/>
      <c r="BQ7" s="720"/>
      <c r="BR7" s="720"/>
      <c r="BS7" s="720"/>
      <c r="BT7" s="720"/>
      <c r="BU7" s="720"/>
      <c r="BV7" s="720"/>
      <c r="BW7" s="720"/>
      <c r="BX7" s="720"/>
      <c r="BY7" s="720"/>
      <c r="BZ7" s="720"/>
      <c r="CA7" s="720"/>
      <c r="CB7" s="720"/>
      <c r="CC7" s="720"/>
      <c r="CD7" s="720"/>
      <c r="CE7" s="720"/>
      <c r="CF7" s="720"/>
      <c r="CG7" s="720"/>
      <c r="CH7" s="720"/>
      <c r="CI7" s="720"/>
      <c r="CJ7" s="720"/>
      <c r="CK7" s="720"/>
      <c r="CL7" s="720"/>
      <c r="CM7" s="720"/>
      <c r="CN7" s="720"/>
      <c r="CO7" s="720"/>
      <c r="CP7" s="720"/>
      <c r="CQ7" s="720"/>
      <c r="CR7" s="720"/>
      <c r="CS7" s="720"/>
      <c r="CT7" s="720"/>
      <c r="CU7" s="720"/>
      <c r="CV7" s="720"/>
      <c r="CW7" s="720"/>
      <c r="CX7" s="720"/>
      <c r="CY7" s="720"/>
      <c r="CZ7" s="720"/>
      <c r="DA7" s="720"/>
      <c r="DB7" s="720"/>
      <c r="DC7" s="720"/>
      <c r="DD7" s="720"/>
      <c r="DE7" s="720"/>
      <c r="DF7" s="720"/>
      <c r="DG7" s="720"/>
      <c r="DH7" s="720"/>
      <c r="DI7" s="720"/>
      <c r="DJ7" s="720"/>
      <c r="DK7" s="720"/>
      <c r="DL7" s="720"/>
      <c r="DM7" s="720"/>
      <c r="DN7" s="720"/>
      <c r="DO7" s="720"/>
      <c r="DP7" s="720"/>
      <c r="DQ7" s="720"/>
      <c r="DR7" s="720"/>
      <c r="DS7" s="720"/>
      <c r="DT7" s="720"/>
      <c r="DU7" s="720"/>
      <c r="DV7" s="720"/>
      <c r="DW7" s="720"/>
      <c r="DX7" s="720"/>
      <c r="DY7" s="720"/>
      <c r="DZ7" s="720"/>
      <c r="EA7" s="720"/>
      <c r="EB7" s="720"/>
      <c r="EC7" s="720"/>
      <c r="ED7" s="720"/>
      <c r="EE7" s="720"/>
      <c r="EF7" s="720"/>
      <c r="EG7" s="720"/>
      <c r="EH7" s="720"/>
      <c r="EI7" s="720"/>
      <c r="EJ7" s="720"/>
      <c r="EK7" s="720"/>
      <c r="EL7" s="720"/>
      <c r="EM7" s="720"/>
      <c r="EN7" s="720"/>
      <c r="EO7" s="720"/>
      <c r="EP7" s="720"/>
      <c r="EQ7" s="720"/>
      <c r="ER7" s="720"/>
      <c r="ES7" s="720"/>
      <c r="ET7" s="720"/>
      <c r="EU7" s="720"/>
      <c r="EV7" s="720"/>
      <c r="EW7" s="720"/>
      <c r="EX7" s="720"/>
      <c r="EY7" s="720"/>
      <c r="EZ7" s="720"/>
      <c r="FA7" s="720"/>
      <c r="FB7" s="720"/>
      <c r="FC7" s="720"/>
      <c r="FD7" s="720"/>
      <c r="FE7" s="720"/>
      <c r="FF7" s="720"/>
      <c r="FG7" s="720"/>
      <c r="FH7" s="720"/>
      <c r="FI7" s="720"/>
      <c r="FJ7" s="720"/>
      <c r="FK7" s="720"/>
      <c r="FL7" s="720"/>
      <c r="FM7" s="720"/>
      <c r="FN7" s="720"/>
      <c r="FO7" s="720"/>
      <c r="FP7" s="720"/>
      <c r="FQ7" s="720"/>
      <c r="FR7" s="720"/>
      <c r="FS7" s="720"/>
      <c r="FT7" s="720"/>
      <c r="FU7" s="720"/>
      <c r="FV7" s="720"/>
      <c r="FW7" s="720"/>
      <c r="FX7" s="720"/>
      <c r="FY7" s="720"/>
      <c r="FZ7" s="720"/>
      <c r="GA7" s="720"/>
      <c r="GB7" s="720"/>
      <c r="GC7" s="720"/>
      <c r="GD7" s="720"/>
      <c r="GE7" s="720"/>
      <c r="GF7" s="720"/>
      <c r="GG7" s="720"/>
      <c r="GH7" s="720"/>
      <c r="GI7" s="720"/>
      <c r="GJ7" s="720"/>
      <c r="GK7" s="720"/>
      <c r="GL7" s="720"/>
      <c r="GM7" s="720"/>
      <c r="GN7" s="720"/>
      <c r="GO7" s="720"/>
      <c r="GP7" s="720"/>
      <c r="GQ7" s="720"/>
      <c r="GR7" s="720"/>
      <c r="GS7" s="720"/>
      <c r="GT7" s="720"/>
      <c r="GU7" s="720"/>
      <c r="GV7" s="720"/>
      <c r="GW7" s="720"/>
      <c r="GX7" s="720"/>
      <c r="GY7" s="720"/>
      <c r="GZ7" s="720"/>
      <c r="HA7" s="720"/>
      <c r="HB7" s="720"/>
      <c r="HC7" s="720"/>
      <c r="HD7" s="720"/>
      <c r="HE7" s="720"/>
      <c r="HF7" s="720"/>
      <c r="HG7" s="720"/>
      <c r="HH7" s="720"/>
      <c r="HI7" s="720"/>
      <c r="HJ7" s="720"/>
      <c r="HK7" s="720"/>
      <c r="HL7" s="720"/>
      <c r="HM7" s="720"/>
      <c r="HN7" s="720"/>
      <c r="HO7" s="720"/>
      <c r="HP7" s="720"/>
      <c r="HQ7" s="720"/>
      <c r="HR7" s="720"/>
      <c r="HS7" s="720"/>
      <c r="HT7" s="720"/>
      <c r="HU7" s="720"/>
      <c r="HV7" s="720"/>
      <c r="HW7" s="720"/>
      <c r="HX7" s="720"/>
      <c r="HY7" s="720"/>
      <c r="HZ7" s="720"/>
      <c r="IA7" s="720"/>
      <c r="IB7" s="720"/>
      <c r="IC7" s="720"/>
      <c r="ID7" s="720"/>
      <c r="IE7" s="720"/>
      <c r="IF7" s="720"/>
      <c r="IG7" s="720"/>
      <c r="IH7" s="720"/>
      <c r="II7" s="720"/>
      <c r="IJ7" s="720"/>
      <c r="IK7" s="720"/>
      <c r="IL7" s="720"/>
      <c r="IM7" s="720"/>
      <c r="IN7" s="720"/>
      <c r="IO7" s="720"/>
      <c r="IP7" s="720"/>
      <c r="IQ7" s="720"/>
    </row>
    <row r="8" spans="1:251" ht="30" customHeight="1" x14ac:dyDescent="0.3">
      <c r="B8" s="2339" t="s">
        <v>18</v>
      </c>
      <c r="C8" s="2342" t="s">
        <v>19</v>
      </c>
      <c r="D8" s="2345" t="s">
        <v>6</v>
      </c>
      <c r="E8" s="2348" t="s">
        <v>21</v>
      </c>
      <c r="F8" s="2348" t="s">
        <v>639</v>
      </c>
      <c r="G8" s="2351" t="s">
        <v>1000</v>
      </c>
      <c r="H8" s="2354" t="s">
        <v>299</v>
      </c>
      <c r="I8" s="2357" t="s">
        <v>631</v>
      </c>
      <c r="J8" s="2358"/>
      <c r="K8" s="2358"/>
      <c r="L8" s="2359"/>
      <c r="M8" s="2360" t="s">
        <v>640</v>
      </c>
    </row>
    <row r="9" spans="1:251" ht="45.75" customHeight="1" x14ac:dyDescent="0.3">
      <c r="B9" s="2340"/>
      <c r="C9" s="2343"/>
      <c r="D9" s="2346"/>
      <c r="E9" s="2349"/>
      <c r="F9" s="2349"/>
      <c r="G9" s="2352"/>
      <c r="H9" s="2355"/>
      <c r="I9" s="714" t="s">
        <v>39</v>
      </c>
      <c r="J9" s="2363" t="s">
        <v>163</v>
      </c>
      <c r="K9" s="2363"/>
      <c r="L9" s="2364" t="s">
        <v>129</v>
      </c>
      <c r="M9" s="2361"/>
    </row>
    <row r="10" spans="1:251" ht="53.25" customHeight="1" thickBot="1" x14ac:dyDescent="0.35">
      <c r="B10" s="2341"/>
      <c r="C10" s="2344"/>
      <c r="D10" s="2347"/>
      <c r="E10" s="2350"/>
      <c r="F10" s="2350"/>
      <c r="G10" s="2353"/>
      <c r="H10" s="2356"/>
      <c r="I10" s="945" t="s">
        <v>42</v>
      </c>
      <c r="J10" s="744" t="s">
        <v>229</v>
      </c>
      <c r="K10" s="744" t="s">
        <v>164</v>
      </c>
      <c r="L10" s="2365"/>
      <c r="M10" s="2362"/>
    </row>
    <row r="11" spans="1:251" ht="23.25" customHeight="1" x14ac:dyDescent="0.3">
      <c r="A11" s="721">
        <v>1</v>
      </c>
      <c r="B11" s="944">
        <v>18</v>
      </c>
      <c r="C11" s="937" t="s">
        <v>31</v>
      </c>
      <c r="D11" s="1766"/>
      <c r="E11" s="716"/>
      <c r="F11" s="732"/>
      <c r="G11" s="1759"/>
      <c r="H11" s="975"/>
      <c r="I11" s="946"/>
      <c r="J11" s="745"/>
      <c r="K11" s="745"/>
      <c r="L11" s="746"/>
      <c r="M11" s="733"/>
    </row>
    <row r="12" spans="1:251" ht="38.1" customHeight="1" x14ac:dyDescent="0.3">
      <c r="A12" s="721">
        <v>2</v>
      </c>
      <c r="B12" s="734"/>
      <c r="C12" s="739">
        <v>1</v>
      </c>
      <c r="D12" s="422" t="s">
        <v>1131</v>
      </c>
      <c r="E12" s="736">
        <f>F12+G12+L16+M13</f>
        <v>15906</v>
      </c>
      <c r="F12" s="737"/>
      <c r="G12" s="1760">
        <v>5652</v>
      </c>
      <c r="H12" s="976" t="s">
        <v>24</v>
      </c>
      <c r="I12" s="947"/>
      <c r="J12" s="747"/>
      <c r="K12" s="747"/>
      <c r="L12" s="748"/>
      <c r="M12" s="738"/>
    </row>
    <row r="13" spans="1:251" s="1455" customFormat="1" ht="18" customHeight="1" x14ac:dyDescent="0.3">
      <c r="A13" s="773">
        <v>3</v>
      </c>
      <c r="B13" s="1445"/>
      <c r="C13" s="1568"/>
      <c r="D13" s="1569" t="s">
        <v>308</v>
      </c>
      <c r="E13" s="1448"/>
      <c r="F13" s="1449"/>
      <c r="G13" s="1763"/>
      <c r="H13" s="1450"/>
      <c r="I13" s="1451"/>
      <c r="J13" s="1570">
        <v>4554</v>
      </c>
      <c r="K13" s="1570"/>
      <c r="L13" s="1453">
        <f t="shared" ref="L13:L246" si="0">SUM(I13:K13)</f>
        <v>4554</v>
      </c>
      <c r="M13" s="1454"/>
    </row>
    <row r="14" spans="1:251" s="1455" customFormat="1" ht="18" customHeight="1" x14ac:dyDescent="0.3">
      <c r="A14" s="721">
        <v>4</v>
      </c>
      <c r="B14" s="1445"/>
      <c r="C14" s="1568"/>
      <c r="D14" s="1575" t="s">
        <v>1158</v>
      </c>
      <c r="E14" s="1448"/>
      <c r="F14" s="1449"/>
      <c r="G14" s="1763"/>
      <c r="H14" s="1450"/>
      <c r="I14" s="1451"/>
      <c r="J14" s="1737">
        <v>10254</v>
      </c>
      <c r="K14" s="1737"/>
      <c r="L14" s="1475">
        <f t="shared" si="0"/>
        <v>10254</v>
      </c>
      <c r="M14" s="1454"/>
    </row>
    <row r="15" spans="1:251" s="1466" customFormat="1" ht="18" customHeight="1" x14ac:dyDescent="0.3">
      <c r="A15" s="721">
        <v>5</v>
      </c>
      <c r="B15" s="1456"/>
      <c r="C15" s="1571"/>
      <c r="D15" s="1572" t="s">
        <v>969</v>
      </c>
      <c r="E15" s="1459"/>
      <c r="F15" s="1460"/>
      <c r="G15" s="1761"/>
      <c r="H15" s="1461"/>
      <c r="I15" s="1462"/>
      <c r="J15" s="1573"/>
      <c r="K15" s="1573"/>
      <c r="L15" s="1464">
        <f t="shared" si="0"/>
        <v>0</v>
      </c>
      <c r="M15" s="1465"/>
    </row>
    <row r="16" spans="1:251" s="1477" customFormat="1" ht="18" customHeight="1" x14ac:dyDescent="0.3">
      <c r="A16" s="773">
        <v>6</v>
      </c>
      <c r="B16" s="1467"/>
      <c r="C16" s="1574"/>
      <c r="D16" s="1575" t="s">
        <v>1250</v>
      </c>
      <c r="E16" s="1470"/>
      <c r="F16" s="1471"/>
      <c r="G16" s="1762"/>
      <c r="H16" s="1472"/>
      <c r="I16" s="1473"/>
      <c r="J16" s="1473">
        <f>SUM(J14:J15)</f>
        <v>10254</v>
      </c>
      <c r="K16" s="1473">
        <f t="shared" ref="K16" si="1">SUM(K13:K15)</f>
        <v>0</v>
      </c>
      <c r="L16" s="1475">
        <f t="shared" si="0"/>
        <v>10254</v>
      </c>
      <c r="M16" s="1476"/>
    </row>
    <row r="17" spans="1:13" ht="22.5" customHeight="1" x14ac:dyDescent="0.3">
      <c r="A17" s="721">
        <v>7</v>
      </c>
      <c r="B17" s="734"/>
      <c r="C17" s="735">
        <v>2</v>
      </c>
      <c r="D17" s="421" t="s">
        <v>744</v>
      </c>
      <c r="E17" s="736">
        <f>F17+G17+L21+M18</f>
        <v>218705</v>
      </c>
      <c r="F17" s="737">
        <f>83462</f>
        <v>83462</v>
      </c>
      <c r="G17" s="1760">
        <f>134105</f>
        <v>134105</v>
      </c>
      <c r="H17" s="976" t="s">
        <v>24</v>
      </c>
      <c r="I17" s="947"/>
      <c r="J17" s="747"/>
      <c r="K17" s="747"/>
      <c r="L17" s="748"/>
      <c r="M17" s="738"/>
    </row>
    <row r="18" spans="1:13" s="1455" customFormat="1" ht="18" customHeight="1" x14ac:dyDescent="0.3">
      <c r="A18" s="721">
        <v>8</v>
      </c>
      <c r="B18" s="1445"/>
      <c r="C18" s="1568"/>
      <c r="D18" s="1569" t="s">
        <v>308</v>
      </c>
      <c r="E18" s="1448"/>
      <c r="F18" s="1449"/>
      <c r="G18" s="1763"/>
      <c r="H18" s="1450"/>
      <c r="I18" s="1451">
        <v>500</v>
      </c>
      <c r="J18" s="1570">
        <v>638</v>
      </c>
      <c r="K18" s="1570"/>
      <c r="L18" s="1453">
        <f t="shared" ref="L18:L20" si="2">SUM(I18:K18)</f>
        <v>1138</v>
      </c>
      <c r="M18" s="1454"/>
    </row>
    <row r="19" spans="1:13" s="1455" customFormat="1" ht="18" customHeight="1" x14ac:dyDescent="0.3">
      <c r="A19" s="773">
        <v>9</v>
      </c>
      <c r="B19" s="1445"/>
      <c r="C19" s="1568"/>
      <c r="D19" s="1575" t="s">
        <v>1158</v>
      </c>
      <c r="E19" s="1448"/>
      <c r="F19" s="1449"/>
      <c r="G19" s="1763"/>
      <c r="H19" s="1450"/>
      <c r="I19" s="1473">
        <v>500</v>
      </c>
      <c r="J19" s="1737">
        <v>638</v>
      </c>
      <c r="K19" s="1737"/>
      <c r="L19" s="1475">
        <f t="shared" si="2"/>
        <v>1138</v>
      </c>
      <c r="M19" s="1454"/>
    </row>
    <row r="20" spans="1:13" s="1466" customFormat="1" ht="18" customHeight="1" x14ac:dyDescent="0.3">
      <c r="A20" s="721">
        <v>10</v>
      </c>
      <c r="B20" s="1456"/>
      <c r="C20" s="1571"/>
      <c r="D20" s="1572" t="s">
        <v>947</v>
      </c>
      <c r="E20" s="1459"/>
      <c r="F20" s="1460"/>
      <c r="G20" s="1761"/>
      <c r="H20" s="1461"/>
      <c r="I20" s="1462"/>
      <c r="J20" s="1573"/>
      <c r="K20" s="1573"/>
      <c r="L20" s="1464">
        <f t="shared" si="2"/>
        <v>0</v>
      </c>
      <c r="M20" s="1465"/>
    </row>
    <row r="21" spans="1:13" s="1477" customFormat="1" ht="18" customHeight="1" x14ac:dyDescent="0.3">
      <c r="A21" s="721">
        <v>11</v>
      </c>
      <c r="B21" s="1467"/>
      <c r="C21" s="1574"/>
      <c r="D21" s="1575" t="s">
        <v>1250</v>
      </c>
      <c r="E21" s="1470"/>
      <c r="F21" s="1471"/>
      <c r="G21" s="1762"/>
      <c r="H21" s="1472"/>
      <c r="I21" s="1473">
        <f>SUM(I19:I20)</f>
        <v>500</v>
      </c>
      <c r="J21" s="1473">
        <f t="shared" ref="J21:K21" si="3">SUM(J19:J20)</f>
        <v>638</v>
      </c>
      <c r="K21" s="1473">
        <f t="shared" si="3"/>
        <v>0</v>
      </c>
      <c r="L21" s="1475">
        <f>SUM(I21:K21)</f>
        <v>1138</v>
      </c>
      <c r="M21" s="1476"/>
    </row>
    <row r="22" spans="1:13" ht="38.1" customHeight="1" x14ac:dyDescent="0.3">
      <c r="A22" s="773">
        <v>12</v>
      </c>
      <c r="B22" s="734"/>
      <c r="C22" s="739">
        <v>3</v>
      </c>
      <c r="D22" s="422" t="s">
        <v>745</v>
      </c>
      <c r="E22" s="736">
        <f>F22+G22+L26+M23</f>
        <v>74702</v>
      </c>
      <c r="F22" s="736">
        <v>18391</v>
      </c>
      <c r="G22" s="1760">
        <f>26497+3</f>
        <v>26500</v>
      </c>
      <c r="H22" s="976" t="s">
        <v>24</v>
      </c>
      <c r="I22" s="948"/>
      <c r="J22" s="736"/>
      <c r="K22" s="736"/>
      <c r="L22" s="749"/>
      <c r="M22" s="738"/>
    </row>
    <row r="23" spans="1:13" s="1455" customFormat="1" ht="18" customHeight="1" x14ac:dyDescent="0.3">
      <c r="A23" s="721">
        <v>13</v>
      </c>
      <c r="B23" s="1445"/>
      <c r="C23" s="1568"/>
      <c r="D23" s="1569" t="s">
        <v>308</v>
      </c>
      <c r="E23" s="1448"/>
      <c r="F23" s="1449"/>
      <c r="G23" s="1763"/>
      <c r="H23" s="1450"/>
      <c r="I23" s="1451">
        <v>327</v>
      </c>
      <c r="J23" s="1570">
        <v>29484</v>
      </c>
      <c r="K23" s="1570"/>
      <c r="L23" s="1453">
        <f t="shared" si="0"/>
        <v>29811</v>
      </c>
      <c r="M23" s="1454"/>
    </row>
    <row r="24" spans="1:13" s="1455" customFormat="1" ht="18" customHeight="1" x14ac:dyDescent="0.3">
      <c r="A24" s="721">
        <v>14</v>
      </c>
      <c r="B24" s="1445"/>
      <c r="C24" s="1568"/>
      <c r="D24" s="1575" t="s">
        <v>1158</v>
      </c>
      <c r="E24" s="1448"/>
      <c r="F24" s="1449"/>
      <c r="G24" s="1763"/>
      <c r="H24" s="1450"/>
      <c r="I24" s="1473">
        <v>327</v>
      </c>
      <c r="J24" s="1737">
        <v>29484</v>
      </c>
      <c r="K24" s="1570"/>
      <c r="L24" s="1475">
        <f t="shared" ref="L24" si="4">SUM(I24:K24)</f>
        <v>29811</v>
      </c>
      <c r="M24" s="1454"/>
    </row>
    <row r="25" spans="1:13" s="1466" customFormat="1" ht="18" customHeight="1" x14ac:dyDescent="0.3">
      <c r="A25" s="773">
        <v>15</v>
      </c>
      <c r="B25" s="1456"/>
      <c r="C25" s="1571"/>
      <c r="D25" s="1572" t="s">
        <v>947</v>
      </c>
      <c r="E25" s="1459"/>
      <c r="F25" s="1460"/>
      <c r="G25" s="1761"/>
      <c r="H25" s="1461"/>
      <c r="I25" s="1462"/>
      <c r="J25" s="1573"/>
      <c r="K25" s="1573"/>
      <c r="L25" s="1464">
        <f t="shared" si="0"/>
        <v>0</v>
      </c>
      <c r="M25" s="1465"/>
    </row>
    <row r="26" spans="1:13" s="1477" customFormat="1" ht="18" customHeight="1" x14ac:dyDescent="0.3">
      <c r="A26" s="721">
        <v>16</v>
      </c>
      <c r="B26" s="1467"/>
      <c r="C26" s="1574"/>
      <c r="D26" s="1575" t="s">
        <v>1250</v>
      </c>
      <c r="E26" s="1470"/>
      <c r="F26" s="1471"/>
      <c r="G26" s="1762"/>
      <c r="H26" s="1472"/>
      <c r="I26" s="1473">
        <f>SUM(I24:I25)</f>
        <v>327</v>
      </c>
      <c r="J26" s="1473">
        <f t="shared" ref="J26:K26" si="5">SUM(J24:J25)</f>
        <v>29484</v>
      </c>
      <c r="K26" s="1473">
        <f t="shared" si="5"/>
        <v>0</v>
      </c>
      <c r="L26" s="1475">
        <f t="shared" si="0"/>
        <v>29811</v>
      </c>
      <c r="M26" s="1476"/>
    </row>
    <row r="27" spans="1:13" ht="22.5" customHeight="1" x14ac:dyDescent="0.3">
      <c r="A27" s="721">
        <v>17</v>
      </c>
      <c r="B27" s="734"/>
      <c r="C27" s="735">
        <v>4</v>
      </c>
      <c r="D27" s="421" t="s">
        <v>746</v>
      </c>
      <c r="E27" s="736">
        <f>F27+G27+L31+M28</f>
        <v>9675</v>
      </c>
      <c r="F27" s="736"/>
      <c r="G27" s="1760"/>
      <c r="H27" s="976" t="s">
        <v>24</v>
      </c>
      <c r="I27" s="948"/>
      <c r="J27" s="736"/>
      <c r="K27" s="736"/>
      <c r="L27" s="749"/>
      <c r="M27" s="738"/>
    </row>
    <row r="28" spans="1:13" s="1455" customFormat="1" ht="18" customHeight="1" x14ac:dyDescent="0.3">
      <c r="A28" s="773">
        <v>18</v>
      </c>
      <c r="B28" s="1445"/>
      <c r="C28" s="1568"/>
      <c r="D28" s="1569" t="s">
        <v>308</v>
      </c>
      <c r="E28" s="1448"/>
      <c r="F28" s="1449"/>
      <c r="G28" s="1763"/>
      <c r="H28" s="1450"/>
      <c r="I28" s="1451"/>
      <c r="J28" s="1570">
        <v>3175</v>
      </c>
      <c r="K28" s="1570"/>
      <c r="L28" s="1453">
        <f t="shared" ref="L28:L31" si="6">SUM(I28:K28)</f>
        <v>3175</v>
      </c>
      <c r="M28" s="1454"/>
    </row>
    <row r="29" spans="1:13" s="1455" customFormat="1" ht="18" customHeight="1" x14ac:dyDescent="0.3">
      <c r="A29" s="721">
        <v>19</v>
      </c>
      <c r="B29" s="1445"/>
      <c r="C29" s="1568"/>
      <c r="D29" s="1575" t="s">
        <v>1158</v>
      </c>
      <c r="E29" s="1448"/>
      <c r="F29" s="1449"/>
      <c r="G29" s="1763"/>
      <c r="H29" s="1450"/>
      <c r="I29" s="1451"/>
      <c r="J29" s="1737">
        <f>3175+6500</f>
        <v>9675</v>
      </c>
      <c r="K29" s="1570"/>
      <c r="L29" s="1475">
        <f t="shared" ref="L29" si="7">SUM(I29:K29)</f>
        <v>9675</v>
      </c>
      <c r="M29" s="1454"/>
    </row>
    <row r="30" spans="1:13" s="1466" customFormat="1" ht="18" customHeight="1" x14ac:dyDescent="0.3">
      <c r="A30" s="721">
        <v>20</v>
      </c>
      <c r="B30" s="1456"/>
      <c r="C30" s="1571"/>
      <c r="D30" s="1572" t="s">
        <v>947</v>
      </c>
      <c r="E30" s="1459"/>
      <c r="F30" s="1460"/>
      <c r="G30" s="1761"/>
      <c r="H30" s="1461"/>
      <c r="I30" s="1462"/>
      <c r="J30" s="1573"/>
      <c r="K30" s="1573"/>
      <c r="L30" s="1464">
        <f t="shared" si="6"/>
        <v>0</v>
      </c>
      <c r="M30" s="1465"/>
    </row>
    <row r="31" spans="1:13" s="1477" customFormat="1" ht="18" customHeight="1" x14ac:dyDescent="0.3">
      <c r="A31" s="773">
        <v>21</v>
      </c>
      <c r="B31" s="1467"/>
      <c r="C31" s="1574"/>
      <c r="D31" s="1575" t="s">
        <v>1250</v>
      </c>
      <c r="E31" s="1470"/>
      <c r="F31" s="1471"/>
      <c r="G31" s="1762"/>
      <c r="H31" s="1472"/>
      <c r="I31" s="1473"/>
      <c r="J31" s="1473">
        <f>SUM(J29:J30)</f>
        <v>9675</v>
      </c>
      <c r="K31" s="1473">
        <f>SUM(K29:K30)</f>
        <v>0</v>
      </c>
      <c r="L31" s="1475">
        <f t="shared" si="6"/>
        <v>9675</v>
      </c>
      <c r="M31" s="1476"/>
    </row>
    <row r="32" spans="1:13" ht="38.1" customHeight="1" x14ac:dyDescent="0.3">
      <c r="A32" s="721">
        <v>22</v>
      </c>
      <c r="B32" s="734"/>
      <c r="C32" s="739">
        <v>5</v>
      </c>
      <c r="D32" s="422" t="s">
        <v>747</v>
      </c>
      <c r="E32" s="736">
        <f>F32+G32+L36+M33</f>
        <v>1905</v>
      </c>
      <c r="F32" s="736"/>
      <c r="G32" s="1760"/>
      <c r="H32" s="976" t="s">
        <v>24</v>
      </c>
      <c r="I32" s="948"/>
      <c r="J32" s="736"/>
      <c r="K32" s="736"/>
      <c r="L32" s="749"/>
      <c r="M32" s="738"/>
    </row>
    <row r="33" spans="1:14" s="1455" customFormat="1" ht="18" customHeight="1" x14ac:dyDescent="0.3">
      <c r="A33" s="721">
        <v>23</v>
      </c>
      <c r="B33" s="1445"/>
      <c r="C33" s="1568"/>
      <c r="D33" s="1569" t="s">
        <v>308</v>
      </c>
      <c r="E33" s="1448"/>
      <c r="F33" s="1449"/>
      <c r="G33" s="1763"/>
      <c r="H33" s="1450"/>
      <c r="I33" s="1451"/>
      <c r="J33" s="1570">
        <v>2000</v>
      </c>
      <c r="K33" s="1570"/>
      <c r="L33" s="1453">
        <f t="shared" si="0"/>
        <v>2000</v>
      </c>
      <c r="M33" s="1454"/>
    </row>
    <row r="34" spans="1:14" s="1455" customFormat="1" ht="18" customHeight="1" x14ac:dyDescent="0.3">
      <c r="A34" s="773">
        <v>24</v>
      </c>
      <c r="B34" s="1445"/>
      <c r="C34" s="1568"/>
      <c r="D34" s="1575" t="s">
        <v>1158</v>
      </c>
      <c r="E34" s="1448"/>
      <c r="F34" s="1449"/>
      <c r="G34" s="1763"/>
      <c r="H34" s="1450"/>
      <c r="I34" s="1451"/>
      <c r="J34" s="1737">
        <v>1905</v>
      </c>
      <c r="K34" s="1570"/>
      <c r="L34" s="1475">
        <f t="shared" ref="L34" si="8">SUM(I34:K34)</f>
        <v>1905</v>
      </c>
      <c r="M34" s="1454"/>
    </row>
    <row r="35" spans="1:14" s="1466" customFormat="1" ht="18" customHeight="1" x14ac:dyDescent="0.3">
      <c r="A35" s="721">
        <v>25</v>
      </c>
      <c r="B35" s="1456"/>
      <c r="C35" s="1571"/>
      <c r="D35" s="1572" t="s">
        <v>969</v>
      </c>
      <c r="E35" s="1459"/>
      <c r="F35" s="1460"/>
      <c r="G35" s="1761"/>
      <c r="H35" s="1461"/>
      <c r="I35" s="1462"/>
      <c r="J35" s="1573"/>
      <c r="K35" s="1573"/>
      <c r="L35" s="1464">
        <f t="shared" si="0"/>
        <v>0</v>
      </c>
      <c r="M35" s="1465"/>
    </row>
    <row r="36" spans="1:14" s="1477" customFormat="1" ht="18" customHeight="1" x14ac:dyDescent="0.3">
      <c r="A36" s="721">
        <v>26</v>
      </c>
      <c r="B36" s="1467"/>
      <c r="C36" s="1574"/>
      <c r="D36" s="1575" t="s">
        <v>1250</v>
      </c>
      <c r="E36" s="1470"/>
      <c r="F36" s="1471"/>
      <c r="G36" s="1762"/>
      <c r="H36" s="1472"/>
      <c r="I36" s="1473"/>
      <c r="J36" s="1473">
        <f>SUM(J34:J35)</f>
        <v>1905</v>
      </c>
      <c r="K36" s="1473">
        <f>SUM(K34:K35)</f>
        <v>0</v>
      </c>
      <c r="L36" s="1475">
        <f t="shared" si="0"/>
        <v>1905</v>
      </c>
      <c r="M36" s="1476"/>
    </row>
    <row r="37" spans="1:14" ht="38.1" customHeight="1" x14ac:dyDescent="0.3">
      <c r="A37" s="773">
        <v>27</v>
      </c>
      <c r="B37" s="734"/>
      <c r="C37" s="739">
        <v>6</v>
      </c>
      <c r="D37" s="422" t="s">
        <v>748</v>
      </c>
      <c r="E37" s="736">
        <f>F37+G37+L41+M38</f>
        <v>4260</v>
      </c>
      <c r="F37" s="737"/>
      <c r="G37" s="1760">
        <v>305</v>
      </c>
      <c r="H37" s="976" t="s">
        <v>24</v>
      </c>
      <c r="I37" s="947"/>
      <c r="J37" s="747"/>
      <c r="K37" s="747"/>
      <c r="L37" s="748"/>
      <c r="M37" s="738"/>
    </row>
    <row r="38" spans="1:14" s="1455" customFormat="1" ht="18" customHeight="1" x14ac:dyDescent="0.3">
      <c r="A38" s="721">
        <v>28</v>
      </c>
      <c r="B38" s="1445"/>
      <c r="C38" s="1568"/>
      <c r="D38" s="1569" t="s">
        <v>308</v>
      </c>
      <c r="E38" s="1448"/>
      <c r="F38" s="1449"/>
      <c r="G38" s="1763"/>
      <c r="H38" s="1450"/>
      <c r="I38" s="1451"/>
      <c r="J38" s="1570">
        <v>3955</v>
      </c>
      <c r="K38" s="1570"/>
      <c r="L38" s="1453">
        <f t="shared" ref="L38:L41" si="9">SUM(I38:K38)</f>
        <v>3955</v>
      </c>
      <c r="M38" s="1454"/>
    </row>
    <row r="39" spans="1:14" s="1455" customFormat="1" ht="18" customHeight="1" x14ac:dyDescent="0.3">
      <c r="A39" s="721">
        <v>29</v>
      </c>
      <c r="B39" s="1445"/>
      <c r="C39" s="1568"/>
      <c r="D39" s="1575" t="s">
        <v>1158</v>
      </c>
      <c r="E39" s="1448"/>
      <c r="F39" s="1449"/>
      <c r="G39" s="1763"/>
      <c r="H39" s="1450"/>
      <c r="I39" s="1451"/>
      <c r="J39" s="1737">
        <v>3955</v>
      </c>
      <c r="K39" s="1570"/>
      <c r="L39" s="1475">
        <f t="shared" ref="L39" si="10">SUM(I39:K39)</f>
        <v>3955</v>
      </c>
      <c r="M39" s="1454"/>
    </row>
    <row r="40" spans="1:14" s="1466" customFormat="1" ht="18" customHeight="1" x14ac:dyDescent="0.3">
      <c r="A40" s="773">
        <v>30</v>
      </c>
      <c r="B40" s="1456"/>
      <c r="C40" s="1571"/>
      <c r="D40" s="1572" t="s">
        <v>947</v>
      </c>
      <c r="E40" s="1459"/>
      <c r="F40" s="1460"/>
      <c r="G40" s="1761"/>
      <c r="H40" s="1461"/>
      <c r="I40" s="1462"/>
      <c r="J40" s="1573"/>
      <c r="K40" s="1573"/>
      <c r="L40" s="1464">
        <f t="shared" si="9"/>
        <v>0</v>
      </c>
      <c r="M40" s="1465"/>
    </row>
    <row r="41" spans="1:14" s="1477" customFormat="1" ht="18" customHeight="1" x14ac:dyDescent="0.3">
      <c r="A41" s="721">
        <v>31</v>
      </c>
      <c r="B41" s="1467"/>
      <c r="C41" s="1574"/>
      <c r="D41" s="1575" t="s">
        <v>1250</v>
      </c>
      <c r="E41" s="1470"/>
      <c r="F41" s="1471"/>
      <c r="G41" s="1762"/>
      <c r="H41" s="1472"/>
      <c r="I41" s="1473"/>
      <c r="J41" s="1473">
        <f>SUM(J39:J40)</f>
        <v>3955</v>
      </c>
      <c r="K41" s="1473">
        <f>SUM(K39:K40)</f>
        <v>0</v>
      </c>
      <c r="L41" s="1475">
        <f t="shared" si="9"/>
        <v>3955</v>
      </c>
      <c r="M41" s="1476"/>
    </row>
    <row r="42" spans="1:14" ht="22.5" customHeight="1" x14ac:dyDescent="0.3">
      <c r="A42" s="721">
        <v>32</v>
      </c>
      <c r="B42" s="734"/>
      <c r="C42" s="735">
        <v>7</v>
      </c>
      <c r="D42" s="421" t="s">
        <v>749</v>
      </c>
      <c r="E42" s="736">
        <f>F42+G42+L46+M43</f>
        <v>500</v>
      </c>
      <c r="F42" s="737"/>
      <c r="G42" s="1760"/>
      <c r="H42" s="976" t="s">
        <v>24</v>
      </c>
      <c r="I42" s="947"/>
      <c r="J42" s="747"/>
      <c r="K42" s="747"/>
      <c r="L42" s="748"/>
      <c r="M42" s="738"/>
      <c r="N42" s="722"/>
    </row>
    <row r="43" spans="1:14" s="1455" customFormat="1" ht="18" customHeight="1" x14ac:dyDescent="0.3">
      <c r="A43" s="773">
        <v>33</v>
      </c>
      <c r="B43" s="1445"/>
      <c r="C43" s="1568"/>
      <c r="D43" s="1569" t="s">
        <v>308</v>
      </c>
      <c r="E43" s="1448"/>
      <c r="F43" s="1449"/>
      <c r="G43" s="1763"/>
      <c r="H43" s="1450"/>
      <c r="I43" s="1451"/>
      <c r="J43" s="1570">
        <v>3000</v>
      </c>
      <c r="K43" s="1570"/>
      <c r="L43" s="1453">
        <f t="shared" si="0"/>
        <v>3000</v>
      </c>
      <c r="M43" s="1454"/>
    </row>
    <row r="44" spans="1:14" s="1455" customFormat="1" ht="18" customHeight="1" x14ac:dyDescent="0.3">
      <c r="A44" s="721">
        <v>34</v>
      </c>
      <c r="B44" s="1445"/>
      <c r="C44" s="1568"/>
      <c r="D44" s="1575" t="s">
        <v>1158</v>
      </c>
      <c r="E44" s="1448"/>
      <c r="F44" s="1449"/>
      <c r="G44" s="1763"/>
      <c r="H44" s="1450"/>
      <c r="I44" s="1451"/>
      <c r="J44" s="1737">
        <f>3000-2500</f>
        <v>500</v>
      </c>
      <c r="K44" s="1570"/>
      <c r="L44" s="1475">
        <f t="shared" ref="L44" si="11">SUM(I44:K44)</f>
        <v>500</v>
      </c>
      <c r="M44" s="1454"/>
    </row>
    <row r="45" spans="1:14" s="1466" customFormat="1" ht="18" customHeight="1" x14ac:dyDescent="0.3">
      <c r="A45" s="721">
        <v>35</v>
      </c>
      <c r="B45" s="1456"/>
      <c r="C45" s="1571"/>
      <c r="D45" s="1572" t="s">
        <v>947</v>
      </c>
      <c r="E45" s="1459"/>
      <c r="F45" s="1460"/>
      <c r="G45" s="1761"/>
      <c r="H45" s="1461"/>
      <c r="I45" s="1462"/>
      <c r="J45" s="1573"/>
      <c r="K45" s="1573"/>
      <c r="L45" s="1464">
        <f t="shared" si="0"/>
        <v>0</v>
      </c>
      <c r="M45" s="1465"/>
    </row>
    <row r="46" spans="1:14" s="1477" customFormat="1" ht="18" customHeight="1" x14ac:dyDescent="0.3">
      <c r="A46" s="773">
        <v>36</v>
      </c>
      <c r="B46" s="1467"/>
      <c r="C46" s="1574"/>
      <c r="D46" s="1575" t="s">
        <v>1250</v>
      </c>
      <c r="E46" s="1470"/>
      <c r="F46" s="1471"/>
      <c r="G46" s="1762"/>
      <c r="H46" s="1472"/>
      <c r="I46" s="1473"/>
      <c r="J46" s="1473">
        <f>SUM(J44:J45)</f>
        <v>500</v>
      </c>
      <c r="K46" s="1473">
        <f>SUM(K44:K45)</f>
        <v>0</v>
      </c>
      <c r="L46" s="1475">
        <f t="shared" si="0"/>
        <v>500</v>
      </c>
      <c r="M46" s="1476"/>
    </row>
    <row r="47" spans="1:14" ht="22.5" customHeight="1" x14ac:dyDescent="0.3">
      <c r="A47" s="721">
        <v>37</v>
      </c>
      <c r="B47" s="734"/>
      <c r="C47" s="735">
        <v>8</v>
      </c>
      <c r="D47" s="421" t="s">
        <v>750</v>
      </c>
      <c r="E47" s="736">
        <f>F47+G47+L51+M48</f>
        <v>25000</v>
      </c>
      <c r="F47" s="737"/>
      <c r="G47" s="1760">
        <v>12491</v>
      </c>
      <c r="H47" s="976" t="s">
        <v>24</v>
      </c>
      <c r="I47" s="947"/>
      <c r="J47" s="747"/>
      <c r="K47" s="747"/>
      <c r="L47" s="748"/>
      <c r="M47" s="738"/>
    </row>
    <row r="48" spans="1:14" s="1455" customFormat="1" ht="18" customHeight="1" x14ac:dyDescent="0.3">
      <c r="A48" s="721">
        <v>38</v>
      </c>
      <c r="B48" s="1445"/>
      <c r="C48" s="1568"/>
      <c r="D48" s="1569" t="s">
        <v>308</v>
      </c>
      <c r="E48" s="1448"/>
      <c r="F48" s="1449"/>
      <c r="G48" s="1763"/>
      <c r="H48" s="1450"/>
      <c r="I48" s="1451"/>
      <c r="J48" s="1570">
        <v>12509</v>
      </c>
      <c r="K48" s="1570"/>
      <c r="L48" s="1453">
        <f t="shared" ref="L48:L51" si="12">SUM(I48:K48)</f>
        <v>12509</v>
      </c>
      <c r="M48" s="1454"/>
    </row>
    <row r="49" spans="1:13" s="1455" customFormat="1" ht="18" customHeight="1" x14ac:dyDescent="0.3">
      <c r="A49" s="773">
        <v>39</v>
      </c>
      <c r="B49" s="1445"/>
      <c r="C49" s="1568"/>
      <c r="D49" s="1575" t="s">
        <v>1158</v>
      </c>
      <c r="E49" s="1448"/>
      <c r="F49" s="1449"/>
      <c r="G49" s="1763"/>
      <c r="H49" s="1450"/>
      <c r="I49" s="1451"/>
      <c r="J49" s="1737">
        <v>12509</v>
      </c>
      <c r="K49" s="1570"/>
      <c r="L49" s="1475">
        <f t="shared" ref="L49" si="13">SUM(I49:K49)</f>
        <v>12509</v>
      </c>
      <c r="M49" s="1454"/>
    </row>
    <row r="50" spans="1:13" s="1466" customFormat="1" ht="18" customHeight="1" x14ac:dyDescent="0.3">
      <c r="A50" s="721">
        <v>40</v>
      </c>
      <c r="B50" s="1456"/>
      <c r="C50" s="1571"/>
      <c r="D50" s="1572" t="s">
        <v>947</v>
      </c>
      <c r="E50" s="1459"/>
      <c r="F50" s="1460"/>
      <c r="G50" s="1761"/>
      <c r="H50" s="1461"/>
      <c r="I50" s="1462"/>
      <c r="J50" s="1573"/>
      <c r="K50" s="1573"/>
      <c r="L50" s="1464">
        <f t="shared" si="12"/>
        <v>0</v>
      </c>
      <c r="M50" s="1465"/>
    </row>
    <row r="51" spans="1:13" s="1477" customFormat="1" ht="18" customHeight="1" x14ac:dyDescent="0.3">
      <c r="A51" s="721">
        <v>41</v>
      </c>
      <c r="B51" s="1467"/>
      <c r="C51" s="1574"/>
      <c r="D51" s="1575" t="s">
        <v>1250</v>
      </c>
      <c r="E51" s="1470"/>
      <c r="F51" s="1471"/>
      <c r="G51" s="1762"/>
      <c r="H51" s="1472"/>
      <c r="I51" s="1473"/>
      <c r="J51" s="1473">
        <f>SUM(J49:J50)</f>
        <v>12509</v>
      </c>
      <c r="K51" s="1473">
        <f>SUM(K49:K50)</f>
        <v>0</v>
      </c>
      <c r="L51" s="1475">
        <f t="shared" si="12"/>
        <v>12509</v>
      </c>
      <c r="M51" s="1476"/>
    </row>
    <row r="52" spans="1:13" ht="22.5" customHeight="1" x14ac:dyDescent="0.3">
      <c r="A52" s="773">
        <v>42</v>
      </c>
      <c r="B52" s="734"/>
      <c r="C52" s="735">
        <v>9</v>
      </c>
      <c r="D52" s="1027" t="s">
        <v>778</v>
      </c>
      <c r="E52" s="736">
        <f>F52+G52+L56+M53</f>
        <v>3520</v>
      </c>
      <c r="F52" s="737">
        <f>3210+110</f>
        <v>3320</v>
      </c>
      <c r="G52" s="1760">
        <v>100</v>
      </c>
      <c r="H52" s="976" t="s">
        <v>24</v>
      </c>
      <c r="I52" s="947"/>
      <c r="J52" s="747"/>
      <c r="K52" s="747"/>
      <c r="L52" s="748"/>
      <c r="M52" s="738"/>
    </row>
    <row r="53" spans="1:13" s="1455" customFormat="1" ht="18" customHeight="1" x14ac:dyDescent="0.3">
      <c r="A53" s="721">
        <v>43</v>
      </c>
      <c r="B53" s="1445"/>
      <c r="C53" s="1568"/>
      <c r="D53" s="1569" t="s">
        <v>308</v>
      </c>
      <c r="E53" s="1448"/>
      <c r="F53" s="1449"/>
      <c r="G53" s="1763"/>
      <c r="H53" s="1450"/>
      <c r="I53" s="1451"/>
      <c r="J53" s="1570">
        <v>100</v>
      </c>
      <c r="K53" s="1570"/>
      <c r="L53" s="1453">
        <f t="shared" si="0"/>
        <v>100</v>
      </c>
      <c r="M53" s="1454"/>
    </row>
    <row r="54" spans="1:13" s="1455" customFormat="1" ht="18" customHeight="1" x14ac:dyDescent="0.3">
      <c r="A54" s="721">
        <v>44</v>
      </c>
      <c r="B54" s="1445"/>
      <c r="C54" s="1568"/>
      <c r="D54" s="1575" t="s">
        <v>1158</v>
      </c>
      <c r="E54" s="1448"/>
      <c r="F54" s="1449"/>
      <c r="G54" s="1763"/>
      <c r="H54" s="1450"/>
      <c r="I54" s="1451"/>
      <c r="J54" s="1737">
        <v>100</v>
      </c>
      <c r="K54" s="1570"/>
      <c r="L54" s="1475">
        <f t="shared" ref="L54" si="14">SUM(I54:K54)</f>
        <v>100</v>
      </c>
      <c r="M54" s="1454"/>
    </row>
    <row r="55" spans="1:13" s="1466" customFormat="1" ht="18" customHeight="1" x14ac:dyDescent="0.3">
      <c r="A55" s="773">
        <v>45</v>
      </c>
      <c r="B55" s="1456"/>
      <c r="C55" s="1571"/>
      <c r="D55" s="1572" t="s">
        <v>947</v>
      </c>
      <c r="E55" s="1459"/>
      <c r="F55" s="1460"/>
      <c r="G55" s="1761"/>
      <c r="H55" s="1461"/>
      <c r="I55" s="1462"/>
      <c r="J55" s="1573"/>
      <c r="K55" s="1573"/>
      <c r="L55" s="1464">
        <f t="shared" si="0"/>
        <v>0</v>
      </c>
      <c r="M55" s="1465"/>
    </row>
    <row r="56" spans="1:13" s="1477" customFormat="1" ht="18" customHeight="1" x14ac:dyDescent="0.3">
      <c r="A56" s="721">
        <v>46</v>
      </c>
      <c r="B56" s="1467"/>
      <c r="C56" s="1574"/>
      <c r="D56" s="1575" t="s">
        <v>1250</v>
      </c>
      <c r="E56" s="1470"/>
      <c r="F56" s="1471"/>
      <c r="G56" s="1762"/>
      <c r="H56" s="1472"/>
      <c r="I56" s="1473"/>
      <c r="J56" s="1473">
        <f>SUM(J54:J55)</f>
        <v>100</v>
      </c>
      <c r="K56" s="1473">
        <f>SUM(K54:K55)</f>
        <v>0</v>
      </c>
      <c r="L56" s="1475">
        <f t="shared" si="0"/>
        <v>100</v>
      </c>
      <c r="M56" s="1476"/>
    </row>
    <row r="57" spans="1:13" ht="22.5" customHeight="1" x14ac:dyDescent="0.3">
      <c r="A57" s="721">
        <v>47</v>
      </c>
      <c r="B57" s="734"/>
      <c r="C57" s="735">
        <v>10</v>
      </c>
      <c r="D57" s="1027" t="s">
        <v>779</v>
      </c>
      <c r="E57" s="736">
        <f>F57+G57+L61+M58</f>
        <v>165780</v>
      </c>
      <c r="F57" s="737">
        <f>84090+35890</f>
        <v>119980</v>
      </c>
      <c r="G57" s="1760">
        <v>22900</v>
      </c>
      <c r="H57" s="976" t="s">
        <v>24</v>
      </c>
      <c r="I57" s="947"/>
      <c r="J57" s="747"/>
      <c r="K57" s="747"/>
      <c r="L57" s="748"/>
      <c r="M57" s="738"/>
    </row>
    <row r="58" spans="1:13" s="1455" customFormat="1" ht="18" customHeight="1" x14ac:dyDescent="0.3">
      <c r="A58" s="773">
        <v>48</v>
      </c>
      <c r="B58" s="1445"/>
      <c r="C58" s="1568"/>
      <c r="D58" s="1569" t="s">
        <v>308</v>
      </c>
      <c r="E58" s="1448"/>
      <c r="F58" s="1449"/>
      <c r="G58" s="1763"/>
      <c r="H58" s="1450"/>
      <c r="I58" s="1451"/>
      <c r="J58" s="1570">
        <v>22900</v>
      </c>
      <c r="K58" s="1570"/>
      <c r="L58" s="1453">
        <f t="shared" ref="L58:L61" si="15">SUM(I58:K58)</f>
        <v>22900</v>
      </c>
      <c r="M58" s="1454"/>
    </row>
    <row r="59" spans="1:13" s="1455" customFormat="1" ht="18" customHeight="1" x14ac:dyDescent="0.3">
      <c r="A59" s="721">
        <v>49</v>
      </c>
      <c r="B59" s="1445"/>
      <c r="C59" s="1568"/>
      <c r="D59" s="1575" t="s">
        <v>1158</v>
      </c>
      <c r="E59" s="1448"/>
      <c r="F59" s="1449"/>
      <c r="G59" s="1763"/>
      <c r="H59" s="1450"/>
      <c r="I59" s="1451"/>
      <c r="J59" s="1737">
        <v>22900</v>
      </c>
      <c r="K59" s="1570"/>
      <c r="L59" s="1475">
        <f t="shared" ref="L59" si="16">SUM(I59:K59)</f>
        <v>22900</v>
      </c>
      <c r="M59" s="1454"/>
    </row>
    <row r="60" spans="1:13" s="1466" customFormat="1" ht="18" customHeight="1" x14ac:dyDescent="0.3">
      <c r="A60" s="721">
        <v>50</v>
      </c>
      <c r="B60" s="1456"/>
      <c r="C60" s="1571"/>
      <c r="D60" s="1572" t="s">
        <v>947</v>
      </c>
      <c r="E60" s="1459"/>
      <c r="F60" s="1460"/>
      <c r="G60" s="1761"/>
      <c r="H60" s="1461"/>
      <c r="I60" s="1462"/>
      <c r="J60" s="1573"/>
      <c r="K60" s="1573"/>
      <c r="L60" s="1464">
        <f t="shared" si="15"/>
        <v>0</v>
      </c>
      <c r="M60" s="1465"/>
    </row>
    <row r="61" spans="1:13" s="1477" customFormat="1" ht="18" customHeight="1" x14ac:dyDescent="0.3">
      <c r="A61" s="773">
        <v>51</v>
      </c>
      <c r="B61" s="1467"/>
      <c r="C61" s="1574"/>
      <c r="D61" s="1575" t="s">
        <v>1250</v>
      </c>
      <c r="E61" s="1470"/>
      <c r="F61" s="1471"/>
      <c r="G61" s="1762"/>
      <c r="H61" s="1472"/>
      <c r="I61" s="1473"/>
      <c r="J61" s="1473">
        <f>SUM(J59:J60)</f>
        <v>22900</v>
      </c>
      <c r="K61" s="1473">
        <f>SUM(K59:K60)</f>
        <v>0</v>
      </c>
      <c r="L61" s="1475">
        <f t="shared" si="15"/>
        <v>22900</v>
      </c>
      <c r="M61" s="1476"/>
    </row>
    <row r="62" spans="1:13" ht="22.5" customHeight="1" x14ac:dyDescent="0.3">
      <c r="A62" s="721">
        <v>52</v>
      </c>
      <c r="B62" s="734"/>
      <c r="C62" s="735">
        <v>11</v>
      </c>
      <c r="D62" s="1027" t="s">
        <v>780</v>
      </c>
      <c r="E62" s="736">
        <f>F62+G62+L66+M63</f>
        <v>100080</v>
      </c>
      <c r="F62" s="737">
        <f>100050+10</f>
        <v>100060</v>
      </c>
      <c r="G62" s="1760">
        <v>10</v>
      </c>
      <c r="H62" s="976" t="s">
        <v>24</v>
      </c>
      <c r="I62" s="947"/>
      <c r="J62" s="747"/>
      <c r="K62" s="747"/>
      <c r="L62" s="748"/>
      <c r="M62" s="738"/>
    </row>
    <row r="63" spans="1:13" s="1455" customFormat="1" ht="18" customHeight="1" x14ac:dyDescent="0.3">
      <c r="A63" s="721">
        <v>53</v>
      </c>
      <c r="B63" s="1445"/>
      <c r="C63" s="1568"/>
      <c r="D63" s="1569" t="s">
        <v>308</v>
      </c>
      <c r="E63" s="1448"/>
      <c r="F63" s="1449"/>
      <c r="G63" s="1763"/>
      <c r="H63" s="1450"/>
      <c r="I63" s="1451"/>
      <c r="J63" s="1570">
        <v>10</v>
      </c>
      <c r="K63" s="1570"/>
      <c r="L63" s="1453">
        <f t="shared" si="0"/>
        <v>10</v>
      </c>
      <c r="M63" s="1454"/>
    </row>
    <row r="64" spans="1:13" s="1455" customFormat="1" ht="18" customHeight="1" x14ac:dyDescent="0.3">
      <c r="A64" s="773">
        <v>54</v>
      </c>
      <c r="B64" s="1445"/>
      <c r="C64" s="1568"/>
      <c r="D64" s="1575" t="s">
        <v>1158</v>
      </c>
      <c r="E64" s="1448"/>
      <c r="F64" s="1449"/>
      <c r="G64" s="1763"/>
      <c r="H64" s="1450"/>
      <c r="I64" s="1451"/>
      <c r="J64" s="1570">
        <v>10</v>
      </c>
      <c r="K64" s="1570"/>
      <c r="L64" s="1475">
        <f t="shared" ref="L64" si="17">SUM(I64:K64)</f>
        <v>10</v>
      </c>
      <c r="M64" s="1454"/>
    </row>
    <row r="65" spans="1:13" s="1466" customFormat="1" ht="18" customHeight="1" x14ac:dyDescent="0.3">
      <c r="A65" s="721">
        <v>55</v>
      </c>
      <c r="B65" s="1456"/>
      <c r="C65" s="1571"/>
      <c r="D65" s="1572" t="s">
        <v>947</v>
      </c>
      <c r="E65" s="1459"/>
      <c r="F65" s="1460"/>
      <c r="G65" s="1761"/>
      <c r="H65" s="1461"/>
      <c r="I65" s="1462"/>
      <c r="J65" s="1573"/>
      <c r="K65" s="1573"/>
      <c r="L65" s="1464">
        <f t="shared" si="0"/>
        <v>0</v>
      </c>
      <c r="M65" s="1465"/>
    </row>
    <row r="66" spans="1:13" s="1477" customFormat="1" ht="18" customHeight="1" x14ac:dyDescent="0.3">
      <c r="A66" s="721">
        <v>56</v>
      </c>
      <c r="B66" s="1467"/>
      <c r="C66" s="1574"/>
      <c r="D66" s="1575" t="s">
        <v>1250</v>
      </c>
      <c r="E66" s="1470"/>
      <c r="F66" s="1471"/>
      <c r="G66" s="1762"/>
      <c r="H66" s="1472"/>
      <c r="I66" s="1473"/>
      <c r="J66" s="1473">
        <f>SUM(J64:J65)</f>
        <v>10</v>
      </c>
      <c r="K66" s="1473">
        <f>SUM(K64:K65)</f>
        <v>0</v>
      </c>
      <c r="L66" s="1475">
        <f t="shared" si="0"/>
        <v>10</v>
      </c>
      <c r="M66" s="1476"/>
    </row>
    <row r="67" spans="1:13" ht="22.5" customHeight="1" x14ac:dyDescent="0.3">
      <c r="A67" s="773">
        <v>57</v>
      </c>
      <c r="B67" s="734"/>
      <c r="C67" s="735">
        <v>12</v>
      </c>
      <c r="D67" s="1027" t="s">
        <v>781</v>
      </c>
      <c r="E67" s="736">
        <f>F67+G67+L71+M68</f>
        <v>739920</v>
      </c>
      <c r="F67" s="737">
        <f>379950+119990</f>
        <v>499940</v>
      </c>
      <c r="G67" s="1760">
        <v>119990</v>
      </c>
      <c r="H67" s="976" t="s">
        <v>24</v>
      </c>
      <c r="I67" s="947"/>
      <c r="J67" s="747"/>
      <c r="K67" s="747"/>
      <c r="L67" s="748"/>
      <c r="M67" s="738"/>
    </row>
    <row r="68" spans="1:13" s="1455" customFormat="1" ht="18" customHeight="1" x14ac:dyDescent="0.3">
      <c r="A68" s="721">
        <v>58</v>
      </c>
      <c r="B68" s="1445"/>
      <c r="C68" s="1568"/>
      <c r="D68" s="1569" t="s">
        <v>308</v>
      </c>
      <c r="E68" s="1448"/>
      <c r="F68" s="1449"/>
      <c r="G68" s="1763"/>
      <c r="H68" s="1450"/>
      <c r="I68" s="1451"/>
      <c r="J68" s="1570">
        <v>119990</v>
      </c>
      <c r="K68" s="1570"/>
      <c r="L68" s="1453">
        <f t="shared" ref="L68:L71" si="18">SUM(I68:K68)</f>
        <v>119990</v>
      </c>
      <c r="M68" s="1454"/>
    </row>
    <row r="69" spans="1:13" s="1455" customFormat="1" ht="18" customHeight="1" x14ac:dyDescent="0.3">
      <c r="A69" s="721">
        <v>59</v>
      </c>
      <c r="B69" s="1445"/>
      <c r="C69" s="1568"/>
      <c r="D69" s="1575" t="s">
        <v>1158</v>
      </c>
      <c r="E69" s="1448"/>
      <c r="F69" s="1449"/>
      <c r="G69" s="1763"/>
      <c r="H69" s="1450"/>
      <c r="I69" s="1451"/>
      <c r="J69" s="1737">
        <v>119990</v>
      </c>
      <c r="K69" s="1570"/>
      <c r="L69" s="1475">
        <f t="shared" ref="L69" si="19">SUM(I69:K69)</f>
        <v>119990</v>
      </c>
      <c r="M69" s="1454"/>
    </row>
    <row r="70" spans="1:13" s="1466" customFormat="1" ht="18" customHeight="1" x14ac:dyDescent="0.3">
      <c r="A70" s="773">
        <v>60</v>
      </c>
      <c r="B70" s="1456"/>
      <c r="C70" s="1571"/>
      <c r="D70" s="1572" t="s">
        <v>947</v>
      </c>
      <c r="E70" s="1459"/>
      <c r="F70" s="1460"/>
      <c r="G70" s="1761"/>
      <c r="H70" s="1461"/>
      <c r="I70" s="1462"/>
      <c r="J70" s="1573"/>
      <c r="K70" s="1573"/>
      <c r="L70" s="1464">
        <f t="shared" si="18"/>
        <v>0</v>
      </c>
      <c r="M70" s="1465"/>
    </row>
    <row r="71" spans="1:13" s="1477" customFormat="1" ht="18" customHeight="1" x14ac:dyDescent="0.3">
      <c r="A71" s="721">
        <v>61</v>
      </c>
      <c r="B71" s="1467"/>
      <c r="C71" s="1574"/>
      <c r="D71" s="1575" t="s">
        <v>1250</v>
      </c>
      <c r="E71" s="1470"/>
      <c r="F71" s="1471"/>
      <c r="G71" s="1762"/>
      <c r="H71" s="1472"/>
      <c r="I71" s="1473"/>
      <c r="J71" s="1473">
        <f>SUM(J69:J70)</f>
        <v>119990</v>
      </c>
      <c r="K71" s="1473">
        <f>SUM(K69:K70)</f>
        <v>0</v>
      </c>
      <c r="L71" s="1475">
        <f t="shared" si="18"/>
        <v>119990</v>
      </c>
      <c r="M71" s="1476"/>
    </row>
    <row r="72" spans="1:13" ht="22.5" customHeight="1" x14ac:dyDescent="0.3">
      <c r="A72" s="721">
        <v>62</v>
      </c>
      <c r="B72" s="734"/>
      <c r="C72" s="735">
        <v>13</v>
      </c>
      <c r="D72" s="1027" t="s">
        <v>825</v>
      </c>
      <c r="E72" s="736">
        <f>F72+G72+L76+M73</f>
        <v>251652</v>
      </c>
      <c r="F72" s="737"/>
      <c r="G72" s="1760"/>
      <c r="H72" s="976" t="s">
        <v>24</v>
      </c>
      <c r="I72" s="947"/>
      <c r="J72" s="747"/>
      <c r="K72" s="747"/>
      <c r="L72" s="748"/>
      <c r="M72" s="738"/>
    </row>
    <row r="73" spans="1:13" s="1455" customFormat="1" ht="18" customHeight="1" x14ac:dyDescent="0.3">
      <c r="A73" s="773">
        <v>63</v>
      </c>
      <c r="B73" s="1445"/>
      <c r="C73" s="1568"/>
      <c r="D73" s="1569" t="s">
        <v>308</v>
      </c>
      <c r="E73" s="1448"/>
      <c r="F73" s="1449"/>
      <c r="G73" s="1763"/>
      <c r="H73" s="1450"/>
      <c r="I73" s="1451"/>
      <c r="J73" s="1570">
        <v>251652</v>
      </c>
      <c r="K73" s="1570"/>
      <c r="L73" s="1453">
        <f t="shared" si="0"/>
        <v>251652</v>
      </c>
      <c r="M73" s="1454"/>
    </row>
    <row r="74" spans="1:13" s="1455" customFormat="1" ht="18" customHeight="1" x14ac:dyDescent="0.3">
      <c r="A74" s="721">
        <v>64</v>
      </c>
      <c r="B74" s="1445"/>
      <c r="C74" s="1568"/>
      <c r="D74" s="1575" t="s">
        <v>1158</v>
      </c>
      <c r="E74" s="1448"/>
      <c r="F74" s="1449"/>
      <c r="G74" s="1763"/>
      <c r="H74" s="1450"/>
      <c r="I74" s="1451"/>
      <c r="J74" s="1737">
        <v>251652</v>
      </c>
      <c r="K74" s="1570"/>
      <c r="L74" s="1475">
        <f t="shared" ref="L74" si="20">SUM(I74:K74)</f>
        <v>251652</v>
      </c>
      <c r="M74" s="1454"/>
    </row>
    <row r="75" spans="1:13" s="1466" customFormat="1" ht="18" customHeight="1" x14ac:dyDescent="0.3">
      <c r="A75" s="721">
        <v>65</v>
      </c>
      <c r="B75" s="1456"/>
      <c r="C75" s="1571"/>
      <c r="D75" s="1572" t="s">
        <v>947</v>
      </c>
      <c r="E75" s="1459"/>
      <c r="F75" s="1460"/>
      <c r="G75" s="1761"/>
      <c r="H75" s="1461"/>
      <c r="I75" s="1462"/>
      <c r="J75" s="1573"/>
      <c r="K75" s="1573"/>
      <c r="L75" s="1464">
        <f t="shared" si="0"/>
        <v>0</v>
      </c>
      <c r="M75" s="1465"/>
    </row>
    <row r="76" spans="1:13" s="1477" customFormat="1" ht="18" customHeight="1" x14ac:dyDescent="0.3">
      <c r="A76" s="773">
        <v>66</v>
      </c>
      <c r="B76" s="1467"/>
      <c r="C76" s="1574"/>
      <c r="D76" s="1575" t="s">
        <v>1250</v>
      </c>
      <c r="E76" s="1470"/>
      <c r="F76" s="1471"/>
      <c r="G76" s="1762"/>
      <c r="H76" s="1472"/>
      <c r="I76" s="1473"/>
      <c r="J76" s="1473">
        <f>SUM(J74:J75)</f>
        <v>251652</v>
      </c>
      <c r="K76" s="1473">
        <f>SUM(K74:K75)</f>
        <v>0</v>
      </c>
      <c r="L76" s="1475">
        <f t="shared" si="0"/>
        <v>251652</v>
      </c>
      <c r="M76" s="1476"/>
    </row>
    <row r="77" spans="1:13" ht="22.5" customHeight="1" x14ac:dyDescent="0.3">
      <c r="A77" s="721">
        <v>67</v>
      </c>
      <c r="B77" s="734"/>
      <c r="C77" s="735">
        <v>14</v>
      </c>
      <c r="D77" s="1027" t="s">
        <v>782</v>
      </c>
      <c r="E77" s="736">
        <f>F77+G77+L81+M78</f>
        <v>3600</v>
      </c>
      <c r="F77" s="737">
        <v>100</v>
      </c>
      <c r="G77" s="1760">
        <v>1500</v>
      </c>
      <c r="H77" s="976" t="s">
        <v>24</v>
      </c>
      <c r="I77" s="947"/>
      <c r="J77" s="747"/>
      <c r="K77" s="747"/>
      <c r="L77" s="748"/>
      <c r="M77" s="738"/>
    </row>
    <row r="78" spans="1:13" s="1455" customFormat="1" ht="18" customHeight="1" x14ac:dyDescent="0.3">
      <c r="A78" s="721">
        <v>68</v>
      </c>
      <c r="B78" s="1445"/>
      <c r="C78" s="1568"/>
      <c r="D78" s="1569" t="s">
        <v>308</v>
      </c>
      <c r="E78" s="1448"/>
      <c r="F78" s="1449"/>
      <c r="G78" s="1763"/>
      <c r="H78" s="1450"/>
      <c r="I78" s="1451"/>
      <c r="J78" s="1570">
        <v>2000</v>
      </c>
      <c r="K78" s="1570"/>
      <c r="L78" s="1453">
        <f t="shared" ref="L78:L81" si="21">SUM(I78:K78)</f>
        <v>2000</v>
      </c>
      <c r="M78" s="1454"/>
    </row>
    <row r="79" spans="1:13" s="1455" customFormat="1" ht="18" customHeight="1" x14ac:dyDescent="0.3">
      <c r="A79" s="773">
        <v>69</v>
      </c>
      <c r="B79" s="1445"/>
      <c r="C79" s="1568"/>
      <c r="D79" s="1575" t="s">
        <v>1158</v>
      </c>
      <c r="E79" s="1448"/>
      <c r="F79" s="1449"/>
      <c r="G79" s="1763"/>
      <c r="H79" s="1450"/>
      <c r="I79" s="1451"/>
      <c r="J79" s="1737">
        <v>2000</v>
      </c>
      <c r="K79" s="1570"/>
      <c r="L79" s="1475">
        <f t="shared" ref="L79" si="22">SUM(I79:K79)</f>
        <v>2000</v>
      </c>
      <c r="M79" s="1454"/>
    </row>
    <row r="80" spans="1:13" s="1466" customFormat="1" ht="18" customHeight="1" x14ac:dyDescent="0.3">
      <c r="A80" s="721">
        <v>70</v>
      </c>
      <c r="B80" s="1456"/>
      <c r="C80" s="1571"/>
      <c r="D80" s="1572" t="s">
        <v>947</v>
      </c>
      <c r="E80" s="1459"/>
      <c r="F80" s="1460"/>
      <c r="G80" s="1761"/>
      <c r="H80" s="1461"/>
      <c r="I80" s="1462"/>
      <c r="J80" s="1573"/>
      <c r="K80" s="1573"/>
      <c r="L80" s="1464">
        <f t="shared" si="21"/>
        <v>0</v>
      </c>
      <c r="M80" s="1465"/>
    </row>
    <row r="81" spans="1:15" s="1477" customFormat="1" ht="18" customHeight="1" x14ac:dyDescent="0.3">
      <c r="A81" s="721">
        <v>71</v>
      </c>
      <c r="B81" s="1467"/>
      <c r="C81" s="1574"/>
      <c r="D81" s="1575" t="s">
        <v>1250</v>
      </c>
      <c r="E81" s="1470"/>
      <c r="F81" s="1471"/>
      <c r="G81" s="1762"/>
      <c r="H81" s="1472"/>
      <c r="I81" s="1473"/>
      <c r="J81" s="1473">
        <f>SUM(J79:J80)</f>
        <v>2000</v>
      </c>
      <c r="K81" s="1473">
        <f>SUM(K79:K80)</f>
        <v>0</v>
      </c>
      <c r="L81" s="1475">
        <f t="shared" si="21"/>
        <v>2000</v>
      </c>
      <c r="M81" s="1476"/>
    </row>
    <row r="82" spans="1:15" ht="22.5" customHeight="1" x14ac:dyDescent="0.3">
      <c r="A82" s="773">
        <v>72</v>
      </c>
      <c r="B82" s="734"/>
      <c r="C82" s="735">
        <v>15</v>
      </c>
      <c r="D82" s="1027" t="s">
        <v>783</v>
      </c>
      <c r="E82" s="736">
        <f>F82+G82+L86+M83</f>
        <v>376100</v>
      </c>
      <c r="F82" s="737">
        <v>82900</v>
      </c>
      <c r="G82" s="1760">
        <v>195200</v>
      </c>
      <c r="H82" s="976" t="s">
        <v>24</v>
      </c>
      <c r="I82" s="947"/>
      <c r="J82" s="747"/>
      <c r="K82" s="747"/>
      <c r="L82" s="748"/>
      <c r="M82" s="738"/>
    </row>
    <row r="83" spans="1:15" s="1455" customFormat="1" ht="18" customHeight="1" x14ac:dyDescent="0.3">
      <c r="A83" s="721">
        <v>73</v>
      </c>
      <c r="B83" s="1445"/>
      <c r="C83" s="1568"/>
      <c r="D83" s="1569" t="s">
        <v>308</v>
      </c>
      <c r="E83" s="1448"/>
      <c r="F83" s="1449"/>
      <c r="G83" s="1763"/>
      <c r="H83" s="1450"/>
      <c r="I83" s="1451"/>
      <c r="J83" s="1570">
        <v>98000</v>
      </c>
      <c r="K83" s="1570"/>
      <c r="L83" s="1453">
        <f t="shared" si="0"/>
        <v>98000</v>
      </c>
      <c r="M83" s="1454"/>
    </row>
    <row r="84" spans="1:15" s="1455" customFormat="1" ht="18" customHeight="1" x14ac:dyDescent="0.3">
      <c r="A84" s="721">
        <v>74</v>
      </c>
      <c r="B84" s="1445"/>
      <c r="C84" s="1568"/>
      <c r="D84" s="1575" t="s">
        <v>1158</v>
      </c>
      <c r="E84" s="1448"/>
      <c r="F84" s="1449"/>
      <c r="G84" s="1763"/>
      <c r="H84" s="1450"/>
      <c r="I84" s="1451"/>
      <c r="J84" s="1737">
        <v>98000</v>
      </c>
      <c r="K84" s="1570"/>
      <c r="L84" s="1475">
        <f t="shared" ref="L84" si="23">SUM(I84:K84)</f>
        <v>98000</v>
      </c>
      <c r="M84" s="1454"/>
    </row>
    <row r="85" spans="1:15" s="1466" customFormat="1" ht="18" customHeight="1" x14ac:dyDescent="0.3">
      <c r="A85" s="773">
        <v>75</v>
      </c>
      <c r="B85" s="1456"/>
      <c r="C85" s="1571"/>
      <c r="D85" s="1572" t="s">
        <v>947</v>
      </c>
      <c r="E85" s="1459"/>
      <c r="F85" s="1460"/>
      <c r="G85" s="1761"/>
      <c r="H85" s="1461"/>
      <c r="I85" s="1462"/>
      <c r="J85" s="1573"/>
      <c r="K85" s="1573"/>
      <c r="L85" s="1464">
        <f t="shared" si="0"/>
        <v>0</v>
      </c>
      <c r="M85" s="1465"/>
    </row>
    <row r="86" spans="1:15" s="1477" customFormat="1" ht="18" customHeight="1" x14ac:dyDescent="0.3">
      <c r="A86" s="721">
        <v>76</v>
      </c>
      <c r="B86" s="1467"/>
      <c r="C86" s="1574"/>
      <c r="D86" s="1575" t="s">
        <v>1250</v>
      </c>
      <c r="E86" s="1470"/>
      <c r="F86" s="1471"/>
      <c r="G86" s="1762"/>
      <c r="H86" s="1472"/>
      <c r="I86" s="1473"/>
      <c r="J86" s="1473">
        <f>SUM(J84:J85)</f>
        <v>98000</v>
      </c>
      <c r="K86" s="1473">
        <f>SUM(K84:K85)</f>
        <v>0</v>
      </c>
      <c r="L86" s="1475">
        <f t="shared" si="0"/>
        <v>98000</v>
      </c>
      <c r="M86" s="1476"/>
    </row>
    <row r="87" spans="1:15" ht="66.75" customHeight="1" x14ac:dyDescent="0.3">
      <c r="A87" s="721">
        <v>77</v>
      </c>
      <c r="B87" s="734"/>
      <c r="C87" s="739">
        <v>16</v>
      </c>
      <c r="D87" s="1035" t="s">
        <v>751</v>
      </c>
      <c r="E87" s="736">
        <f>F87+G87+L91+M88</f>
        <v>39628</v>
      </c>
      <c r="F87" s="737">
        <f>11933+7351</f>
        <v>19284</v>
      </c>
      <c r="G87" s="1760">
        <v>12596</v>
      </c>
      <c r="H87" s="976" t="s">
        <v>24</v>
      </c>
      <c r="I87" s="947"/>
      <c r="J87" s="747"/>
      <c r="K87" s="747"/>
      <c r="L87" s="748"/>
      <c r="M87" s="738"/>
    </row>
    <row r="88" spans="1:15" s="1455" customFormat="1" ht="18" customHeight="1" x14ac:dyDescent="0.3">
      <c r="A88" s="773">
        <v>78</v>
      </c>
      <c r="B88" s="1445"/>
      <c r="C88" s="1568"/>
      <c r="D88" s="1569" t="s">
        <v>308</v>
      </c>
      <c r="E88" s="1448"/>
      <c r="F88" s="1449"/>
      <c r="G88" s="1763"/>
      <c r="H88" s="1450"/>
      <c r="I88" s="1451"/>
      <c r="J88" s="1570">
        <v>13952</v>
      </c>
      <c r="K88" s="1570"/>
      <c r="L88" s="1453">
        <f t="shared" ref="L88:L91" si="24">SUM(I88:K88)</f>
        <v>13952</v>
      </c>
      <c r="M88" s="1454"/>
    </row>
    <row r="89" spans="1:15" s="1455" customFormat="1" ht="18" customHeight="1" x14ac:dyDescent="0.3">
      <c r="A89" s="721">
        <v>79</v>
      </c>
      <c r="B89" s="1445"/>
      <c r="C89" s="1568"/>
      <c r="D89" s="1575" t="s">
        <v>1158</v>
      </c>
      <c r="E89" s="1448"/>
      <c r="F89" s="1449"/>
      <c r="G89" s="1763"/>
      <c r="H89" s="1450"/>
      <c r="I89" s="1451"/>
      <c r="J89" s="1737">
        <v>7748</v>
      </c>
      <c r="K89" s="1570"/>
      <c r="L89" s="1475">
        <f t="shared" ref="L89" si="25">SUM(I89:K89)</f>
        <v>7748</v>
      </c>
      <c r="M89" s="1454"/>
    </row>
    <row r="90" spans="1:15" s="1466" customFormat="1" ht="18" customHeight="1" x14ac:dyDescent="0.3">
      <c r="A90" s="721">
        <v>80</v>
      </c>
      <c r="B90" s="1456"/>
      <c r="C90" s="1571"/>
      <c r="D90" s="1572" t="s">
        <v>969</v>
      </c>
      <c r="E90" s="1459"/>
      <c r="F90" s="1460"/>
      <c r="G90" s="1761"/>
      <c r="H90" s="1461"/>
      <c r="I90" s="1462"/>
      <c r="J90" s="1573"/>
      <c r="K90" s="1573"/>
      <c r="L90" s="1464">
        <f t="shared" si="24"/>
        <v>0</v>
      </c>
      <c r="M90" s="1465"/>
    </row>
    <row r="91" spans="1:15" s="1477" customFormat="1" ht="18" customHeight="1" x14ac:dyDescent="0.3">
      <c r="A91" s="773">
        <v>81</v>
      </c>
      <c r="B91" s="1467"/>
      <c r="C91" s="1574"/>
      <c r="D91" s="1575" t="s">
        <v>1250</v>
      </c>
      <c r="E91" s="1470"/>
      <c r="F91" s="1471"/>
      <c r="G91" s="1762"/>
      <c r="H91" s="1472"/>
      <c r="I91" s="1473"/>
      <c r="J91" s="1473">
        <f>SUM(J89:J90)</f>
        <v>7748</v>
      </c>
      <c r="K91" s="1473">
        <f>SUM(K89:K90)</f>
        <v>0</v>
      </c>
      <c r="L91" s="1475">
        <f t="shared" si="24"/>
        <v>7748</v>
      </c>
      <c r="M91" s="1476"/>
    </row>
    <row r="92" spans="1:15" ht="22.5" customHeight="1" x14ac:dyDescent="0.3">
      <c r="A92" s="721">
        <v>82</v>
      </c>
      <c r="B92" s="734"/>
      <c r="C92" s="735">
        <v>17</v>
      </c>
      <c r="D92" s="1027" t="s">
        <v>752</v>
      </c>
      <c r="E92" s="736">
        <f>F92+G92+L96+M93</f>
        <v>3058</v>
      </c>
      <c r="F92" s="737">
        <v>2058</v>
      </c>
      <c r="G92" s="1760">
        <v>269</v>
      </c>
      <c r="H92" s="976" t="s">
        <v>24</v>
      </c>
      <c r="I92" s="947"/>
      <c r="J92" s="747"/>
      <c r="K92" s="747"/>
      <c r="L92" s="748"/>
      <c r="M92" s="738"/>
      <c r="N92" s="722"/>
      <c r="O92" s="722"/>
    </row>
    <row r="93" spans="1:15" s="1455" customFormat="1" ht="18" customHeight="1" x14ac:dyDescent="0.3">
      <c r="A93" s="721">
        <v>83</v>
      </c>
      <c r="B93" s="1445"/>
      <c r="C93" s="1568"/>
      <c r="D93" s="1569" t="s">
        <v>308</v>
      </c>
      <c r="E93" s="1448"/>
      <c r="F93" s="1449"/>
      <c r="G93" s="1763"/>
      <c r="H93" s="1450"/>
      <c r="I93" s="1451"/>
      <c r="J93" s="1570">
        <v>7173</v>
      </c>
      <c r="K93" s="1570"/>
      <c r="L93" s="1453">
        <f t="shared" si="0"/>
        <v>7173</v>
      </c>
      <c r="M93" s="1454"/>
    </row>
    <row r="94" spans="1:15" s="1455" customFormat="1" ht="18" customHeight="1" x14ac:dyDescent="0.3">
      <c r="A94" s="773">
        <v>84</v>
      </c>
      <c r="B94" s="1445"/>
      <c r="C94" s="1568"/>
      <c r="D94" s="1575" t="s">
        <v>1158</v>
      </c>
      <c r="E94" s="1448"/>
      <c r="F94" s="1449"/>
      <c r="G94" s="1763"/>
      <c r="H94" s="1450"/>
      <c r="I94" s="1451"/>
      <c r="J94" s="1737">
        <v>731</v>
      </c>
      <c r="K94" s="1570"/>
      <c r="L94" s="1475">
        <f t="shared" ref="L94" si="26">SUM(I94:K94)</f>
        <v>731</v>
      </c>
      <c r="M94" s="1454"/>
    </row>
    <row r="95" spans="1:15" s="1466" customFormat="1" ht="18" customHeight="1" x14ac:dyDescent="0.3">
      <c r="A95" s="721">
        <v>85</v>
      </c>
      <c r="B95" s="1456"/>
      <c r="C95" s="1571"/>
      <c r="D95" s="1572" t="s">
        <v>969</v>
      </c>
      <c r="E95" s="1459"/>
      <c r="F95" s="1460"/>
      <c r="G95" s="1761"/>
      <c r="H95" s="1461"/>
      <c r="I95" s="1462"/>
      <c r="J95" s="1573"/>
      <c r="K95" s="1573"/>
      <c r="L95" s="1464">
        <f t="shared" si="0"/>
        <v>0</v>
      </c>
      <c r="M95" s="1465"/>
    </row>
    <row r="96" spans="1:15" s="1477" customFormat="1" ht="18" customHeight="1" x14ac:dyDescent="0.3">
      <c r="A96" s="721">
        <v>86</v>
      </c>
      <c r="B96" s="1467"/>
      <c r="C96" s="1574"/>
      <c r="D96" s="1575" t="s">
        <v>1250</v>
      </c>
      <c r="E96" s="1470"/>
      <c r="F96" s="1471"/>
      <c r="G96" s="1762"/>
      <c r="H96" s="1472"/>
      <c r="I96" s="1473"/>
      <c r="J96" s="1473">
        <f>SUM(J94:J95)</f>
        <v>731</v>
      </c>
      <c r="K96" s="1473">
        <f t="shared" ref="K96" si="27">SUM(K93:K95)</f>
        <v>0</v>
      </c>
      <c r="L96" s="1475">
        <f t="shared" si="0"/>
        <v>731</v>
      </c>
      <c r="M96" s="1476"/>
    </row>
    <row r="97" spans="1:15" ht="22.5" customHeight="1" x14ac:dyDescent="0.3">
      <c r="A97" s="773">
        <v>87</v>
      </c>
      <c r="B97" s="734"/>
      <c r="C97" s="735">
        <v>18</v>
      </c>
      <c r="D97" s="1027" t="s">
        <v>753</v>
      </c>
      <c r="E97" s="736">
        <f>F97+G97+L101+M98</f>
        <v>3145</v>
      </c>
      <c r="F97" s="737">
        <f>248+251</f>
        <v>499</v>
      </c>
      <c r="G97" s="1760">
        <v>1455</v>
      </c>
      <c r="H97" s="976" t="s">
        <v>24</v>
      </c>
      <c r="I97" s="947"/>
      <c r="J97" s="747"/>
      <c r="K97" s="747"/>
      <c r="L97" s="748"/>
      <c r="M97" s="738"/>
      <c r="N97" s="722"/>
      <c r="O97" s="722"/>
    </row>
    <row r="98" spans="1:15" s="1455" customFormat="1" ht="18" customHeight="1" x14ac:dyDescent="0.3">
      <c r="A98" s="721">
        <v>88</v>
      </c>
      <c r="B98" s="1445"/>
      <c r="C98" s="1568"/>
      <c r="D98" s="1569" t="s">
        <v>308</v>
      </c>
      <c r="E98" s="1448"/>
      <c r="F98" s="1449"/>
      <c r="G98" s="1763"/>
      <c r="H98" s="1450"/>
      <c r="I98" s="1451"/>
      <c r="J98" s="1570">
        <v>5046</v>
      </c>
      <c r="K98" s="1570"/>
      <c r="L98" s="1453">
        <f t="shared" ref="L98:L101" si="28">SUM(I98:K98)</f>
        <v>5046</v>
      </c>
      <c r="M98" s="1454"/>
    </row>
    <row r="99" spans="1:15" s="1455" customFormat="1" ht="18" customHeight="1" x14ac:dyDescent="0.3">
      <c r="A99" s="721">
        <v>89</v>
      </c>
      <c r="B99" s="1445"/>
      <c r="C99" s="1568"/>
      <c r="D99" s="1575" t="s">
        <v>1158</v>
      </c>
      <c r="E99" s="1448"/>
      <c r="F99" s="1449"/>
      <c r="G99" s="1763"/>
      <c r="H99" s="1450"/>
      <c r="I99" s="1451"/>
      <c r="J99" s="1737">
        <v>1191</v>
      </c>
      <c r="K99" s="1570"/>
      <c r="L99" s="1475">
        <f t="shared" ref="L99" si="29">SUM(I99:K99)</f>
        <v>1191</v>
      </c>
      <c r="M99" s="1454"/>
    </row>
    <row r="100" spans="1:15" s="1466" customFormat="1" ht="18" customHeight="1" x14ac:dyDescent="0.3">
      <c r="A100" s="773">
        <v>90</v>
      </c>
      <c r="B100" s="1456"/>
      <c r="C100" s="1571"/>
      <c r="D100" s="1572" t="s">
        <v>969</v>
      </c>
      <c r="E100" s="1459"/>
      <c r="F100" s="1460"/>
      <c r="G100" s="1761"/>
      <c r="H100" s="1461"/>
      <c r="I100" s="1462"/>
      <c r="J100" s="1573"/>
      <c r="K100" s="1573"/>
      <c r="L100" s="1464">
        <f t="shared" si="28"/>
        <v>0</v>
      </c>
      <c r="M100" s="1465"/>
    </row>
    <row r="101" spans="1:15" s="1477" customFormat="1" ht="18" customHeight="1" x14ac:dyDescent="0.3">
      <c r="A101" s="721">
        <v>91</v>
      </c>
      <c r="B101" s="1467"/>
      <c r="C101" s="1574"/>
      <c r="D101" s="1575" t="s">
        <v>1250</v>
      </c>
      <c r="E101" s="1470"/>
      <c r="F101" s="1471"/>
      <c r="G101" s="1762"/>
      <c r="H101" s="1472"/>
      <c r="I101" s="1473"/>
      <c r="J101" s="1473">
        <f>SUM(J99:J100)</f>
        <v>1191</v>
      </c>
      <c r="K101" s="1473">
        <f>SUM(K99:K100)</f>
        <v>0</v>
      </c>
      <c r="L101" s="1475">
        <f t="shared" si="28"/>
        <v>1191</v>
      </c>
      <c r="M101" s="1476"/>
    </row>
    <row r="102" spans="1:15" ht="38.1" customHeight="1" x14ac:dyDescent="0.3">
      <c r="A102" s="721">
        <v>92</v>
      </c>
      <c r="B102" s="734"/>
      <c r="C102" s="739">
        <v>19</v>
      </c>
      <c r="D102" s="422" t="s">
        <v>784</v>
      </c>
      <c r="E102" s="736">
        <f>F102+G102+L106+M103</f>
        <v>9000</v>
      </c>
      <c r="F102" s="737">
        <f>3500+2500</f>
        <v>6000</v>
      </c>
      <c r="G102" s="1760">
        <v>3000</v>
      </c>
      <c r="H102" s="976" t="s">
        <v>24</v>
      </c>
      <c r="I102" s="947"/>
      <c r="J102" s="747"/>
      <c r="K102" s="747"/>
      <c r="L102" s="748"/>
      <c r="M102" s="738"/>
      <c r="N102" s="722"/>
      <c r="O102" s="722"/>
    </row>
    <row r="103" spans="1:15" s="1455" customFormat="1" ht="18" customHeight="1" x14ac:dyDescent="0.3">
      <c r="A103" s="773">
        <v>93</v>
      </c>
      <c r="B103" s="1445"/>
      <c r="C103" s="1568"/>
      <c r="D103" s="1569" t="s">
        <v>308</v>
      </c>
      <c r="E103" s="1448"/>
      <c r="F103" s="1449"/>
      <c r="G103" s="1763"/>
      <c r="H103" s="1450"/>
      <c r="I103" s="1451"/>
      <c r="J103" s="1570">
        <v>2000</v>
      </c>
      <c r="K103" s="1570"/>
      <c r="L103" s="1453">
        <f t="shared" si="0"/>
        <v>2000</v>
      </c>
      <c r="M103" s="1454"/>
    </row>
    <row r="104" spans="1:15" s="1455" customFormat="1" ht="18" customHeight="1" x14ac:dyDescent="0.3">
      <c r="A104" s="721">
        <v>94</v>
      </c>
      <c r="B104" s="1445"/>
      <c r="C104" s="1568"/>
      <c r="D104" s="1575" t="s">
        <v>1158</v>
      </c>
      <c r="E104" s="1448"/>
      <c r="F104" s="1449"/>
      <c r="G104" s="1763"/>
      <c r="H104" s="1450"/>
      <c r="I104" s="1451"/>
      <c r="J104" s="1737">
        <v>0</v>
      </c>
      <c r="K104" s="1570"/>
      <c r="L104" s="1475">
        <f t="shared" ref="L104" si="30">SUM(I104:K104)</f>
        <v>0</v>
      </c>
      <c r="M104" s="1454"/>
    </row>
    <row r="105" spans="1:15" s="1466" customFormat="1" ht="18" customHeight="1" x14ac:dyDescent="0.3">
      <c r="A105" s="721">
        <v>95</v>
      </c>
      <c r="B105" s="1456"/>
      <c r="C105" s="1571"/>
      <c r="D105" s="1572" t="s">
        <v>989</v>
      </c>
      <c r="E105" s="1459"/>
      <c r="F105" s="1460"/>
      <c r="G105" s="1761"/>
      <c r="H105" s="1461"/>
      <c r="I105" s="1462"/>
      <c r="J105" s="1573"/>
      <c r="K105" s="1573"/>
      <c r="L105" s="1464">
        <f t="shared" si="0"/>
        <v>0</v>
      </c>
      <c r="M105" s="1465"/>
    </row>
    <row r="106" spans="1:15" s="1477" customFormat="1" ht="18" customHeight="1" x14ac:dyDescent="0.3">
      <c r="A106" s="773">
        <v>96</v>
      </c>
      <c r="B106" s="1467"/>
      <c r="C106" s="1574"/>
      <c r="D106" s="1575" t="s">
        <v>1250</v>
      </c>
      <c r="E106" s="1470"/>
      <c r="F106" s="1471"/>
      <c r="G106" s="1762"/>
      <c r="H106" s="1472"/>
      <c r="I106" s="1473"/>
      <c r="J106" s="1473">
        <f>SUM(J104:J105)</f>
        <v>0</v>
      </c>
      <c r="K106" s="1473">
        <f>SUM(K104:K105)</f>
        <v>0</v>
      </c>
      <c r="L106" s="1475">
        <f t="shared" si="0"/>
        <v>0</v>
      </c>
      <c r="M106" s="1476"/>
    </row>
    <row r="107" spans="1:15" ht="22.5" customHeight="1" x14ac:dyDescent="0.3">
      <c r="A107" s="721">
        <v>97</v>
      </c>
      <c r="B107" s="734"/>
      <c r="C107" s="735">
        <v>20</v>
      </c>
      <c r="D107" s="421" t="s">
        <v>754</v>
      </c>
      <c r="E107" s="736">
        <f>F107+G107+L111+M108</f>
        <v>29323</v>
      </c>
      <c r="F107" s="737"/>
      <c r="G107" s="1760">
        <v>29323</v>
      </c>
      <c r="H107" s="976" t="s">
        <v>24</v>
      </c>
      <c r="I107" s="947"/>
      <c r="J107" s="747"/>
      <c r="K107" s="747"/>
      <c r="L107" s="748"/>
      <c r="M107" s="738"/>
      <c r="N107" s="722"/>
      <c r="O107" s="722"/>
    </row>
    <row r="108" spans="1:15" s="1455" customFormat="1" ht="18" customHeight="1" x14ac:dyDescent="0.3">
      <c r="A108" s="721">
        <v>98</v>
      </c>
      <c r="B108" s="1445"/>
      <c r="C108" s="1568"/>
      <c r="D108" s="1569" t="s">
        <v>308</v>
      </c>
      <c r="E108" s="1448"/>
      <c r="F108" s="1449"/>
      <c r="G108" s="1763"/>
      <c r="H108" s="1450"/>
      <c r="I108" s="1451"/>
      <c r="J108" s="1570">
        <v>677</v>
      </c>
      <c r="K108" s="1570"/>
      <c r="L108" s="1453">
        <f t="shared" ref="L108:L111" si="31">SUM(I108:K108)</f>
        <v>677</v>
      </c>
      <c r="M108" s="1454"/>
    </row>
    <row r="109" spans="1:15" s="1455" customFormat="1" ht="18" customHeight="1" x14ac:dyDescent="0.3">
      <c r="A109" s="773">
        <v>99</v>
      </c>
      <c r="B109" s="1445"/>
      <c r="C109" s="1568"/>
      <c r="D109" s="1575" t="s">
        <v>1158</v>
      </c>
      <c r="E109" s="1448"/>
      <c r="F109" s="1449"/>
      <c r="G109" s="1763"/>
      <c r="H109" s="1450"/>
      <c r="I109" s="1451"/>
      <c r="J109" s="1737">
        <v>0</v>
      </c>
      <c r="K109" s="1570"/>
      <c r="L109" s="1475">
        <f t="shared" ref="L109" si="32">SUM(I109:K109)</f>
        <v>0</v>
      </c>
      <c r="M109" s="1454"/>
    </row>
    <row r="110" spans="1:15" s="1466" customFormat="1" ht="18" customHeight="1" x14ac:dyDescent="0.3">
      <c r="A110" s="721">
        <v>100</v>
      </c>
      <c r="B110" s="1456"/>
      <c r="C110" s="1571"/>
      <c r="D110" s="1572" t="s">
        <v>970</v>
      </c>
      <c r="E110" s="1459"/>
      <c r="F110" s="1460"/>
      <c r="G110" s="1761"/>
      <c r="H110" s="1461"/>
      <c r="I110" s="1462"/>
      <c r="J110" s="1573"/>
      <c r="K110" s="1573"/>
      <c r="L110" s="1464">
        <f t="shared" si="31"/>
        <v>0</v>
      </c>
      <c r="M110" s="1465"/>
    </row>
    <row r="111" spans="1:15" s="1477" customFormat="1" ht="18" customHeight="1" x14ac:dyDescent="0.3">
      <c r="A111" s="721">
        <v>101</v>
      </c>
      <c r="B111" s="1467"/>
      <c r="C111" s="1574"/>
      <c r="D111" s="1575" t="s">
        <v>1250</v>
      </c>
      <c r="E111" s="1470"/>
      <c r="F111" s="1471"/>
      <c r="G111" s="1762"/>
      <c r="H111" s="1472"/>
      <c r="I111" s="1473"/>
      <c r="J111" s="1473">
        <f>SUM(J109:J110)</f>
        <v>0</v>
      </c>
      <c r="K111" s="1473">
        <f>SUM(K109:K110)</f>
        <v>0</v>
      </c>
      <c r="L111" s="1475">
        <f t="shared" si="31"/>
        <v>0</v>
      </c>
      <c r="M111" s="1476"/>
    </row>
    <row r="112" spans="1:15" ht="22.5" customHeight="1" x14ac:dyDescent="0.3">
      <c r="A112" s="773">
        <v>102</v>
      </c>
      <c r="B112" s="734"/>
      <c r="C112" s="735">
        <v>21</v>
      </c>
      <c r="D112" s="421" t="s">
        <v>699</v>
      </c>
      <c r="E112" s="736">
        <f>F112+G112+L116+M113</f>
        <v>15536</v>
      </c>
      <c r="F112" s="737">
        <v>11091</v>
      </c>
      <c r="G112" s="1760"/>
      <c r="H112" s="976" t="s">
        <v>24</v>
      </c>
      <c r="I112" s="947"/>
      <c r="J112" s="747"/>
      <c r="K112" s="747"/>
      <c r="L112" s="748"/>
      <c r="M112" s="738"/>
    </row>
    <row r="113" spans="1:13" s="1455" customFormat="1" ht="18" customHeight="1" x14ac:dyDescent="0.3">
      <c r="A113" s="721">
        <v>103</v>
      </c>
      <c r="B113" s="1445"/>
      <c r="C113" s="1568"/>
      <c r="D113" s="1569" t="s">
        <v>308</v>
      </c>
      <c r="E113" s="1448"/>
      <c r="F113" s="1449"/>
      <c r="G113" s="1763"/>
      <c r="H113" s="1450"/>
      <c r="I113" s="1451"/>
      <c r="J113" s="1570">
        <v>5309</v>
      </c>
      <c r="K113" s="1570"/>
      <c r="L113" s="1453">
        <f t="shared" si="0"/>
        <v>5309</v>
      </c>
      <c r="M113" s="1454"/>
    </row>
    <row r="114" spans="1:13" s="1455" customFormat="1" ht="18" customHeight="1" x14ac:dyDescent="0.3">
      <c r="A114" s="721">
        <v>104</v>
      </c>
      <c r="B114" s="1445"/>
      <c r="C114" s="1568"/>
      <c r="D114" s="1575" t="s">
        <v>1158</v>
      </c>
      <c r="E114" s="1448"/>
      <c r="F114" s="1449"/>
      <c r="G114" s="1763"/>
      <c r="H114" s="1450"/>
      <c r="I114" s="1451"/>
      <c r="J114" s="1737">
        <v>4445</v>
      </c>
      <c r="K114" s="1570"/>
      <c r="L114" s="1475">
        <f t="shared" ref="L114" si="33">SUM(I114:K114)</f>
        <v>4445</v>
      </c>
      <c r="M114" s="1454"/>
    </row>
    <row r="115" spans="1:13" s="1466" customFormat="1" ht="18" customHeight="1" x14ac:dyDescent="0.3">
      <c r="A115" s="773">
        <v>105</v>
      </c>
      <c r="B115" s="1456"/>
      <c r="C115" s="1571"/>
      <c r="D115" s="1572" t="s">
        <v>969</v>
      </c>
      <c r="E115" s="1459"/>
      <c r="F115" s="1460"/>
      <c r="G115" s="1761"/>
      <c r="H115" s="1461"/>
      <c r="I115" s="1462"/>
      <c r="J115" s="1573"/>
      <c r="K115" s="1573"/>
      <c r="L115" s="1464">
        <f t="shared" si="0"/>
        <v>0</v>
      </c>
      <c r="M115" s="1465"/>
    </row>
    <row r="116" spans="1:13" s="1477" customFormat="1" ht="18" customHeight="1" x14ac:dyDescent="0.3">
      <c r="A116" s="721">
        <v>106</v>
      </c>
      <c r="B116" s="1467"/>
      <c r="C116" s="1574"/>
      <c r="D116" s="1575" t="s">
        <v>1250</v>
      </c>
      <c r="E116" s="1470"/>
      <c r="F116" s="1471"/>
      <c r="G116" s="1762"/>
      <c r="H116" s="1472"/>
      <c r="I116" s="1473"/>
      <c r="J116" s="1473">
        <f>SUM(J114:J115)</f>
        <v>4445</v>
      </c>
      <c r="K116" s="1473">
        <f>SUM(K114:K115)</f>
        <v>0</v>
      </c>
      <c r="L116" s="1475">
        <f t="shared" si="0"/>
        <v>4445</v>
      </c>
      <c r="M116" s="1476"/>
    </row>
    <row r="117" spans="1:13" ht="38.1" customHeight="1" x14ac:dyDescent="0.3">
      <c r="A117" s="721">
        <v>107</v>
      </c>
      <c r="B117" s="734"/>
      <c r="C117" s="739">
        <v>22</v>
      </c>
      <c r="D117" s="422" t="s">
        <v>755</v>
      </c>
      <c r="E117" s="736">
        <f>F117+G117+L121+M118</f>
        <v>19000</v>
      </c>
      <c r="F117" s="737"/>
      <c r="G117" s="1760"/>
      <c r="H117" s="976" t="s">
        <v>24</v>
      </c>
      <c r="I117" s="947"/>
      <c r="J117" s="747"/>
      <c r="K117" s="747"/>
      <c r="L117" s="748"/>
      <c r="M117" s="738"/>
    </row>
    <row r="118" spans="1:13" s="1455" customFormat="1" ht="18" customHeight="1" x14ac:dyDescent="0.3">
      <c r="A118" s="773">
        <v>108</v>
      </c>
      <c r="B118" s="1445"/>
      <c r="C118" s="1568"/>
      <c r="D118" s="1569" t="s">
        <v>308</v>
      </c>
      <c r="E118" s="1448"/>
      <c r="F118" s="1449"/>
      <c r="G118" s="1763"/>
      <c r="H118" s="1450"/>
      <c r="I118" s="1451"/>
      <c r="J118" s="1570">
        <v>19000</v>
      </c>
      <c r="K118" s="1570"/>
      <c r="L118" s="1453">
        <f t="shared" ref="L118:L121" si="34">SUM(I118:K118)</f>
        <v>19000</v>
      </c>
      <c r="M118" s="1454"/>
    </row>
    <row r="119" spans="1:13" s="1455" customFormat="1" ht="18" customHeight="1" x14ac:dyDescent="0.3">
      <c r="A119" s="721">
        <v>109</v>
      </c>
      <c r="B119" s="1445"/>
      <c r="C119" s="1568"/>
      <c r="D119" s="1575" t="s">
        <v>1158</v>
      </c>
      <c r="E119" s="1448"/>
      <c r="F119" s="1449"/>
      <c r="G119" s="1763"/>
      <c r="H119" s="1450"/>
      <c r="I119" s="1451"/>
      <c r="J119" s="1737">
        <v>19000</v>
      </c>
      <c r="K119" s="1570"/>
      <c r="L119" s="1475">
        <f t="shared" ref="L119" si="35">SUM(I119:K119)</f>
        <v>19000</v>
      </c>
      <c r="M119" s="1454"/>
    </row>
    <row r="120" spans="1:13" s="1466" customFormat="1" ht="18" customHeight="1" x14ac:dyDescent="0.3">
      <c r="A120" s="721">
        <v>110</v>
      </c>
      <c r="B120" s="1456"/>
      <c r="C120" s="1571"/>
      <c r="D120" s="1572" t="s">
        <v>947</v>
      </c>
      <c r="E120" s="1459"/>
      <c r="F120" s="1460"/>
      <c r="G120" s="1761"/>
      <c r="H120" s="1461"/>
      <c r="I120" s="1462"/>
      <c r="J120" s="1573"/>
      <c r="K120" s="1573"/>
      <c r="L120" s="1464">
        <f t="shared" si="34"/>
        <v>0</v>
      </c>
      <c r="M120" s="1465"/>
    </row>
    <row r="121" spans="1:13" s="1477" customFormat="1" ht="18" customHeight="1" x14ac:dyDescent="0.3">
      <c r="A121" s="773">
        <v>111</v>
      </c>
      <c r="B121" s="1467"/>
      <c r="C121" s="1574"/>
      <c r="D121" s="1575" t="s">
        <v>1250</v>
      </c>
      <c r="E121" s="1470"/>
      <c r="F121" s="1471"/>
      <c r="G121" s="1762"/>
      <c r="H121" s="1472"/>
      <c r="I121" s="1473"/>
      <c r="J121" s="1473">
        <f>SUM(J119:J120)</f>
        <v>19000</v>
      </c>
      <c r="K121" s="1473">
        <f>SUM(K119:K120)</f>
        <v>0</v>
      </c>
      <c r="L121" s="1475">
        <f t="shared" si="34"/>
        <v>19000</v>
      </c>
      <c r="M121" s="1476"/>
    </row>
    <row r="122" spans="1:13" ht="22.5" customHeight="1" x14ac:dyDescent="0.3">
      <c r="A122" s="721">
        <v>112</v>
      </c>
      <c r="B122" s="734"/>
      <c r="C122" s="735">
        <v>23</v>
      </c>
      <c r="D122" s="421" t="s">
        <v>570</v>
      </c>
      <c r="E122" s="736">
        <f>F122+G122+L126+M123</f>
        <v>31063</v>
      </c>
      <c r="F122" s="737">
        <v>8127</v>
      </c>
      <c r="G122" s="1760">
        <v>11065</v>
      </c>
      <c r="H122" s="976" t="s">
        <v>24</v>
      </c>
      <c r="I122" s="947"/>
      <c r="J122" s="747"/>
      <c r="K122" s="747"/>
      <c r="L122" s="748"/>
      <c r="M122" s="738"/>
    </row>
    <row r="123" spans="1:13" s="1455" customFormat="1" ht="18" customHeight="1" x14ac:dyDescent="0.3">
      <c r="A123" s="721">
        <v>113</v>
      </c>
      <c r="B123" s="1445"/>
      <c r="C123" s="1568"/>
      <c r="D123" s="1569" t="s">
        <v>308</v>
      </c>
      <c r="E123" s="1448"/>
      <c r="F123" s="1449"/>
      <c r="G123" s="1763"/>
      <c r="H123" s="1450"/>
      <c r="I123" s="1451">
        <v>9612</v>
      </c>
      <c r="J123" s="1570">
        <v>11194</v>
      </c>
      <c r="K123" s="1570"/>
      <c r="L123" s="1453">
        <f t="shared" si="0"/>
        <v>20806</v>
      </c>
      <c r="M123" s="1454"/>
    </row>
    <row r="124" spans="1:13" s="1455" customFormat="1" ht="18" customHeight="1" x14ac:dyDescent="0.3">
      <c r="A124" s="773">
        <v>114</v>
      </c>
      <c r="B124" s="1445"/>
      <c r="C124" s="1568"/>
      <c r="D124" s="1575" t="s">
        <v>1158</v>
      </c>
      <c r="E124" s="1448"/>
      <c r="F124" s="1449"/>
      <c r="G124" s="1763"/>
      <c r="H124" s="1450"/>
      <c r="I124" s="1473">
        <f>9612-3799</f>
        <v>5813</v>
      </c>
      <c r="J124" s="1737">
        <v>6058</v>
      </c>
      <c r="K124" s="1570"/>
      <c r="L124" s="1475">
        <f t="shared" ref="L124" si="36">SUM(I124:K124)</f>
        <v>11871</v>
      </c>
      <c r="M124" s="1454"/>
    </row>
    <row r="125" spans="1:13" s="1466" customFormat="1" ht="18" customHeight="1" x14ac:dyDescent="0.3">
      <c r="A125" s="721">
        <v>115</v>
      </c>
      <c r="B125" s="1456"/>
      <c r="C125" s="1571"/>
      <c r="D125" s="1572" t="s">
        <v>969</v>
      </c>
      <c r="E125" s="1459"/>
      <c r="F125" s="1460"/>
      <c r="G125" s="1761"/>
      <c r="H125" s="1461"/>
      <c r="I125" s="1462"/>
      <c r="J125" s="1573"/>
      <c r="K125" s="1573"/>
      <c r="L125" s="1464">
        <f t="shared" si="0"/>
        <v>0</v>
      </c>
      <c r="M125" s="1465"/>
    </row>
    <row r="126" spans="1:13" s="1477" customFormat="1" ht="18" customHeight="1" x14ac:dyDescent="0.3">
      <c r="A126" s="721">
        <v>116</v>
      </c>
      <c r="B126" s="1467"/>
      <c r="C126" s="1574"/>
      <c r="D126" s="1575" t="s">
        <v>1250</v>
      </c>
      <c r="E126" s="1470"/>
      <c r="F126" s="1471"/>
      <c r="G126" s="1762"/>
      <c r="H126" s="1472"/>
      <c r="I126" s="1473">
        <f>SUM(I124:I125)</f>
        <v>5813</v>
      </c>
      <c r="J126" s="1473">
        <f>SUM(J124:J125)</f>
        <v>6058</v>
      </c>
      <c r="K126" s="1473">
        <f t="shared" ref="K126" si="37">SUM(K123:K125)</f>
        <v>0</v>
      </c>
      <c r="L126" s="1475">
        <f t="shared" si="0"/>
        <v>11871</v>
      </c>
      <c r="M126" s="1476"/>
    </row>
    <row r="127" spans="1:13" ht="22.5" customHeight="1" x14ac:dyDescent="0.3">
      <c r="A127" s="773">
        <v>117</v>
      </c>
      <c r="B127" s="734"/>
      <c r="C127" s="735">
        <v>24</v>
      </c>
      <c r="D127" s="421" t="s">
        <v>785</v>
      </c>
      <c r="E127" s="736">
        <f>F127+G127+L131+M128</f>
        <v>3120</v>
      </c>
      <c r="F127" s="737"/>
      <c r="G127" s="1760"/>
      <c r="H127" s="976" t="s">
        <v>24</v>
      </c>
      <c r="I127" s="947"/>
      <c r="J127" s="747"/>
      <c r="K127" s="747"/>
      <c r="L127" s="748"/>
      <c r="M127" s="738"/>
    </row>
    <row r="128" spans="1:13" s="1455" customFormat="1" ht="18" customHeight="1" x14ac:dyDescent="0.3">
      <c r="A128" s="721">
        <v>118</v>
      </c>
      <c r="B128" s="1445"/>
      <c r="C128" s="1568"/>
      <c r="D128" s="1569" t="s">
        <v>308</v>
      </c>
      <c r="E128" s="1448"/>
      <c r="F128" s="1449"/>
      <c r="G128" s="1763"/>
      <c r="H128" s="1450"/>
      <c r="I128" s="1451"/>
      <c r="J128" s="1570">
        <v>7620</v>
      </c>
      <c r="K128" s="1570"/>
      <c r="L128" s="1453">
        <f t="shared" ref="L128:L131" si="38">SUM(I128:K128)</f>
        <v>7620</v>
      </c>
      <c r="M128" s="1454"/>
    </row>
    <row r="129" spans="1:13" s="1455" customFormat="1" ht="18" customHeight="1" x14ac:dyDescent="0.3">
      <c r="A129" s="721">
        <v>119</v>
      </c>
      <c r="B129" s="1445"/>
      <c r="C129" s="1568"/>
      <c r="D129" s="1575" t="s">
        <v>1158</v>
      </c>
      <c r="E129" s="1448"/>
      <c r="F129" s="1449"/>
      <c r="G129" s="1763"/>
      <c r="H129" s="1450"/>
      <c r="I129" s="1451"/>
      <c r="J129" s="1737">
        <v>3120</v>
      </c>
      <c r="K129" s="1570"/>
      <c r="L129" s="1475">
        <f t="shared" ref="L129" si="39">SUM(I129:K129)</f>
        <v>3120</v>
      </c>
      <c r="M129" s="1454"/>
    </row>
    <row r="130" spans="1:13" s="1466" customFormat="1" ht="18" customHeight="1" x14ac:dyDescent="0.3">
      <c r="A130" s="773">
        <v>120</v>
      </c>
      <c r="B130" s="1456"/>
      <c r="C130" s="1571"/>
      <c r="D130" s="1572" t="s">
        <v>969</v>
      </c>
      <c r="E130" s="1459"/>
      <c r="F130" s="1460"/>
      <c r="G130" s="1761"/>
      <c r="H130" s="1461"/>
      <c r="I130" s="1462"/>
      <c r="J130" s="1573"/>
      <c r="K130" s="1573"/>
      <c r="L130" s="1464">
        <f t="shared" si="38"/>
        <v>0</v>
      </c>
      <c r="M130" s="1465"/>
    </row>
    <row r="131" spans="1:13" s="1477" customFormat="1" ht="18" customHeight="1" x14ac:dyDescent="0.3">
      <c r="A131" s="721">
        <v>121</v>
      </c>
      <c r="B131" s="1467"/>
      <c r="C131" s="1574"/>
      <c r="D131" s="1575" t="s">
        <v>1250</v>
      </c>
      <c r="E131" s="1470"/>
      <c r="F131" s="1471"/>
      <c r="G131" s="1762"/>
      <c r="H131" s="1472"/>
      <c r="I131" s="1473">
        <f>SUM(I130)</f>
        <v>0</v>
      </c>
      <c r="J131" s="1473">
        <f>SUM(J129:J130)</f>
        <v>3120</v>
      </c>
      <c r="K131" s="1473">
        <f>SUM(K129:K130)</f>
        <v>0</v>
      </c>
      <c r="L131" s="1475">
        <f t="shared" si="38"/>
        <v>3120</v>
      </c>
      <c r="M131" s="1476"/>
    </row>
    <row r="132" spans="1:13" ht="38.1" customHeight="1" x14ac:dyDescent="0.3">
      <c r="A132" s="721">
        <v>122</v>
      </c>
      <c r="B132" s="734"/>
      <c r="C132" s="739">
        <v>25</v>
      </c>
      <c r="D132" s="422" t="s">
        <v>786</v>
      </c>
      <c r="E132" s="736">
        <f>F132+G132+L136+M133</f>
        <v>21891</v>
      </c>
      <c r="F132" s="737"/>
      <c r="G132" s="1760"/>
      <c r="H132" s="976" t="s">
        <v>24</v>
      </c>
      <c r="I132" s="947"/>
      <c r="J132" s="747"/>
      <c r="K132" s="747"/>
      <c r="L132" s="748"/>
      <c r="M132" s="738"/>
    </row>
    <row r="133" spans="1:13" s="1455" customFormat="1" ht="18" customHeight="1" x14ac:dyDescent="0.3">
      <c r="A133" s="773">
        <v>123</v>
      </c>
      <c r="B133" s="1445"/>
      <c r="C133" s="1568"/>
      <c r="D133" s="1569" t="s">
        <v>308</v>
      </c>
      <c r="E133" s="1448"/>
      <c r="F133" s="1449"/>
      <c r="G133" s="1763"/>
      <c r="H133" s="1450"/>
      <c r="I133" s="1451"/>
      <c r="J133" s="1570">
        <v>21891</v>
      </c>
      <c r="K133" s="1570"/>
      <c r="L133" s="1453">
        <f t="shared" si="0"/>
        <v>21891</v>
      </c>
      <c r="M133" s="1454"/>
    </row>
    <row r="134" spans="1:13" s="1455" customFormat="1" ht="18" customHeight="1" x14ac:dyDescent="0.3">
      <c r="A134" s="721">
        <v>124</v>
      </c>
      <c r="B134" s="1445"/>
      <c r="C134" s="1568"/>
      <c r="D134" s="1575" t="s">
        <v>1158</v>
      </c>
      <c r="E134" s="1448"/>
      <c r="F134" s="1449"/>
      <c r="G134" s="1763"/>
      <c r="H134" s="1450"/>
      <c r="I134" s="1451"/>
      <c r="J134" s="1737">
        <v>21891</v>
      </c>
      <c r="K134" s="1570"/>
      <c r="L134" s="1475">
        <f t="shared" ref="L134" si="40">SUM(I134:K134)</f>
        <v>21891</v>
      </c>
      <c r="M134" s="1454"/>
    </row>
    <row r="135" spans="1:13" s="1466" customFormat="1" ht="18" customHeight="1" x14ac:dyDescent="0.3">
      <c r="A135" s="721">
        <v>125</v>
      </c>
      <c r="B135" s="1456"/>
      <c r="C135" s="1571"/>
      <c r="D135" s="1572" t="s">
        <v>947</v>
      </c>
      <c r="E135" s="1459"/>
      <c r="F135" s="1460"/>
      <c r="G135" s="1761"/>
      <c r="H135" s="1461"/>
      <c r="I135" s="1462"/>
      <c r="J135" s="1573"/>
      <c r="K135" s="1573"/>
      <c r="L135" s="1464">
        <f t="shared" si="0"/>
        <v>0</v>
      </c>
      <c r="M135" s="1465"/>
    </row>
    <row r="136" spans="1:13" s="1477" customFormat="1" ht="18" customHeight="1" x14ac:dyDescent="0.3">
      <c r="A136" s="773">
        <v>126</v>
      </c>
      <c r="B136" s="1467"/>
      <c r="C136" s="1574"/>
      <c r="D136" s="1575" t="s">
        <v>1250</v>
      </c>
      <c r="E136" s="1470"/>
      <c r="F136" s="1471"/>
      <c r="G136" s="1762"/>
      <c r="H136" s="1472"/>
      <c r="I136" s="1473"/>
      <c r="J136" s="1473">
        <f>SUM(J134:J135)</f>
        <v>21891</v>
      </c>
      <c r="K136" s="1473">
        <f>SUM(K134:K135)</f>
        <v>0</v>
      </c>
      <c r="L136" s="1475">
        <f t="shared" si="0"/>
        <v>21891</v>
      </c>
      <c r="M136" s="1476"/>
    </row>
    <row r="137" spans="1:13" ht="38.1" customHeight="1" x14ac:dyDescent="0.3">
      <c r="A137" s="721">
        <v>127</v>
      </c>
      <c r="B137" s="734"/>
      <c r="C137" s="739">
        <v>26</v>
      </c>
      <c r="D137" s="422" t="s">
        <v>787</v>
      </c>
      <c r="E137" s="736">
        <f>F137+G137+L141+M138</f>
        <v>20620</v>
      </c>
      <c r="F137" s="737"/>
      <c r="G137" s="1760"/>
      <c r="H137" s="976" t="s">
        <v>24</v>
      </c>
      <c r="I137" s="947"/>
      <c r="J137" s="747"/>
      <c r="K137" s="747"/>
      <c r="L137" s="748"/>
      <c r="M137" s="738"/>
    </row>
    <row r="138" spans="1:13" s="1455" customFormat="1" ht="18" customHeight="1" x14ac:dyDescent="0.3">
      <c r="A138" s="721">
        <v>128</v>
      </c>
      <c r="B138" s="1445"/>
      <c r="C138" s="1568"/>
      <c r="D138" s="1569" t="s">
        <v>308</v>
      </c>
      <c r="E138" s="1448"/>
      <c r="F138" s="1449"/>
      <c r="G138" s="1763"/>
      <c r="H138" s="1450"/>
      <c r="I138" s="1451"/>
      <c r="J138" s="1570">
        <v>20620</v>
      </c>
      <c r="K138" s="1570"/>
      <c r="L138" s="1453">
        <f t="shared" ref="L138:L141" si="41">SUM(I138:K138)</f>
        <v>20620</v>
      </c>
      <c r="M138" s="1454"/>
    </row>
    <row r="139" spans="1:13" s="1455" customFormat="1" ht="18" customHeight="1" x14ac:dyDescent="0.3">
      <c r="A139" s="773">
        <v>129</v>
      </c>
      <c r="B139" s="1445"/>
      <c r="C139" s="1568"/>
      <c r="D139" s="1575" t="s">
        <v>1158</v>
      </c>
      <c r="E139" s="1448"/>
      <c r="F139" s="1449"/>
      <c r="G139" s="1763"/>
      <c r="H139" s="1450"/>
      <c r="I139" s="1451"/>
      <c r="J139" s="1737">
        <v>20620</v>
      </c>
      <c r="K139" s="1570"/>
      <c r="L139" s="1475">
        <f t="shared" ref="L139" si="42">SUM(I139:K139)</f>
        <v>20620</v>
      </c>
      <c r="M139" s="1454"/>
    </row>
    <row r="140" spans="1:13" s="1466" customFormat="1" ht="18" customHeight="1" x14ac:dyDescent="0.3">
      <c r="A140" s="721">
        <v>130</v>
      </c>
      <c r="B140" s="1456"/>
      <c r="C140" s="1571"/>
      <c r="D140" s="1572" t="s">
        <v>947</v>
      </c>
      <c r="E140" s="1459"/>
      <c r="F140" s="1460"/>
      <c r="G140" s="1761"/>
      <c r="H140" s="1461"/>
      <c r="I140" s="1462"/>
      <c r="J140" s="1573"/>
      <c r="K140" s="1573"/>
      <c r="L140" s="1464">
        <f t="shared" si="41"/>
        <v>0</v>
      </c>
      <c r="M140" s="1465"/>
    </row>
    <row r="141" spans="1:13" s="1477" customFormat="1" ht="18" customHeight="1" x14ac:dyDescent="0.3">
      <c r="A141" s="721">
        <v>131</v>
      </c>
      <c r="B141" s="1467"/>
      <c r="C141" s="1574"/>
      <c r="D141" s="1575" t="s">
        <v>1250</v>
      </c>
      <c r="E141" s="1470"/>
      <c r="F141" s="1471"/>
      <c r="G141" s="1762"/>
      <c r="H141" s="1472"/>
      <c r="I141" s="1473"/>
      <c r="J141" s="1473">
        <f>SUM(J139:J140)</f>
        <v>20620</v>
      </c>
      <c r="K141" s="1473">
        <f>SUM(K139:K140)</f>
        <v>0</v>
      </c>
      <c r="L141" s="1475">
        <f t="shared" si="41"/>
        <v>20620</v>
      </c>
      <c r="M141" s="1476"/>
    </row>
    <row r="142" spans="1:13" ht="51.95" customHeight="1" x14ac:dyDescent="0.3">
      <c r="A142" s="773">
        <v>132</v>
      </c>
      <c r="B142" s="734"/>
      <c r="C142" s="739">
        <v>27</v>
      </c>
      <c r="D142" s="422" t="s">
        <v>788</v>
      </c>
      <c r="E142" s="736">
        <f>F142+G142+L146+M143</f>
        <v>4802</v>
      </c>
      <c r="F142" s="737"/>
      <c r="G142" s="1760"/>
      <c r="H142" s="976" t="s">
        <v>24</v>
      </c>
      <c r="I142" s="947"/>
      <c r="J142" s="747"/>
      <c r="K142" s="747"/>
      <c r="L142" s="748"/>
      <c r="M142" s="738"/>
    </row>
    <row r="143" spans="1:13" s="1455" customFormat="1" ht="18" customHeight="1" x14ac:dyDescent="0.3">
      <c r="A143" s="721">
        <v>133</v>
      </c>
      <c r="B143" s="1445"/>
      <c r="C143" s="1568"/>
      <c r="D143" s="1569" t="s">
        <v>308</v>
      </c>
      <c r="E143" s="1448"/>
      <c r="F143" s="1449"/>
      <c r="G143" s="1763"/>
      <c r="H143" s="1450"/>
      <c r="I143" s="1451"/>
      <c r="J143" s="1570">
        <v>4802</v>
      </c>
      <c r="K143" s="1570"/>
      <c r="L143" s="1453">
        <f t="shared" si="0"/>
        <v>4802</v>
      </c>
      <c r="M143" s="1454"/>
    </row>
    <row r="144" spans="1:13" s="1455" customFormat="1" ht="18" customHeight="1" x14ac:dyDescent="0.3">
      <c r="A144" s="721">
        <v>134</v>
      </c>
      <c r="B144" s="1445"/>
      <c r="C144" s="1568"/>
      <c r="D144" s="1575" t="s">
        <v>1158</v>
      </c>
      <c r="E144" s="1448"/>
      <c r="F144" s="1449"/>
      <c r="G144" s="1763"/>
      <c r="H144" s="1450"/>
      <c r="I144" s="1451"/>
      <c r="J144" s="1570">
        <v>4802</v>
      </c>
      <c r="K144" s="1570"/>
      <c r="L144" s="1475">
        <f t="shared" ref="L144" si="43">SUM(I144:K144)</f>
        <v>4802</v>
      </c>
      <c r="M144" s="1454"/>
    </row>
    <row r="145" spans="1:13" s="1466" customFormat="1" ht="18" customHeight="1" x14ac:dyDescent="0.3">
      <c r="A145" s="773">
        <v>135</v>
      </c>
      <c r="B145" s="1456"/>
      <c r="C145" s="1571"/>
      <c r="D145" s="1572" t="s">
        <v>947</v>
      </c>
      <c r="E145" s="1459"/>
      <c r="F145" s="1460"/>
      <c r="G145" s="1761"/>
      <c r="H145" s="1461"/>
      <c r="I145" s="1462"/>
      <c r="J145" s="1573"/>
      <c r="K145" s="1573"/>
      <c r="L145" s="1464">
        <f t="shared" si="0"/>
        <v>0</v>
      </c>
      <c r="M145" s="1465"/>
    </row>
    <row r="146" spans="1:13" s="1477" customFormat="1" ht="18" customHeight="1" x14ac:dyDescent="0.3">
      <c r="A146" s="721">
        <v>136</v>
      </c>
      <c r="B146" s="1467"/>
      <c r="C146" s="1574"/>
      <c r="D146" s="1575" t="s">
        <v>1250</v>
      </c>
      <c r="E146" s="1470"/>
      <c r="F146" s="1471"/>
      <c r="G146" s="1762"/>
      <c r="H146" s="1472"/>
      <c r="I146" s="1473"/>
      <c r="J146" s="1473">
        <f>SUM(J144:J145)</f>
        <v>4802</v>
      </c>
      <c r="K146" s="1473">
        <f>SUM(K144:K145)</f>
        <v>0</v>
      </c>
      <c r="L146" s="1475">
        <f t="shared" si="0"/>
        <v>4802</v>
      </c>
      <c r="M146" s="1476"/>
    </row>
    <row r="147" spans="1:13" ht="38.1" customHeight="1" x14ac:dyDescent="0.3">
      <c r="A147" s="721">
        <v>137</v>
      </c>
      <c r="B147" s="734"/>
      <c r="C147" s="739">
        <v>28</v>
      </c>
      <c r="D147" s="422" t="s">
        <v>789</v>
      </c>
      <c r="E147" s="736">
        <f>F147+G147+L151+M148</f>
        <v>0</v>
      </c>
      <c r="F147" s="737"/>
      <c r="G147" s="1760"/>
      <c r="H147" s="976" t="s">
        <v>24</v>
      </c>
      <c r="I147" s="947"/>
      <c r="J147" s="747"/>
      <c r="K147" s="747"/>
      <c r="L147" s="748"/>
      <c r="M147" s="738"/>
    </row>
    <row r="148" spans="1:13" s="1455" customFormat="1" ht="18" customHeight="1" x14ac:dyDescent="0.3">
      <c r="A148" s="773">
        <v>138</v>
      </c>
      <c r="B148" s="1445"/>
      <c r="C148" s="1568"/>
      <c r="D148" s="1569" t="s">
        <v>308</v>
      </c>
      <c r="E148" s="1448"/>
      <c r="F148" s="1449"/>
      <c r="G148" s="1763"/>
      <c r="H148" s="1450"/>
      <c r="I148" s="1451"/>
      <c r="J148" s="1570">
        <v>3000</v>
      </c>
      <c r="K148" s="1570"/>
      <c r="L148" s="1453">
        <f t="shared" ref="L148:L151" si="44">SUM(I148:K148)</f>
        <v>3000</v>
      </c>
      <c r="M148" s="1454"/>
    </row>
    <row r="149" spans="1:13" s="1455" customFormat="1" ht="18" customHeight="1" x14ac:dyDescent="0.3">
      <c r="A149" s="721">
        <v>139</v>
      </c>
      <c r="B149" s="1445"/>
      <c r="C149" s="1568"/>
      <c r="D149" s="1575" t="s">
        <v>1158</v>
      </c>
      <c r="E149" s="1448"/>
      <c r="F149" s="1449"/>
      <c r="G149" s="1763"/>
      <c r="H149" s="1450"/>
      <c r="I149" s="1451"/>
      <c r="J149" s="1737">
        <v>0</v>
      </c>
      <c r="K149" s="1570"/>
      <c r="L149" s="1475">
        <f t="shared" ref="L149" si="45">SUM(I149:K149)</f>
        <v>0</v>
      </c>
      <c r="M149" s="1454"/>
    </row>
    <row r="150" spans="1:13" s="1466" customFormat="1" ht="18" customHeight="1" x14ac:dyDescent="0.3">
      <c r="A150" s="721">
        <v>140</v>
      </c>
      <c r="B150" s="1456"/>
      <c r="C150" s="1571"/>
      <c r="D150" s="1572" t="s">
        <v>989</v>
      </c>
      <c r="E150" s="1459"/>
      <c r="F150" s="1460"/>
      <c r="G150" s="1761"/>
      <c r="H150" s="1461"/>
      <c r="I150" s="1462"/>
      <c r="J150" s="1573"/>
      <c r="K150" s="1573"/>
      <c r="L150" s="1464">
        <f t="shared" si="44"/>
        <v>0</v>
      </c>
      <c r="M150" s="1465"/>
    </row>
    <row r="151" spans="1:13" s="1477" customFormat="1" ht="18" customHeight="1" x14ac:dyDescent="0.3">
      <c r="A151" s="773">
        <v>141</v>
      </c>
      <c r="B151" s="1467"/>
      <c r="C151" s="1574"/>
      <c r="D151" s="1575" t="s">
        <v>1250</v>
      </c>
      <c r="E151" s="1470"/>
      <c r="F151" s="1471"/>
      <c r="G151" s="1762"/>
      <c r="H151" s="1472"/>
      <c r="I151" s="1473"/>
      <c r="J151" s="1473">
        <f>SUM(J149:J150)</f>
        <v>0</v>
      </c>
      <c r="K151" s="1473">
        <f>SUM(K149:K150)</f>
        <v>0</v>
      </c>
      <c r="L151" s="1475">
        <f t="shared" si="44"/>
        <v>0</v>
      </c>
      <c r="M151" s="1476"/>
    </row>
    <row r="152" spans="1:13" ht="22.5" customHeight="1" x14ac:dyDescent="0.3">
      <c r="A152" s="721">
        <v>142</v>
      </c>
      <c r="B152" s="734"/>
      <c r="C152" s="735">
        <v>29</v>
      </c>
      <c r="D152" s="421" t="s">
        <v>790</v>
      </c>
      <c r="E152" s="736">
        <f>F152+G152+L156+M153</f>
        <v>0</v>
      </c>
      <c r="F152" s="737"/>
      <c r="G152" s="1760"/>
      <c r="H152" s="976" t="s">
        <v>24</v>
      </c>
      <c r="I152" s="947"/>
      <c r="J152" s="747"/>
      <c r="K152" s="747"/>
      <c r="L152" s="748"/>
      <c r="M152" s="738"/>
    </row>
    <row r="153" spans="1:13" s="1455" customFormat="1" ht="18" customHeight="1" x14ac:dyDescent="0.3">
      <c r="A153" s="721">
        <v>143</v>
      </c>
      <c r="B153" s="1445"/>
      <c r="C153" s="1568"/>
      <c r="D153" s="1569" t="s">
        <v>308</v>
      </c>
      <c r="E153" s="1448"/>
      <c r="F153" s="1449"/>
      <c r="G153" s="1763"/>
      <c r="H153" s="1450"/>
      <c r="I153" s="1451"/>
      <c r="J153" s="1570">
        <v>4500</v>
      </c>
      <c r="K153" s="1570"/>
      <c r="L153" s="1453">
        <f t="shared" si="0"/>
        <v>4500</v>
      </c>
      <c r="M153" s="1454"/>
    </row>
    <row r="154" spans="1:13" s="1455" customFormat="1" ht="18" customHeight="1" x14ac:dyDescent="0.3">
      <c r="A154" s="773">
        <v>144</v>
      </c>
      <c r="B154" s="1445"/>
      <c r="C154" s="1568"/>
      <c r="D154" s="1575" t="s">
        <v>1158</v>
      </c>
      <c r="E154" s="1448"/>
      <c r="F154" s="1449"/>
      <c r="G154" s="1763"/>
      <c r="H154" s="1450"/>
      <c r="I154" s="1451"/>
      <c r="J154" s="1570">
        <v>0</v>
      </c>
      <c r="K154" s="1570"/>
      <c r="L154" s="1475">
        <f t="shared" ref="L154" si="46">SUM(I154:K154)</f>
        <v>0</v>
      </c>
      <c r="M154" s="1454"/>
    </row>
    <row r="155" spans="1:13" s="1466" customFormat="1" ht="18" customHeight="1" x14ac:dyDescent="0.3">
      <c r="A155" s="721">
        <v>145</v>
      </c>
      <c r="B155" s="1456"/>
      <c r="C155" s="1571"/>
      <c r="D155" s="1572" t="s">
        <v>990</v>
      </c>
      <c r="E155" s="1459"/>
      <c r="F155" s="1460"/>
      <c r="G155" s="1761"/>
      <c r="H155" s="1461"/>
      <c r="I155" s="1462"/>
      <c r="J155" s="1573"/>
      <c r="K155" s="1573"/>
      <c r="L155" s="1464">
        <f t="shared" si="0"/>
        <v>0</v>
      </c>
      <c r="M155" s="1465"/>
    </row>
    <row r="156" spans="1:13" s="1477" customFormat="1" ht="18" customHeight="1" x14ac:dyDescent="0.3">
      <c r="A156" s="721">
        <v>146</v>
      </c>
      <c r="B156" s="1467"/>
      <c r="C156" s="1574"/>
      <c r="D156" s="1575" t="s">
        <v>1250</v>
      </c>
      <c r="E156" s="1470"/>
      <c r="F156" s="1471"/>
      <c r="G156" s="1762"/>
      <c r="H156" s="1472"/>
      <c r="I156" s="1473"/>
      <c r="J156" s="1473">
        <f>SUM(J154:J155)</f>
        <v>0</v>
      </c>
      <c r="K156" s="1473">
        <f>SUM(K154:K155)</f>
        <v>0</v>
      </c>
      <c r="L156" s="1475">
        <f t="shared" si="0"/>
        <v>0</v>
      </c>
      <c r="M156" s="1476"/>
    </row>
    <row r="157" spans="1:13" ht="22.5" customHeight="1" x14ac:dyDescent="0.3">
      <c r="A157" s="773">
        <v>147</v>
      </c>
      <c r="B157" s="734"/>
      <c r="C157" s="735">
        <v>30</v>
      </c>
      <c r="D157" s="421" t="s">
        <v>791</v>
      </c>
      <c r="E157" s="736">
        <f>F157+G157+L161+M158</f>
        <v>0</v>
      </c>
      <c r="F157" s="737"/>
      <c r="G157" s="1760"/>
      <c r="H157" s="976" t="s">
        <v>24</v>
      </c>
      <c r="I157" s="947"/>
      <c r="J157" s="747"/>
      <c r="K157" s="747"/>
      <c r="L157" s="748"/>
      <c r="M157" s="738"/>
    </row>
    <row r="158" spans="1:13" s="1455" customFormat="1" ht="18" customHeight="1" x14ac:dyDescent="0.3">
      <c r="A158" s="721">
        <v>148</v>
      </c>
      <c r="B158" s="1445"/>
      <c r="C158" s="1568"/>
      <c r="D158" s="1569" t="s">
        <v>308</v>
      </c>
      <c r="E158" s="1448"/>
      <c r="F158" s="1449"/>
      <c r="G158" s="1763"/>
      <c r="H158" s="1450"/>
      <c r="I158" s="1451"/>
      <c r="J158" s="1570">
        <v>1300</v>
      </c>
      <c r="K158" s="1570"/>
      <c r="L158" s="1453">
        <f t="shared" ref="L158:L161" si="47">SUM(I158:K158)</f>
        <v>1300</v>
      </c>
      <c r="M158" s="1454"/>
    </row>
    <row r="159" spans="1:13" s="1455" customFormat="1" ht="18" customHeight="1" x14ac:dyDescent="0.3">
      <c r="A159" s="721">
        <v>149</v>
      </c>
      <c r="B159" s="1445"/>
      <c r="C159" s="1568"/>
      <c r="D159" s="1575" t="s">
        <v>1158</v>
      </c>
      <c r="E159" s="1448"/>
      <c r="F159" s="1449"/>
      <c r="G159" s="1763"/>
      <c r="H159" s="1450"/>
      <c r="I159" s="1451"/>
      <c r="J159" s="1737">
        <v>0</v>
      </c>
      <c r="K159" s="1570"/>
      <c r="L159" s="1475">
        <f t="shared" ref="L159" si="48">SUM(I159:K159)</f>
        <v>0</v>
      </c>
      <c r="M159" s="1454"/>
    </row>
    <row r="160" spans="1:13" s="1466" customFormat="1" ht="18" customHeight="1" x14ac:dyDescent="0.3">
      <c r="A160" s="773">
        <v>150</v>
      </c>
      <c r="B160" s="1456"/>
      <c r="C160" s="1571"/>
      <c r="D160" s="1572" t="s">
        <v>989</v>
      </c>
      <c r="E160" s="1459"/>
      <c r="F160" s="1460"/>
      <c r="G160" s="1761"/>
      <c r="H160" s="1461"/>
      <c r="I160" s="1462"/>
      <c r="J160" s="1573"/>
      <c r="K160" s="1573"/>
      <c r="L160" s="1464">
        <f t="shared" si="47"/>
        <v>0</v>
      </c>
      <c r="M160" s="1465"/>
    </row>
    <row r="161" spans="1:13" s="1477" customFormat="1" ht="18" customHeight="1" x14ac:dyDescent="0.3">
      <c r="A161" s="721">
        <v>151</v>
      </c>
      <c r="B161" s="1467"/>
      <c r="C161" s="1574"/>
      <c r="D161" s="1575" t="s">
        <v>1250</v>
      </c>
      <c r="E161" s="1470"/>
      <c r="F161" s="1471"/>
      <c r="G161" s="1762"/>
      <c r="H161" s="1472"/>
      <c r="I161" s="1473"/>
      <c r="J161" s="1473">
        <f>SUM(J159:J160)</f>
        <v>0</v>
      </c>
      <c r="K161" s="1473">
        <f>SUM(K159:K160)</f>
        <v>0</v>
      </c>
      <c r="L161" s="1475">
        <f t="shared" si="47"/>
        <v>0</v>
      </c>
      <c r="M161" s="1476"/>
    </row>
    <row r="162" spans="1:13" ht="22.5" customHeight="1" x14ac:dyDescent="0.3">
      <c r="A162" s="721">
        <v>152</v>
      </c>
      <c r="B162" s="734"/>
      <c r="C162" s="735">
        <v>31</v>
      </c>
      <c r="D162" s="1036" t="s">
        <v>792</v>
      </c>
      <c r="E162" s="736">
        <f>F162+G162+L166+M163</f>
        <v>2457</v>
      </c>
      <c r="F162" s="737"/>
      <c r="G162" s="1760"/>
      <c r="H162" s="976" t="s">
        <v>24</v>
      </c>
      <c r="I162" s="947"/>
      <c r="J162" s="747"/>
      <c r="K162" s="747"/>
      <c r="L162" s="748"/>
      <c r="M162" s="738"/>
    </row>
    <row r="163" spans="1:13" s="1455" customFormat="1" ht="18" customHeight="1" x14ac:dyDescent="0.3">
      <c r="A163" s="773">
        <v>153</v>
      </c>
      <c r="B163" s="1445"/>
      <c r="C163" s="1568"/>
      <c r="D163" s="1569" t="s">
        <v>308</v>
      </c>
      <c r="E163" s="1448"/>
      <c r="F163" s="1449"/>
      <c r="G163" s="1763"/>
      <c r="H163" s="1450"/>
      <c r="I163" s="1451"/>
      <c r="J163" s="1570">
        <v>2500</v>
      </c>
      <c r="K163" s="1570"/>
      <c r="L163" s="1453">
        <f t="shared" si="0"/>
        <v>2500</v>
      </c>
      <c r="M163" s="1454"/>
    </row>
    <row r="164" spans="1:13" s="1455" customFormat="1" ht="18" customHeight="1" x14ac:dyDescent="0.3">
      <c r="A164" s="721">
        <v>154</v>
      </c>
      <c r="B164" s="1445"/>
      <c r="C164" s="1568"/>
      <c r="D164" s="1575" t="s">
        <v>1158</v>
      </c>
      <c r="E164" s="1448"/>
      <c r="F164" s="1449"/>
      <c r="G164" s="1763"/>
      <c r="H164" s="1450"/>
      <c r="I164" s="1451"/>
      <c r="J164" s="1737">
        <v>2457</v>
      </c>
      <c r="K164" s="1570"/>
      <c r="L164" s="1475">
        <f t="shared" ref="L164" si="49">SUM(I164:K164)</f>
        <v>2457</v>
      </c>
      <c r="M164" s="1454"/>
    </row>
    <row r="165" spans="1:13" s="1466" customFormat="1" ht="18" customHeight="1" x14ac:dyDescent="0.3">
      <c r="A165" s="721">
        <v>155</v>
      </c>
      <c r="B165" s="1456"/>
      <c r="C165" s="1571"/>
      <c r="D165" s="1572" t="s">
        <v>969</v>
      </c>
      <c r="E165" s="1459"/>
      <c r="F165" s="1460"/>
      <c r="G165" s="1761"/>
      <c r="H165" s="1461"/>
      <c r="I165" s="1462"/>
      <c r="J165" s="1573"/>
      <c r="K165" s="1573"/>
      <c r="L165" s="1464">
        <f t="shared" si="0"/>
        <v>0</v>
      </c>
      <c r="M165" s="1465"/>
    </row>
    <row r="166" spans="1:13" s="1477" customFormat="1" ht="18" customHeight="1" x14ac:dyDescent="0.3">
      <c r="A166" s="773">
        <v>156</v>
      </c>
      <c r="B166" s="1467"/>
      <c r="C166" s="1574"/>
      <c r="D166" s="1575" t="s">
        <v>1250</v>
      </c>
      <c r="E166" s="1470"/>
      <c r="F166" s="1471"/>
      <c r="G166" s="1762"/>
      <c r="H166" s="1472"/>
      <c r="I166" s="1473"/>
      <c r="J166" s="1473">
        <f>SUM(J164:J165)</f>
        <v>2457</v>
      </c>
      <c r="K166" s="1473">
        <f>SUM(K164:K165)</f>
        <v>0</v>
      </c>
      <c r="L166" s="1475">
        <f t="shared" si="0"/>
        <v>2457</v>
      </c>
      <c r="M166" s="1476"/>
    </row>
    <row r="167" spans="1:13" ht="22.5" customHeight="1" x14ac:dyDescent="0.3">
      <c r="A167" s="721">
        <v>157</v>
      </c>
      <c r="B167" s="734"/>
      <c r="C167" s="735">
        <v>32</v>
      </c>
      <c r="D167" s="421" t="s">
        <v>771</v>
      </c>
      <c r="E167" s="736">
        <f>F167+G167+L171+M168</f>
        <v>982</v>
      </c>
      <c r="F167" s="737"/>
      <c r="G167" s="1760"/>
      <c r="H167" s="976" t="s">
        <v>24</v>
      </c>
      <c r="I167" s="947"/>
      <c r="J167" s="747"/>
      <c r="K167" s="747"/>
      <c r="L167" s="748"/>
      <c r="M167" s="738"/>
    </row>
    <row r="168" spans="1:13" s="1455" customFormat="1" ht="18" customHeight="1" x14ac:dyDescent="0.3">
      <c r="A168" s="721">
        <v>158</v>
      </c>
      <c r="B168" s="1445"/>
      <c r="C168" s="1568"/>
      <c r="D168" s="1569" t="s">
        <v>308</v>
      </c>
      <c r="E168" s="1448"/>
      <c r="F168" s="1449"/>
      <c r="G168" s="1763"/>
      <c r="H168" s="1450"/>
      <c r="I168" s="1451"/>
      <c r="J168" s="1570">
        <v>1079</v>
      </c>
      <c r="K168" s="1570"/>
      <c r="L168" s="1453">
        <f t="shared" ref="L168:L171" si="50">SUM(I168:K168)</f>
        <v>1079</v>
      </c>
      <c r="M168" s="1454"/>
    </row>
    <row r="169" spans="1:13" s="1455" customFormat="1" ht="18" customHeight="1" x14ac:dyDescent="0.3">
      <c r="A169" s="773">
        <v>159</v>
      </c>
      <c r="B169" s="1445"/>
      <c r="C169" s="1568"/>
      <c r="D169" s="1575" t="s">
        <v>1158</v>
      </c>
      <c r="E169" s="1448"/>
      <c r="F169" s="1449"/>
      <c r="G169" s="1763"/>
      <c r="H169" s="1450"/>
      <c r="I169" s="1451"/>
      <c r="J169" s="1737">
        <v>982</v>
      </c>
      <c r="K169" s="1570"/>
      <c r="L169" s="1475">
        <f t="shared" ref="L169" si="51">SUM(I169:K169)</f>
        <v>982</v>
      </c>
      <c r="M169" s="1454"/>
    </row>
    <row r="170" spans="1:13" s="1466" customFormat="1" ht="18" customHeight="1" x14ac:dyDescent="0.3">
      <c r="A170" s="721">
        <v>160</v>
      </c>
      <c r="B170" s="1456"/>
      <c r="C170" s="1571"/>
      <c r="D170" s="1572" t="s">
        <v>969</v>
      </c>
      <c r="E170" s="1459"/>
      <c r="F170" s="1460"/>
      <c r="G170" s="1761"/>
      <c r="H170" s="1461"/>
      <c r="I170" s="1462"/>
      <c r="J170" s="1573"/>
      <c r="K170" s="1573"/>
      <c r="L170" s="1464">
        <f t="shared" si="50"/>
        <v>0</v>
      </c>
      <c r="M170" s="1465"/>
    </row>
    <row r="171" spans="1:13" s="1477" customFormat="1" ht="18" customHeight="1" x14ac:dyDescent="0.3">
      <c r="A171" s="721">
        <v>161</v>
      </c>
      <c r="B171" s="1467"/>
      <c r="C171" s="1574"/>
      <c r="D171" s="1575" t="s">
        <v>1250</v>
      </c>
      <c r="E171" s="1470"/>
      <c r="F171" s="1471"/>
      <c r="G171" s="1762"/>
      <c r="H171" s="1472"/>
      <c r="I171" s="1473"/>
      <c r="J171" s="1473">
        <f>SUM(J169:J170)</f>
        <v>982</v>
      </c>
      <c r="K171" s="1473">
        <f>SUM(K169:K170)</f>
        <v>0</v>
      </c>
      <c r="L171" s="1475">
        <f t="shared" si="50"/>
        <v>982</v>
      </c>
      <c r="M171" s="1476"/>
    </row>
    <row r="172" spans="1:13" ht="22.5" customHeight="1" x14ac:dyDescent="0.3">
      <c r="A172" s="773">
        <v>162</v>
      </c>
      <c r="B172" s="734"/>
      <c r="C172" s="735">
        <v>33</v>
      </c>
      <c r="D172" s="421" t="s">
        <v>756</v>
      </c>
      <c r="E172" s="736">
        <f>F172+G172+L176+M173</f>
        <v>69</v>
      </c>
      <c r="F172" s="737"/>
      <c r="G172" s="1760"/>
      <c r="H172" s="976" t="s">
        <v>24</v>
      </c>
      <c r="I172" s="947"/>
      <c r="J172" s="747"/>
      <c r="K172" s="747"/>
      <c r="L172" s="748"/>
      <c r="M172" s="738"/>
    </row>
    <row r="173" spans="1:13" s="1455" customFormat="1" ht="18" customHeight="1" x14ac:dyDescent="0.3">
      <c r="A173" s="721">
        <v>163</v>
      </c>
      <c r="B173" s="1445"/>
      <c r="C173" s="1568"/>
      <c r="D173" s="1569" t="s">
        <v>308</v>
      </c>
      <c r="E173" s="1448"/>
      <c r="F173" s="1449"/>
      <c r="G173" s="1763"/>
      <c r="H173" s="1450"/>
      <c r="I173" s="1451"/>
      <c r="J173" s="1570">
        <v>69</v>
      </c>
      <c r="K173" s="1570"/>
      <c r="L173" s="1453">
        <f t="shared" si="0"/>
        <v>69</v>
      </c>
      <c r="M173" s="1454"/>
    </row>
    <row r="174" spans="1:13" s="1455" customFormat="1" ht="18" customHeight="1" x14ac:dyDescent="0.3">
      <c r="A174" s="721">
        <v>164</v>
      </c>
      <c r="B174" s="1445"/>
      <c r="C174" s="1568"/>
      <c r="D174" s="1575" t="s">
        <v>1158</v>
      </c>
      <c r="E174" s="1448"/>
      <c r="F174" s="1449"/>
      <c r="G174" s="1763"/>
      <c r="H174" s="1450"/>
      <c r="I174" s="1451"/>
      <c r="J174" s="1737">
        <v>69</v>
      </c>
      <c r="K174" s="1570"/>
      <c r="L174" s="1475">
        <f t="shared" ref="L174" si="52">SUM(I174:K174)</f>
        <v>69</v>
      </c>
      <c r="M174" s="1454"/>
    </row>
    <row r="175" spans="1:13" s="1466" customFormat="1" ht="18" customHeight="1" x14ac:dyDescent="0.3">
      <c r="A175" s="773">
        <v>165</v>
      </c>
      <c r="B175" s="1456"/>
      <c r="C175" s="1571"/>
      <c r="D175" s="1572" t="s">
        <v>947</v>
      </c>
      <c r="E175" s="1459"/>
      <c r="F175" s="1460"/>
      <c r="G175" s="1761"/>
      <c r="H175" s="1461"/>
      <c r="I175" s="1462"/>
      <c r="J175" s="1573"/>
      <c r="K175" s="1573"/>
      <c r="L175" s="1464">
        <f t="shared" si="0"/>
        <v>0</v>
      </c>
      <c r="M175" s="1465"/>
    </row>
    <row r="176" spans="1:13" s="1477" customFormat="1" ht="18" customHeight="1" x14ac:dyDescent="0.3">
      <c r="A176" s="721">
        <v>166</v>
      </c>
      <c r="B176" s="1467"/>
      <c r="C176" s="1574"/>
      <c r="D176" s="1575" t="s">
        <v>1250</v>
      </c>
      <c r="E176" s="1470"/>
      <c r="F176" s="1471"/>
      <c r="G176" s="1762"/>
      <c r="H176" s="1472"/>
      <c r="I176" s="1473"/>
      <c r="J176" s="1473">
        <f>SUM(J174:J175)</f>
        <v>69</v>
      </c>
      <c r="K176" s="1473">
        <f t="shared" ref="K176" si="53">SUM(K173:K175)</f>
        <v>0</v>
      </c>
      <c r="L176" s="1475">
        <f t="shared" si="0"/>
        <v>69</v>
      </c>
      <c r="M176" s="1476"/>
    </row>
    <row r="177" spans="1:23" ht="22.5" customHeight="1" x14ac:dyDescent="0.3">
      <c r="A177" s="721">
        <v>167</v>
      </c>
      <c r="B177" s="734"/>
      <c r="C177" s="735">
        <v>34</v>
      </c>
      <c r="D177" s="421" t="s">
        <v>757</v>
      </c>
      <c r="E177" s="736">
        <f>F177+G177+L181+M178</f>
        <v>96</v>
      </c>
      <c r="F177" s="737"/>
      <c r="G177" s="1760"/>
      <c r="H177" s="976" t="s">
        <v>24</v>
      </c>
      <c r="I177" s="947"/>
      <c r="J177" s="747"/>
      <c r="K177" s="747"/>
      <c r="L177" s="748"/>
      <c r="M177" s="738"/>
    </row>
    <row r="178" spans="1:23" s="1455" customFormat="1" ht="18" customHeight="1" x14ac:dyDescent="0.3">
      <c r="A178" s="773">
        <v>168</v>
      </c>
      <c r="B178" s="1445"/>
      <c r="C178" s="1568"/>
      <c r="D178" s="1569" t="s">
        <v>308</v>
      </c>
      <c r="E178" s="1448"/>
      <c r="F178" s="1449"/>
      <c r="G178" s="1763"/>
      <c r="H178" s="1450"/>
      <c r="I178" s="1451"/>
      <c r="J178" s="1570">
        <v>96</v>
      </c>
      <c r="K178" s="1570"/>
      <c r="L178" s="1453">
        <f t="shared" ref="L178:L181" si="54">SUM(I178:K178)</f>
        <v>96</v>
      </c>
      <c r="M178" s="1454"/>
    </row>
    <row r="179" spans="1:23" s="1455" customFormat="1" ht="18" customHeight="1" x14ac:dyDescent="0.3">
      <c r="A179" s="721">
        <v>169</v>
      </c>
      <c r="B179" s="1445"/>
      <c r="C179" s="1568"/>
      <c r="D179" s="1575" t="s">
        <v>1158</v>
      </c>
      <c r="E179" s="1448"/>
      <c r="F179" s="1449"/>
      <c r="G179" s="1763"/>
      <c r="H179" s="1450"/>
      <c r="I179" s="1451"/>
      <c r="J179" s="1737">
        <v>96</v>
      </c>
      <c r="K179" s="1570"/>
      <c r="L179" s="1475">
        <f t="shared" ref="L179" si="55">SUM(I179:K179)</f>
        <v>96</v>
      </c>
      <c r="M179" s="1454"/>
    </row>
    <row r="180" spans="1:23" s="1466" customFormat="1" ht="18" customHeight="1" x14ac:dyDescent="0.3">
      <c r="A180" s="721">
        <v>170</v>
      </c>
      <c r="B180" s="1456"/>
      <c r="C180" s="1571"/>
      <c r="D180" s="1572" t="s">
        <v>947</v>
      </c>
      <c r="E180" s="1459"/>
      <c r="F180" s="1460"/>
      <c r="G180" s="1761"/>
      <c r="H180" s="1461"/>
      <c r="I180" s="1462"/>
      <c r="J180" s="1573"/>
      <c r="K180" s="1573"/>
      <c r="L180" s="1464">
        <f t="shared" si="54"/>
        <v>0</v>
      </c>
      <c r="M180" s="1465"/>
    </row>
    <row r="181" spans="1:23" s="1477" customFormat="1" ht="18" customHeight="1" x14ac:dyDescent="0.3">
      <c r="A181" s="773">
        <v>171</v>
      </c>
      <c r="B181" s="1467"/>
      <c r="C181" s="1574"/>
      <c r="D181" s="1575" t="s">
        <v>1250</v>
      </c>
      <c r="E181" s="1470"/>
      <c r="F181" s="1471"/>
      <c r="G181" s="1762"/>
      <c r="H181" s="1472"/>
      <c r="I181" s="1473"/>
      <c r="J181" s="1473">
        <f>SUM(J179:J180)</f>
        <v>96</v>
      </c>
      <c r="K181" s="1473">
        <f t="shared" ref="K181" si="56">SUM(K178:K180)</f>
        <v>0</v>
      </c>
      <c r="L181" s="1475">
        <f t="shared" si="54"/>
        <v>96</v>
      </c>
      <c r="M181" s="1476"/>
    </row>
    <row r="182" spans="1:23" ht="22.5" customHeight="1" x14ac:dyDescent="0.3">
      <c r="A182" s="721">
        <v>172</v>
      </c>
      <c r="B182" s="734"/>
      <c r="C182" s="735">
        <v>35</v>
      </c>
      <c r="D182" s="1037" t="s">
        <v>498</v>
      </c>
      <c r="E182" s="736">
        <f>F182+G182+L186+M183</f>
        <v>2687</v>
      </c>
      <c r="F182" s="737"/>
      <c r="G182" s="1760">
        <f>317+541</f>
        <v>858</v>
      </c>
      <c r="H182" s="976" t="s">
        <v>24</v>
      </c>
      <c r="I182" s="947"/>
      <c r="J182" s="747"/>
      <c r="K182" s="747"/>
      <c r="L182" s="748"/>
      <c r="M182" s="738"/>
      <c r="N182" s="722"/>
      <c r="O182" s="722"/>
      <c r="P182" s="722"/>
      <c r="Q182" s="722"/>
      <c r="R182" s="722"/>
      <c r="S182" s="722"/>
      <c r="T182" s="722"/>
      <c r="U182" s="722"/>
      <c r="V182" s="722"/>
      <c r="W182" s="722"/>
    </row>
    <row r="183" spans="1:23" s="1455" customFormat="1" ht="18" customHeight="1" x14ac:dyDescent="0.3">
      <c r="A183" s="721">
        <v>173</v>
      </c>
      <c r="B183" s="1445"/>
      <c r="C183" s="1568"/>
      <c r="D183" s="1569" t="s">
        <v>308</v>
      </c>
      <c r="E183" s="1448"/>
      <c r="F183" s="1449"/>
      <c r="G183" s="1763"/>
      <c r="H183" s="1450"/>
      <c r="I183" s="1451">
        <v>29</v>
      </c>
      <c r="J183" s="1570">
        <v>1800</v>
      </c>
      <c r="K183" s="1570"/>
      <c r="L183" s="1453">
        <f t="shared" si="0"/>
        <v>1829</v>
      </c>
      <c r="M183" s="1454"/>
    </row>
    <row r="184" spans="1:23" s="1455" customFormat="1" ht="18" customHeight="1" x14ac:dyDescent="0.3">
      <c r="A184" s="773">
        <v>174</v>
      </c>
      <c r="B184" s="1445"/>
      <c r="C184" s="1568"/>
      <c r="D184" s="1575" t="s">
        <v>1158</v>
      </c>
      <c r="E184" s="1448"/>
      <c r="F184" s="1449"/>
      <c r="G184" s="1763"/>
      <c r="H184" s="1450"/>
      <c r="I184" s="1473">
        <v>29</v>
      </c>
      <c r="J184" s="1737">
        <v>1800</v>
      </c>
      <c r="K184" s="1570"/>
      <c r="L184" s="1475">
        <f t="shared" ref="L184" si="57">SUM(I184:K184)</f>
        <v>1829</v>
      </c>
      <c r="M184" s="1454"/>
    </row>
    <row r="185" spans="1:23" s="1466" customFormat="1" ht="18" customHeight="1" x14ac:dyDescent="0.3">
      <c r="A185" s="721">
        <v>175</v>
      </c>
      <c r="B185" s="1456"/>
      <c r="C185" s="1571"/>
      <c r="D185" s="1572" t="s">
        <v>947</v>
      </c>
      <c r="E185" s="1459"/>
      <c r="F185" s="1460"/>
      <c r="G185" s="1761"/>
      <c r="H185" s="1461"/>
      <c r="I185" s="1462"/>
      <c r="J185" s="1573"/>
      <c r="K185" s="1573"/>
      <c r="L185" s="1464">
        <f t="shared" si="0"/>
        <v>0</v>
      </c>
      <c r="M185" s="1465"/>
    </row>
    <row r="186" spans="1:23" s="1477" customFormat="1" ht="18" customHeight="1" x14ac:dyDescent="0.3">
      <c r="A186" s="721">
        <v>176</v>
      </c>
      <c r="B186" s="1467"/>
      <c r="C186" s="1574"/>
      <c r="D186" s="1575" t="s">
        <v>1250</v>
      </c>
      <c r="E186" s="1470"/>
      <c r="F186" s="1471"/>
      <c r="G186" s="1762"/>
      <c r="H186" s="1472"/>
      <c r="I186" s="1473">
        <f>SUM(I184:I185)</f>
        <v>29</v>
      </c>
      <c r="J186" s="1473">
        <f t="shared" ref="J186:K186" si="58">SUM(J184:J185)</f>
        <v>1800</v>
      </c>
      <c r="K186" s="1473">
        <f t="shared" si="58"/>
        <v>0</v>
      </c>
      <c r="L186" s="1475">
        <f t="shared" si="0"/>
        <v>1829</v>
      </c>
      <c r="M186" s="1476"/>
    </row>
    <row r="187" spans="1:23" ht="22.5" customHeight="1" x14ac:dyDescent="0.3">
      <c r="A187" s="773">
        <v>177</v>
      </c>
      <c r="B187" s="734"/>
      <c r="C187" s="735">
        <v>36</v>
      </c>
      <c r="D187" s="421" t="s">
        <v>758</v>
      </c>
      <c r="E187" s="736">
        <f>F187+G187+L191+M188</f>
        <v>0</v>
      </c>
      <c r="F187" s="737"/>
      <c r="G187" s="1760"/>
      <c r="H187" s="976" t="s">
        <v>24</v>
      </c>
      <c r="I187" s="947"/>
      <c r="J187" s="747"/>
      <c r="K187" s="747"/>
      <c r="L187" s="748"/>
      <c r="M187" s="738"/>
    </row>
    <row r="188" spans="1:23" s="1455" customFormat="1" ht="18" customHeight="1" x14ac:dyDescent="0.3">
      <c r="A188" s="721">
        <v>178</v>
      </c>
      <c r="B188" s="1445"/>
      <c r="C188" s="1568"/>
      <c r="D188" s="1569" t="s">
        <v>308</v>
      </c>
      <c r="E188" s="1448"/>
      <c r="F188" s="1449"/>
      <c r="G188" s="1763"/>
      <c r="H188" s="1450"/>
      <c r="I188" s="1451"/>
      <c r="J188" s="1570">
        <v>269</v>
      </c>
      <c r="K188" s="1570"/>
      <c r="L188" s="1453">
        <f t="shared" ref="L188:L191" si="59">SUM(I188:K188)</f>
        <v>269</v>
      </c>
      <c r="M188" s="1454"/>
    </row>
    <row r="189" spans="1:23" s="1455" customFormat="1" ht="18" customHeight="1" x14ac:dyDescent="0.3">
      <c r="A189" s="721">
        <v>179</v>
      </c>
      <c r="B189" s="1445"/>
      <c r="C189" s="1568"/>
      <c r="D189" s="1575" t="s">
        <v>1158</v>
      </c>
      <c r="E189" s="1448"/>
      <c r="F189" s="1449"/>
      <c r="G189" s="1763"/>
      <c r="H189" s="1450"/>
      <c r="I189" s="1451"/>
      <c r="J189" s="1737">
        <v>0</v>
      </c>
      <c r="K189" s="1570"/>
      <c r="L189" s="1475">
        <f t="shared" ref="L189" si="60">SUM(I189:K189)</f>
        <v>0</v>
      </c>
      <c r="M189" s="1454"/>
    </row>
    <row r="190" spans="1:23" s="1466" customFormat="1" ht="18" customHeight="1" x14ac:dyDescent="0.3">
      <c r="A190" s="773">
        <v>180</v>
      </c>
      <c r="B190" s="1456"/>
      <c r="C190" s="1571"/>
      <c r="D190" s="1572" t="s">
        <v>969</v>
      </c>
      <c r="E190" s="1459"/>
      <c r="F190" s="1460"/>
      <c r="G190" s="1761"/>
      <c r="H190" s="1461"/>
      <c r="I190" s="1462"/>
      <c r="J190" s="1573"/>
      <c r="K190" s="1573"/>
      <c r="L190" s="1464">
        <f t="shared" si="59"/>
        <v>0</v>
      </c>
      <c r="M190" s="1465"/>
    </row>
    <row r="191" spans="1:23" s="1477" customFormat="1" ht="18" customHeight="1" x14ac:dyDescent="0.3">
      <c r="A191" s="721">
        <v>181</v>
      </c>
      <c r="B191" s="1467"/>
      <c r="C191" s="1574"/>
      <c r="D191" s="1575" t="s">
        <v>1250</v>
      </c>
      <c r="E191" s="1470"/>
      <c r="F191" s="1471"/>
      <c r="G191" s="1762"/>
      <c r="H191" s="1472"/>
      <c r="I191" s="1473"/>
      <c r="J191" s="1473">
        <f>SUM(J189:J190)</f>
        <v>0</v>
      </c>
      <c r="K191" s="1473">
        <f>SUM(K189:K190)</f>
        <v>0</v>
      </c>
      <c r="L191" s="1475">
        <f t="shared" si="59"/>
        <v>0</v>
      </c>
      <c r="M191" s="1476"/>
    </row>
    <row r="192" spans="1:23" ht="38.1" customHeight="1" x14ac:dyDescent="0.3">
      <c r="A192" s="721">
        <v>182</v>
      </c>
      <c r="B192" s="734"/>
      <c r="C192" s="739">
        <v>37</v>
      </c>
      <c r="D192" s="422" t="s">
        <v>759</v>
      </c>
      <c r="E192" s="736">
        <f>F192+G192+L196+M193</f>
        <v>4178</v>
      </c>
      <c r="F192" s="737"/>
      <c r="G192" s="1760"/>
      <c r="H192" s="976" t="s">
        <v>24</v>
      </c>
      <c r="I192" s="947"/>
      <c r="J192" s="747"/>
      <c r="K192" s="747"/>
      <c r="L192" s="748"/>
      <c r="M192" s="738"/>
    </row>
    <row r="193" spans="1:13" s="1455" customFormat="1" ht="18" customHeight="1" x14ac:dyDescent="0.3">
      <c r="A193" s="773">
        <v>183</v>
      </c>
      <c r="B193" s="1445"/>
      <c r="C193" s="1568"/>
      <c r="D193" s="1569" t="s">
        <v>308</v>
      </c>
      <c r="E193" s="1448"/>
      <c r="F193" s="1449"/>
      <c r="G193" s="1763"/>
      <c r="H193" s="1450"/>
      <c r="I193" s="1451"/>
      <c r="J193" s="1570">
        <v>4178</v>
      </c>
      <c r="K193" s="1570"/>
      <c r="L193" s="1453">
        <f t="shared" si="0"/>
        <v>4178</v>
      </c>
      <c r="M193" s="1454"/>
    </row>
    <row r="194" spans="1:13" s="1455" customFormat="1" ht="18" customHeight="1" x14ac:dyDescent="0.3">
      <c r="A194" s="721">
        <v>184</v>
      </c>
      <c r="B194" s="1445"/>
      <c r="C194" s="1568"/>
      <c r="D194" s="1575" t="s">
        <v>1158</v>
      </c>
      <c r="E194" s="1448"/>
      <c r="F194" s="1449"/>
      <c r="G194" s="1763"/>
      <c r="H194" s="1450"/>
      <c r="I194" s="1451"/>
      <c r="J194" s="1737">
        <v>4178</v>
      </c>
      <c r="K194" s="1570"/>
      <c r="L194" s="1475">
        <f t="shared" ref="L194" si="61">SUM(I194:K194)</f>
        <v>4178</v>
      </c>
      <c r="M194" s="1454"/>
    </row>
    <row r="195" spans="1:13" s="1466" customFormat="1" ht="18" customHeight="1" x14ac:dyDescent="0.3">
      <c r="A195" s="721">
        <v>185</v>
      </c>
      <c r="B195" s="1456"/>
      <c r="C195" s="1571"/>
      <c r="D195" s="1572" t="s">
        <v>947</v>
      </c>
      <c r="E195" s="1459"/>
      <c r="F195" s="1460"/>
      <c r="G195" s="1761"/>
      <c r="H195" s="1461"/>
      <c r="I195" s="1462"/>
      <c r="J195" s="1573"/>
      <c r="K195" s="1573"/>
      <c r="L195" s="1464">
        <f t="shared" si="0"/>
        <v>0</v>
      </c>
      <c r="M195" s="1465"/>
    </row>
    <row r="196" spans="1:13" s="1477" customFormat="1" ht="18" customHeight="1" x14ac:dyDescent="0.3">
      <c r="A196" s="773">
        <v>186</v>
      </c>
      <c r="B196" s="1467"/>
      <c r="C196" s="1574"/>
      <c r="D196" s="1575" t="s">
        <v>1250</v>
      </c>
      <c r="E196" s="1470"/>
      <c r="F196" s="1471"/>
      <c r="G196" s="1762"/>
      <c r="H196" s="1472"/>
      <c r="I196" s="1473"/>
      <c r="J196" s="1473">
        <f>SUM(J194:J195)</f>
        <v>4178</v>
      </c>
      <c r="K196" s="1473">
        <f>SUM(K194:K195)</f>
        <v>0</v>
      </c>
      <c r="L196" s="1475">
        <f t="shared" si="0"/>
        <v>4178</v>
      </c>
      <c r="M196" s="1476"/>
    </row>
    <row r="197" spans="1:13" ht="22.5" customHeight="1" x14ac:dyDescent="0.3">
      <c r="A197" s="721">
        <v>187</v>
      </c>
      <c r="B197" s="734"/>
      <c r="C197" s="735">
        <v>38</v>
      </c>
      <c r="D197" s="421" t="s">
        <v>760</v>
      </c>
      <c r="E197" s="736">
        <f>F197+G197+L201+M198</f>
        <v>0</v>
      </c>
      <c r="F197" s="737"/>
      <c r="G197" s="1760"/>
      <c r="H197" s="976" t="s">
        <v>24</v>
      </c>
      <c r="I197" s="947"/>
      <c r="J197" s="747"/>
      <c r="K197" s="747"/>
      <c r="L197" s="748"/>
      <c r="M197" s="738"/>
    </row>
    <row r="198" spans="1:13" s="1455" customFormat="1" ht="18" customHeight="1" x14ac:dyDescent="0.3">
      <c r="A198" s="721">
        <v>188</v>
      </c>
      <c r="B198" s="1445"/>
      <c r="C198" s="1568"/>
      <c r="D198" s="1569" t="s">
        <v>308</v>
      </c>
      <c r="E198" s="1448"/>
      <c r="F198" s="1449"/>
      <c r="G198" s="1763"/>
      <c r="H198" s="1450"/>
      <c r="I198" s="1451"/>
      <c r="J198" s="1570">
        <v>1000</v>
      </c>
      <c r="K198" s="1570"/>
      <c r="L198" s="1453">
        <f t="shared" ref="L198:L201" si="62">SUM(I198:K198)</f>
        <v>1000</v>
      </c>
      <c r="M198" s="1454"/>
    </row>
    <row r="199" spans="1:13" s="1455" customFormat="1" ht="18" customHeight="1" x14ac:dyDescent="0.3">
      <c r="A199" s="773">
        <v>189</v>
      </c>
      <c r="B199" s="1445"/>
      <c r="C199" s="1568"/>
      <c r="D199" s="1575" t="s">
        <v>1158</v>
      </c>
      <c r="E199" s="1448"/>
      <c r="F199" s="1449"/>
      <c r="G199" s="1763"/>
      <c r="H199" s="1450"/>
      <c r="I199" s="1451"/>
      <c r="J199" s="1737">
        <v>0</v>
      </c>
      <c r="K199" s="1570"/>
      <c r="L199" s="1475">
        <f t="shared" ref="L199" si="63">SUM(I199:K199)</f>
        <v>0</v>
      </c>
      <c r="M199" s="1454"/>
    </row>
    <row r="200" spans="1:13" s="1466" customFormat="1" ht="18" customHeight="1" x14ac:dyDescent="0.3">
      <c r="A200" s="721">
        <v>190</v>
      </c>
      <c r="B200" s="1456"/>
      <c r="C200" s="1571"/>
      <c r="D200" s="1572" t="s">
        <v>947</v>
      </c>
      <c r="E200" s="1459"/>
      <c r="F200" s="1460"/>
      <c r="G200" s="1761"/>
      <c r="H200" s="1461"/>
      <c r="I200" s="1462"/>
      <c r="J200" s="1573"/>
      <c r="K200" s="1573"/>
      <c r="L200" s="1464">
        <f t="shared" si="62"/>
        <v>0</v>
      </c>
      <c r="M200" s="1465"/>
    </row>
    <row r="201" spans="1:13" s="1477" customFormat="1" ht="18" customHeight="1" x14ac:dyDescent="0.3">
      <c r="A201" s="721">
        <v>191</v>
      </c>
      <c r="B201" s="1467"/>
      <c r="C201" s="1574"/>
      <c r="D201" s="1575" t="s">
        <v>1250</v>
      </c>
      <c r="E201" s="1470"/>
      <c r="F201" s="1471"/>
      <c r="G201" s="1762"/>
      <c r="H201" s="1472"/>
      <c r="I201" s="1473"/>
      <c r="J201" s="1473">
        <f>SUM(J199:J200)</f>
        <v>0</v>
      </c>
      <c r="K201" s="1473">
        <f>SUM(K199:K200)</f>
        <v>0</v>
      </c>
      <c r="L201" s="1475">
        <f t="shared" si="62"/>
        <v>0</v>
      </c>
      <c r="M201" s="1476"/>
    </row>
    <row r="202" spans="1:13" ht="22.5" customHeight="1" x14ac:dyDescent="0.3">
      <c r="A202" s="773">
        <v>192</v>
      </c>
      <c r="B202" s="734"/>
      <c r="C202" s="735">
        <v>39</v>
      </c>
      <c r="D202" s="1037" t="s">
        <v>761</v>
      </c>
      <c r="E202" s="736">
        <f>F202+G202+L206+M203</f>
        <v>4886</v>
      </c>
      <c r="F202" s="737"/>
      <c r="G202" s="1760">
        <v>1753</v>
      </c>
      <c r="H202" s="976" t="s">
        <v>24</v>
      </c>
      <c r="I202" s="947"/>
      <c r="J202" s="747"/>
      <c r="K202" s="747"/>
      <c r="L202" s="748"/>
      <c r="M202" s="738"/>
    </row>
    <row r="203" spans="1:13" s="1455" customFormat="1" ht="18" customHeight="1" x14ac:dyDescent="0.3">
      <c r="A203" s="721">
        <v>193</v>
      </c>
      <c r="B203" s="1445"/>
      <c r="C203" s="1568"/>
      <c r="D203" s="1569" t="s">
        <v>308</v>
      </c>
      <c r="E203" s="1448"/>
      <c r="F203" s="1449"/>
      <c r="G203" s="1763"/>
      <c r="H203" s="1450"/>
      <c r="I203" s="1451"/>
      <c r="J203" s="1570">
        <v>1183</v>
      </c>
      <c r="K203" s="1570"/>
      <c r="L203" s="1453">
        <f t="shared" si="0"/>
        <v>1183</v>
      </c>
      <c r="M203" s="1454"/>
    </row>
    <row r="204" spans="1:13" s="1455" customFormat="1" ht="18" customHeight="1" x14ac:dyDescent="0.3">
      <c r="A204" s="721">
        <v>194</v>
      </c>
      <c r="B204" s="1445"/>
      <c r="C204" s="1568"/>
      <c r="D204" s="1575" t="s">
        <v>1158</v>
      </c>
      <c r="E204" s="1448"/>
      <c r="F204" s="1449"/>
      <c r="G204" s="1763"/>
      <c r="H204" s="1450"/>
      <c r="I204" s="1451"/>
      <c r="J204" s="1737">
        <v>3133</v>
      </c>
      <c r="K204" s="1570"/>
      <c r="L204" s="1475">
        <f t="shared" ref="L204" si="64">SUM(I204:K204)</f>
        <v>3133</v>
      </c>
      <c r="M204" s="1454"/>
    </row>
    <row r="205" spans="1:13" s="1466" customFormat="1" ht="18" customHeight="1" x14ac:dyDescent="0.3">
      <c r="A205" s="773">
        <v>195</v>
      </c>
      <c r="B205" s="1456"/>
      <c r="C205" s="1571"/>
      <c r="D205" s="1572" t="s">
        <v>969</v>
      </c>
      <c r="E205" s="1459"/>
      <c r="F205" s="1460"/>
      <c r="G205" s="1761"/>
      <c r="H205" s="1461"/>
      <c r="I205" s="1462"/>
      <c r="J205" s="1573"/>
      <c r="K205" s="1573"/>
      <c r="L205" s="1464">
        <f t="shared" si="0"/>
        <v>0</v>
      </c>
      <c r="M205" s="1465"/>
    </row>
    <row r="206" spans="1:13" s="1477" customFormat="1" ht="18" customHeight="1" x14ac:dyDescent="0.3">
      <c r="A206" s="721">
        <v>196</v>
      </c>
      <c r="B206" s="1467"/>
      <c r="C206" s="1574"/>
      <c r="D206" s="1575" t="s">
        <v>1250</v>
      </c>
      <c r="E206" s="1470"/>
      <c r="F206" s="1471"/>
      <c r="G206" s="1762"/>
      <c r="H206" s="1472"/>
      <c r="I206" s="1473"/>
      <c r="J206" s="1473">
        <f>SUM(J204:J205)</f>
        <v>3133</v>
      </c>
      <c r="K206" s="1473">
        <f>SUM(K204:K205)</f>
        <v>0</v>
      </c>
      <c r="L206" s="1475">
        <f t="shared" si="0"/>
        <v>3133</v>
      </c>
      <c r="M206" s="1476"/>
    </row>
    <row r="207" spans="1:13" ht="22.5" customHeight="1" x14ac:dyDescent="0.3">
      <c r="A207" s="721">
        <v>197</v>
      </c>
      <c r="B207" s="734"/>
      <c r="C207" s="735">
        <v>40</v>
      </c>
      <c r="D207" s="421" t="s">
        <v>772</v>
      </c>
      <c r="E207" s="736">
        <f>F207+G207+L211+M208</f>
        <v>500</v>
      </c>
      <c r="F207" s="737"/>
      <c r="G207" s="1760"/>
      <c r="H207" s="976" t="s">
        <v>24</v>
      </c>
      <c r="I207" s="947"/>
      <c r="J207" s="747"/>
      <c r="K207" s="747"/>
      <c r="L207" s="748"/>
      <c r="M207" s="738"/>
    </row>
    <row r="208" spans="1:13" s="1455" customFormat="1" ht="18" customHeight="1" x14ac:dyDescent="0.3">
      <c r="A208" s="773">
        <v>198</v>
      </c>
      <c r="B208" s="1445"/>
      <c r="C208" s="1568"/>
      <c r="D208" s="1569" t="s">
        <v>308</v>
      </c>
      <c r="E208" s="1448"/>
      <c r="F208" s="1449"/>
      <c r="G208" s="1763"/>
      <c r="H208" s="1450"/>
      <c r="I208" s="1451"/>
      <c r="J208" s="1570">
        <v>500</v>
      </c>
      <c r="K208" s="1570"/>
      <c r="L208" s="1453">
        <f t="shared" ref="L208:L211" si="65">SUM(I208:K208)</f>
        <v>500</v>
      </c>
      <c r="M208" s="1454"/>
    </row>
    <row r="209" spans="1:13" s="1455" customFormat="1" ht="18" customHeight="1" x14ac:dyDescent="0.3">
      <c r="A209" s="721">
        <v>199</v>
      </c>
      <c r="B209" s="1445"/>
      <c r="C209" s="1568"/>
      <c r="D209" s="1575" t="s">
        <v>1158</v>
      </c>
      <c r="E209" s="1448"/>
      <c r="F209" s="1449"/>
      <c r="G209" s="1763"/>
      <c r="H209" s="1450"/>
      <c r="I209" s="1451"/>
      <c r="J209" s="1737">
        <v>500</v>
      </c>
      <c r="K209" s="1570"/>
      <c r="L209" s="1475">
        <f t="shared" ref="L209" si="66">SUM(I209:K209)</f>
        <v>500</v>
      </c>
      <c r="M209" s="1454"/>
    </row>
    <row r="210" spans="1:13" s="1466" customFormat="1" ht="18" customHeight="1" x14ac:dyDescent="0.3">
      <c r="A210" s="721">
        <v>200</v>
      </c>
      <c r="B210" s="1456"/>
      <c r="C210" s="1571"/>
      <c r="D210" s="1572" t="s">
        <v>947</v>
      </c>
      <c r="E210" s="1459"/>
      <c r="F210" s="1460"/>
      <c r="G210" s="1761"/>
      <c r="H210" s="1461"/>
      <c r="I210" s="1462"/>
      <c r="J210" s="1573"/>
      <c r="K210" s="1573"/>
      <c r="L210" s="1464">
        <f t="shared" si="65"/>
        <v>0</v>
      </c>
      <c r="M210" s="1465"/>
    </row>
    <row r="211" spans="1:13" s="1477" customFormat="1" ht="18" customHeight="1" x14ac:dyDescent="0.3">
      <c r="A211" s="773">
        <v>201</v>
      </c>
      <c r="B211" s="1467"/>
      <c r="C211" s="1574"/>
      <c r="D211" s="1575" t="s">
        <v>1250</v>
      </c>
      <c r="E211" s="1470"/>
      <c r="F211" s="1471"/>
      <c r="G211" s="1762"/>
      <c r="H211" s="1472"/>
      <c r="I211" s="1473"/>
      <c r="J211" s="1473">
        <f>SUM(J209:J210)</f>
        <v>500</v>
      </c>
      <c r="K211" s="1473">
        <f>SUM(K209:K210)</f>
        <v>0</v>
      </c>
      <c r="L211" s="1475">
        <f t="shared" si="65"/>
        <v>500</v>
      </c>
      <c r="M211" s="1476"/>
    </row>
    <row r="212" spans="1:13" ht="22.5" customHeight="1" x14ac:dyDescent="0.3">
      <c r="A212" s="721">
        <v>202</v>
      </c>
      <c r="B212" s="734"/>
      <c r="C212" s="735">
        <v>41</v>
      </c>
      <c r="D212" s="421" t="s">
        <v>762</v>
      </c>
      <c r="E212" s="736">
        <f>F212+G212+L216+M213</f>
        <v>1000</v>
      </c>
      <c r="F212" s="737"/>
      <c r="G212" s="1760"/>
      <c r="H212" s="976" t="s">
        <v>24</v>
      </c>
      <c r="I212" s="947"/>
      <c r="J212" s="747"/>
      <c r="K212" s="747"/>
      <c r="L212" s="748"/>
      <c r="M212" s="738"/>
    </row>
    <row r="213" spans="1:13" s="1455" customFormat="1" ht="18" customHeight="1" x14ac:dyDescent="0.3">
      <c r="A213" s="721">
        <v>203</v>
      </c>
      <c r="B213" s="1445"/>
      <c r="C213" s="1568"/>
      <c r="D213" s="1569" t="s">
        <v>308</v>
      </c>
      <c r="E213" s="1448"/>
      <c r="F213" s="1449"/>
      <c r="G213" s="1763"/>
      <c r="H213" s="1450"/>
      <c r="I213" s="1451"/>
      <c r="J213" s="1570">
        <v>1000</v>
      </c>
      <c r="K213" s="1570"/>
      <c r="L213" s="1453">
        <f t="shared" si="0"/>
        <v>1000</v>
      </c>
      <c r="M213" s="1454"/>
    </row>
    <row r="214" spans="1:13" s="1455" customFormat="1" ht="18" customHeight="1" x14ac:dyDescent="0.3">
      <c r="A214" s="773">
        <v>204</v>
      </c>
      <c r="B214" s="1445"/>
      <c r="C214" s="1568"/>
      <c r="D214" s="1575" t="s">
        <v>1158</v>
      </c>
      <c r="E214" s="1448"/>
      <c r="F214" s="1449"/>
      <c r="G214" s="1763"/>
      <c r="H214" s="1450"/>
      <c r="I214" s="1451"/>
      <c r="J214" s="1737">
        <v>1000</v>
      </c>
      <c r="K214" s="1570"/>
      <c r="L214" s="1475">
        <f t="shared" ref="L214" si="67">SUM(I214:K214)</f>
        <v>1000</v>
      </c>
      <c r="M214" s="1454"/>
    </row>
    <row r="215" spans="1:13" s="1466" customFormat="1" ht="18" customHeight="1" x14ac:dyDescent="0.3">
      <c r="A215" s="721">
        <v>205</v>
      </c>
      <c r="B215" s="1456"/>
      <c r="C215" s="1571"/>
      <c r="D215" s="1572" t="s">
        <v>947</v>
      </c>
      <c r="E215" s="1459"/>
      <c r="F215" s="1460"/>
      <c r="G215" s="1761"/>
      <c r="H215" s="1461"/>
      <c r="I215" s="1462"/>
      <c r="J215" s="1573"/>
      <c r="K215" s="1573"/>
      <c r="L215" s="1464">
        <f t="shared" si="0"/>
        <v>0</v>
      </c>
      <c r="M215" s="1465"/>
    </row>
    <row r="216" spans="1:13" s="1477" customFormat="1" ht="18" customHeight="1" x14ac:dyDescent="0.3">
      <c r="A216" s="721">
        <v>206</v>
      </c>
      <c r="B216" s="1467"/>
      <c r="C216" s="1574"/>
      <c r="D216" s="1575" t="s">
        <v>1250</v>
      </c>
      <c r="E216" s="1470"/>
      <c r="F216" s="1471"/>
      <c r="G216" s="1762"/>
      <c r="H216" s="1472"/>
      <c r="I216" s="1473"/>
      <c r="J216" s="1473">
        <f>SUM(J214:J215)</f>
        <v>1000</v>
      </c>
      <c r="K216" s="1473">
        <f>SUM(K214:K215)</f>
        <v>0</v>
      </c>
      <c r="L216" s="1475">
        <f t="shared" si="0"/>
        <v>1000</v>
      </c>
      <c r="M216" s="1476"/>
    </row>
    <row r="217" spans="1:13" ht="22.5" customHeight="1" x14ac:dyDescent="0.3">
      <c r="A217" s="773">
        <v>207</v>
      </c>
      <c r="B217" s="734"/>
      <c r="C217" s="735">
        <v>42</v>
      </c>
      <c r="D217" s="421" t="s">
        <v>763</v>
      </c>
      <c r="E217" s="736">
        <f>F217+G217+L221+M218</f>
        <v>999</v>
      </c>
      <c r="F217" s="736"/>
      <c r="G217" s="1760">
        <v>999</v>
      </c>
      <c r="H217" s="976" t="s">
        <v>24</v>
      </c>
      <c r="I217" s="948"/>
      <c r="J217" s="736"/>
      <c r="K217" s="736"/>
      <c r="L217" s="749"/>
      <c r="M217" s="738"/>
    </row>
    <row r="218" spans="1:13" s="1455" customFormat="1" ht="18" customHeight="1" x14ac:dyDescent="0.3">
      <c r="A218" s="721">
        <v>208</v>
      </c>
      <c r="B218" s="1445"/>
      <c r="C218" s="1568"/>
      <c r="D218" s="1569" t="s">
        <v>308</v>
      </c>
      <c r="E218" s="1448"/>
      <c r="F218" s="1449"/>
      <c r="G218" s="1763"/>
      <c r="H218" s="1450"/>
      <c r="I218" s="1451"/>
      <c r="J218" s="1570">
        <v>13843</v>
      </c>
      <c r="K218" s="1570"/>
      <c r="L218" s="1453">
        <f t="shared" ref="L218:L221" si="68">SUM(I218:K218)</f>
        <v>13843</v>
      </c>
      <c r="M218" s="1454"/>
    </row>
    <row r="219" spans="1:13" s="1455" customFormat="1" ht="18" customHeight="1" x14ac:dyDescent="0.3">
      <c r="A219" s="721">
        <v>209</v>
      </c>
      <c r="B219" s="1445"/>
      <c r="C219" s="1568"/>
      <c r="D219" s="1575" t="s">
        <v>1158</v>
      </c>
      <c r="E219" s="1448"/>
      <c r="F219" s="1449"/>
      <c r="G219" s="1763"/>
      <c r="H219" s="1450"/>
      <c r="I219" s="1451"/>
      <c r="J219" s="1737">
        <v>0</v>
      </c>
      <c r="K219" s="1570"/>
      <c r="L219" s="1475">
        <f t="shared" ref="L219" si="69">SUM(I219:K219)</f>
        <v>0</v>
      </c>
      <c r="M219" s="1454"/>
    </row>
    <row r="220" spans="1:13" s="1466" customFormat="1" ht="18" customHeight="1" x14ac:dyDescent="0.3">
      <c r="A220" s="773">
        <v>210</v>
      </c>
      <c r="B220" s="1456"/>
      <c r="C220" s="1571"/>
      <c r="D220" s="1572" t="s">
        <v>969</v>
      </c>
      <c r="E220" s="1459"/>
      <c r="F220" s="1460"/>
      <c r="G220" s="1761"/>
      <c r="H220" s="1461"/>
      <c r="I220" s="1462"/>
      <c r="J220" s="1573"/>
      <c r="K220" s="1573"/>
      <c r="L220" s="1464">
        <f t="shared" si="68"/>
        <v>0</v>
      </c>
      <c r="M220" s="1465"/>
    </row>
    <row r="221" spans="1:13" s="1477" customFormat="1" ht="18" customHeight="1" x14ac:dyDescent="0.3">
      <c r="A221" s="721">
        <v>211</v>
      </c>
      <c r="B221" s="1467"/>
      <c r="C221" s="1574"/>
      <c r="D221" s="1575" t="s">
        <v>1250</v>
      </c>
      <c r="E221" s="1470"/>
      <c r="F221" s="1471"/>
      <c r="G221" s="1762"/>
      <c r="H221" s="1472"/>
      <c r="I221" s="1473"/>
      <c r="J221" s="1473">
        <f>SUM(J219:J220)</f>
        <v>0</v>
      </c>
      <c r="K221" s="1473">
        <f>SUM(K219:K220)</f>
        <v>0</v>
      </c>
      <c r="L221" s="1475">
        <f t="shared" si="68"/>
        <v>0</v>
      </c>
      <c r="M221" s="1476"/>
    </row>
    <row r="222" spans="1:13" ht="22.5" customHeight="1" x14ac:dyDescent="0.3">
      <c r="A222" s="721">
        <v>212</v>
      </c>
      <c r="B222" s="734"/>
      <c r="C222" s="735">
        <v>43</v>
      </c>
      <c r="D222" s="421" t="s">
        <v>764</v>
      </c>
      <c r="E222" s="736">
        <f>F222+G222+L226+M223</f>
        <v>0</v>
      </c>
      <c r="F222" s="736"/>
      <c r="G222" s="1760"/>
      <c r="H222" s="976" t="s">
        <v>24</v>
      </c>
      <c r="I222" s="948"/>
      <c r="J222" s="736"/>
      <c r="K222" s="736"/>
      <c r="L222" s="749"/>
      <c r="M222" s="738"/>
    </row>
    <row r="223" spans="1:13" s="1455" customFormat="1" ht="18" customHeight="1" x14ac:dyDescent="0.3">
      <c r="A223" s="773">
        <v>213</v>
      </c>
      <c r="B223" s="1445"/>
      <c r="C223" s="1568"/>
      <c r="D223" s="1569" t="s">
        <v>308</v>
      </c>
      <c r="E223" s="1448"/>
      <c r="F223" s="1449"/>
      <c r="G223" s="1763"/>
      <c r="H223" s="1450"/>
      <c r="I223" s="1451"/>
      <c r="J223" s="1570">
        <v>5000</v>
      </c>
      <c r="K223" s="1570"/>
      <c r="L223" s="1453">
        <f t="shared" si="0"/>
        <v>5000</v>
      </c>
      <c r="M223" s="1454"/>
    </row>
    <row r="224" spans="1:13" s="1455" customFormat="1" ht="18" customHeight="1" x14ac:dyDescent="0.3">
      <c r="A224" s="721">
        <v>214</v>
      </c>
      <c r="B224" s="1445"/>
      <c r="C224" s="1568"/>
      <c r="D224" s="1575" t="s">
        <v>1158</v>
      </c>
      <c r="E224" s="1448"/>
      <c r="F224" s="1449"/>
      <c r="G224" s="1763"/>
      <c r="H224" s="1450"/>
      <c r="I224" s="1451"/>
      <c r="J224" s="1737">
        <v>0</v>
      </c>
      <c r="K224" s="1570"/>
      <c r="L224" s="1475">
        <f t="shared" ref="L224" si="70">SUM(I224:K224)</f>
        <v>0</v>
      </c>
      <c r="M224" s="1454"/>
    </row>
    <row r="225" spans="1:251" s="1466" customFormat="1" ht="18" customHeight="1" x14ac:dyDescent="0.3">
      <c r="A225" s="721">
        <v>215</v>
      </c>
      <c r="B225" s="1456"/>
      <c r="C225" s="1571"/>
      <c r="D225" s="1572" t="s">
        <v>947</v>
      </c>
      <c r="E225" s="1459"/>
      <c r="F225" s="1460"/>
      <c r="G225" s="1761"/>
      <c r="H225" s="1461"/>
      <c r="I225" s="1462"/>
      <c r="J225" s="1573"/>
      <c r="K225" s="1573"/>
      <c r="L225" s="1464">
        <f t="shared" si="0"/>
        <v>0</v>
      </c>
      <c r="M225" s="1465"/>
    </row>
    <row r="226" spans="1:251" s="1477" customFormat="1" ht="18" customHeight="1" x14ac:dyDescent="0.3">
      <c r="A226" s="773">
        <v>216</v>
      </c>
      <c r="B226" s="1467"/>
      <c r="C226" s="1574"/>
      <c r="D226" s="1575" t="s">
        <v>1250</v>
      </c>
      <c r="E226" s="1470"/>
      <c r="F226" s="1471"/>
      <c r="G226" s="1762"/>
      <c r="H226" s="1472"/>
      <c r="I226" s="1473"/>
      <c r="J226" s="1473">
        <f>SUM(J224:J225)</f>
        <v>0</v>
      </c>
      <c r="K226" s="1473">
        <f>SUM(K224:K225)</f>
        <v>0</v>
      </c>
      <c r="L226" s="1475">
        <f t="shared" si="0"/>
        <v>0</v>
      </c>
      <c r="M226" s="1476"/>
    </row>
    <row r="227" spans="1:251" ht="22.5" customHeight="1" x14ac:dyDescent="0.3">
      <c r="A227" s="721">
        <v>217</v>
      </c>
      <c r="B227" s="734"/>
      <c r="C227" s="735">
        <v>44</v>
      </c>
      <c r="D227" s="421" t="s">
        <v>765</v>
      </c>
      <c r="E227" s="736">
        <f>F227+G227+L231+M228</f>
        <v>7151</v>
      </c>
      <c r="F227" s="737"/>
      <c r="G227" s="1760"/>
      <c r="H227" s="976" t="s">
        <v>24</v>
      </c>
      <c r="I227" s="948"/>
      <c r="J227" s="736"/>
      <c r="K227" s="736"/>
      <c r="L227" s="749"/>
      <c r="M227" s="738"/>
      <c r="N227" s="722"/>
      <c r="O227" s="722"/>
      <c r="P227" s="722"/>
      <c r="Q227" s="722"/>
      <c r="R227" s="722"/>
      <c r="S227" s="722"/>
      <c r="T227" s="722"/>
      <c r="U227" s="722"/>
      <c r="V227" s="722"/>
      <c r="W227" s="722"/>
      <c r="X227" s="722"/>
      <c r="Y227" s="722"/>
      <c r="Z227" s="722"/>
      <c r="AA227" s="722"/>
      <c r="AB227" s="722"/>
      <c r="AC227" s="722"/>
      <c r="AD227" s="722"/>
      <c r="AE227" s="722"/>
      <c r="AF227" s="722"/>
      <c r="AG227" s="722"/>
      <c r="AH227" s="722"/>
      <c r="AI227" s="722"/>
      <c r="AJ227" s="722"/>
      <c r="AK227" s="722"/>
      <c r="AL227" s="722"/>
      <c r="AM227" s="722"/>
      <c r="AN227" s="722"/>
      <c r="AO227" s="722"/>
      <c r="AP227" s="722"/>
      <c r="AQ227" s="722"/>
      <c r="AR227" s="722"/>
      <c r="AS227" s="722"/>
      <c r="AT227" s="722"/>
      <c r="AU227" s="722"/>
      <c r="AV227" s="722"/>
      <c r="AW227" s="722"/>
      <c r="AX227" s="722"/>
      <c r="AY227" s="722"/>
      <c r="AZ227" s="722"/>
      <c r="BA227" s="722"/>
      <c r="BB227" s="722"/>
      <c r="BC227" s="722"/>
      <c r="BD227" s="722"/>
      <c r="BE227" s="722"/>
      <c r="BF227" s="722"/>
      <c r="BG227" s="722"/>
      <c r="BH227" s="722"/>
      <c r="BI227" s="722"/>
      <c r="BJ227" s="722"/>
      <c r="BK227" s="722"/>
      <c r="BL227" s="722"/>
      <c r="BM227" s="722"/>
      <c r="BN227" s="722"/>
      <c r="BO227" s="722"/>
      <c r="BP227" s="722"/>
      <c r="BQ227" s="722"/>
      <c r="BR227" s="722"/>
      <c r="BS227" s="722"/>
      <c r="BT227" s="722"/>
      <c r="BU227" s="722"/>
      <c r="BV227" s="722"/>
      <c r="BW227" s="722"/>
      <c r="BX227" s="722"/>
      <c r="BY227" s="722"/>
      <c r="BZ227" s="722"/>
      <c r="CA227" s="722"/>
      <c r="CB227" s="722"/>
      <c r="CC227" s="722"/>
      <c r="CD227" s="722"/>
      <c r="CE227" s="722"/>
      <c r="CF227" s="722"/>
      <c r="CG227" s="722"/>
      <c r="CH227" s="722"/>
      <c r="CI227" s="722"/>
      <c r="CJ227" s="722"/>
      <c r="CK227" s="722"/>
      <c r="CL227" s="722"/>
      <c r="CM227" s="722"/>
      <c r="CN227" s="722"/>
      <c r="CO227" s="722"/>
      <c r="CP227" s="722"/>
      <c r="CQ227" s="722"/>
      <c r="CR227" s="722"/>
      <c r="CS227" s="722"/>
      <c r="CT227" s="722"/>
      <c r="CU227" s="722"/>
      <c r="CV227" s="722"/>
      <c r="CW227" s="722"/>
      <c r="CX227" s="722"/>
      <c r="CY227" s="722"/>
      <c r="CZ227" s="722"/>
      <c r="DA227" s="722"/>
      <c r="DB227" s="722"/>
      <c r="DC227" s="722"/>
      <c r="DD227" s="722"/>
      <c r="DE227" s="722"/>
      <c r="DF227" s="722"/>
      <c r="DG227" s="722"/>
      <c r="DH227" s="722"/>
      <c r="DI227" s="722"/>
      <c r="DJ227" s="722"/>
      <c r="DK227" s="722"/>
      <c r="DL227" s="722"/>
      <c r="DM227" s="722"/>
      <c r="DN227" s="722"/>
      <c r="DO227" s="722"/>
      <c r="DP227" s="722"/>
      <c r="DQ227" s="722"/>
      <c r="DR227" s="722"/>
      <c r="DS227" s="722"/>
      <c r="DT227" s="722"/>
      <c r="DU227" s="722"/>
      <c r="DV227" s="722"/>
      <c r="DW227" s="722"/>
      <c r="DX227" s="722"/>
      <c r="DY227" s="722"/>
      <c r="DZ227" s="722"/>
      <c r="EA227" s="722"/>
      <c r="EB227" s="722"/>
      <c r="EC227" s="722"/>
      <c r="ED227" s="722"/>
      <c r="EE227" s="722"/>
      <c r="EF227" s="722"/>
      <c r="EG227" s="722"/>
      <c r="EH227" s="722"/>
      <c r="EI227" s="722"/>
      <c r="EJ227" s="722"/>
      <c r="EK227" s="722"/>
      <c r="EL227" s="722"/>
      <c r="EM227" s="722"/>
      <c r="EN227" s="722"/>
      <c r="EO227" s="722"/>
      <c r="EP227" s="722"/>
      <c r="EQ227" s="722"/>
      <c r="ER227" s="722"/>
      <c r="ES227" s="722"/>
      <c r="ET227" s="722"/>
      <c r="EU227" s="722"/>
      <c r="EV227" s="722"/>
      <c r="EW227" s="722"/>
      <c r="EX227" s="722"/>
      <c r="EY227" s="722"/>
      <c r="EZ227" s="722"/>
      <c r="FA227" s="722"/>
      <c r="FB227" s="722"/>
      <c r="FC227" s="722"/>
      <c r="FD227" s="722"/>
      <c r="FE227" s="722"/>
      <c r="FF227" s="722"/>
      <c r="FG227" s="722"/>
      <c r="FH227" s="722"/>
      <c r="FI227" s="722"/>
      <c r="FJ227" s="722"/>
      <c r="FK227" s="722"/>
      <c r="FL227" s="722"/>
      <c r="FM227" s="722"/>
      <c r="FN227" s="722"/>
      <c r="FO227" s="722"/>
      <c r="FP227" s="722"/>
      <c r="FQ227" s="722"/>
      <c r="FR227" s="722"/>
      <c r="FS227" s="722"/>
      <c r="FT227" s="722"/>
      <c r="FU227" s="722"/>
      <c r="FV227" s="722"/>
      <c r="FW227" s="722"/>
      <c r="FX227" s="722"/>
      <c r="FY227" s="722"/>
      <c r="FZ227" s="722"/>
      <c r="GA227" s="722"/>
      <c r="GB227" s="722"/>
      <c r="GC227" s="722"/>
      <c r="GD227" s="722"/>
      <c r="GE227" s="722"/>
      <c r="GF227" s="722"/>
      <c r="GG227" s="722"/>
      <c r="GH227" s="722"/>
      <c r="GI227" s="722"/>
      <c r="GJ227" s="722"/>
      <c r="GK227" s="722"/>
      <c r="GL227" s="722"/>
      <c r="GM227" s="722"/>
      <c r="GN227" s="722"/>
      <c r="GO227" s="722"/>
      <c r="GP227" s="722"/>
      <c r="GQ227" s="722"/>
      <c r="GR227" s="722"/>
      <c r="GS227" s="722"/>
      <c r="GT227" s="722"/>
      <c r="GU227" s="722"/>
      <c r="GV227" s="722"/>
      <c r="GW227" s="722"/>
      <c r="GX227" s="722"/>
      <c r="GY227" s="722"/>
      <c r="GZ227" s="722"/>
      <c r="HA227" s="722"/>
      <c r="HB227" s="722"/>
      <c r="HC227" s="722"/>
      <c r="HD227" s="722"/>
      <c r="HE227" s="722"/>
      <c r="HF227" s="722"/>
      <c r="HG227" s="722"/>
      <c r="HH227" s="722"/>
      <c r="HI227" s="722"/>
      <c r="HJ227" s="722"/>
      <c r="HK227" s="722"/>
      <c r="HL227" s="722"/>
      <c r="HM227" s="722"/>
      <c r="HN227" s="722"/>
      <c r="HO227" s="722"/>
      <c r="HP227" s="722"/>
      <c r="HQ227" s="722"/>
      <c r="HR227" s="722"/>
      <c r="HS227" s="722"/>
      <c r="HT227" s="722"/>
      <c r="HU227" s="722"/>
      <c r="HV227" s="722"/>
      <c r="HW227" s="722"/>
      <c r="HX227" s="722"/>
      <c r="HY227" s="722"/>
      <c r="HZ227" s="722"/>
      <c r="IA227" s="722"/>
      <c r="IB227" s="722"/>
      <c r="IC227" s="722"/>
      <c r="ID227" s="722"/>
      <c r="IE227" s="722"/>
      <c r="IF227" s="722"/>
      <c r="IG227" s="722"/>
      <c r="IH227" s="722"/>
      <c r="II227" s="722"/>
      <c r="IJ227" s="722"/>
      <c r="IK227" s="722"/>
      <c r="IL227" s="722"/>
      <c r="IM227" s="722"/>
      <c r="IN227" s="722"/>
      <c r="IO227" s="722"/>
      <c r="IP227" s="722"/>
      <c r="IQ227" s="722"/>
    </row>
    <row r="228" spans="1:251" s="1455" customFormat="1" ht="18" customHeight="1" x14ac:dyDescent="0.3">
      <c r="A228" s="721">
        <v>218</v>
      </c>
      <c r="B228" s="1445"/>
      <c r="C228" s="1568"/>
      <c r="D228" s="1569" t="s">
        <v>308</v>
      </c>
      <c r="E228" s="1448"/>
      <c r="F228" s="1449"/>
      <c r="G228" s="1763"/>
      <c r="H228" s="1450"/>
      <c r="I228" s="1451"/>
      <c r="J228" s="1570">
        <v>7651</v>
      </c>
      <c r="K228" s="1570"/>
      <c r="L228" s="1453">
        <f t="shared" ref="L228:L231" si="71">SUM(I228:K228)</f>
        <v>7651</v>
      </c>
      <c r="M228" s="1454"/>
    </row>
    <row r="229" spans="1:251" s="1455" customFormat="1" ht="18" customHeight="1" x14ac:dyDescent="0.3">
      <c r="A229" s="773">
        <v>219</v>
      </c>
      <c r="B229" s="1445"/>
      <c r="C229" s="1568"/>
      <c r="D229" s="1575" t="s">
        <v>1158</v>
      </c>
      <c r="E229" s="1448"/>
      <c r="F229" s="1449"/>
      <c r="G229" s="1763"/>
      <c r="H229" s="1450"/>
      <c r="I229" s="1451"/>
      <c r="J229" s="1737">
        <f>7651-500</f>
        <v>7151</v>
      </c>
      <c r="K229" s="1570"/>
      <c r="L229" s="1475">
        <f t="shared" ref="L229" si="72">SUM(I229:K229)</f>
        <v>7151</v>
      </c>
      <c r="M229" s="1454"/>
    </row>
    <row r="230" spans="1:251" s="1466" customFormat="1" ht="18" customHeight="1" x14ac:dyDescent="0.3">
      <c r="A230" s="721">
        <v>220</v>
      </c>
      <c r="B230" s="1456"/>
      <c r="C230" s="1571"/>
      <c r="D230" s="1572" t="s">
        <v>947</v>
      </c>
      <c r="E230" s="1459"/>
      <c r="F230" s="1460"/>
      <c r="G230" s="1761"/>
      <c r="H230" s="1461"/>
      <c r="I230" s="1462"/>
      <c r="J230" s="1573"/>
      <c r="K230" s="1573"/>
      <c r="L230" s="1464">
        <f t="shared" si="71"/>
        <v>0</v>
      </c>
      <c r="M230" s="1465"/>
    </row>
    <row r="231" spans="1:251" s="1477" customFormat="1" ht="18" customHeight="1" x14ac:dyDescent="0.3">
      <c r="A231" s="721">
        <v>221</v>
      </c>
      <c r="B231" s="1467"/>
      <c r="C231" s="1574"/>
      <c r="D231" s="1575" t="s">
        <v>1250</v>
      </c>
      <c r="E231" s="1470"/>
      <c r="F231" s="1471"/>
      <c r="G231" s="1762"/>
      <c r="H231" s="1472"/>
      <c r="I231" s="1473"/>
      <c r="J231" s="1473">
        <f>SUM(J229:J230)</f>
        <v>7151</v>
      </c>
      <c r="K231" s="1473">
        <f>SUM(K229:K230)</f>
        <v>0</v>
      </c>
      <c r="L231" s="1475">
        <f t="shared" si="71"/>
        <v>7151</v>
      </c>
      <c r="M231" s="1476"/>
    </row>
    <row r="232" spans="1:251" ht="38.1" customHeight="1" x14ac:dyDescent="0.3">
      <c r="A232" s="773">
        <v>222</v>
      </c>
      <c r="B232" s="734"/>
      <c r="C232" s="739">
        <v>45</v>
      </c>
      <c r="D232" s="422" t="s">
        <v>766</v>
      </c>
      <c r="E232" s="736">
        <f>F232+G232+L236+M233</f>
        <v>6096</v>
      </c>
      <c r="F232" s="737"/>
      <c r="G232" s="1760"/>
      <c r="H232" s="976" t="s">
        <v>24</v>
      </c>
      <c r="I232" s="948"/>
      <c r="J232" s="736"/>
      <c r="K232" s="736"/>
      <c r="L232" s="749"/>
      <c r="M232" s="738"/>
      <c r="N232" s="722"/>
      <c r="O232" s="722"/>
      <c r="P232" s="722"/>
      <c r="Q232" s="722"/>
      <c r="R232" s="722"/>
      <c r="S232" s="722"/>
      <c r="T232" s="722"/>
      <c r="U232" s="722"/>
      <c r="V232" s="722"/>
      <c r="W232" s="722"/>
      <c r="X232" s="722"/>
      <c r="Y232" s="722"/>
      <c r="Z232" s="722"/>
      <c r="AA232" s="722"/>
      <c r="AB232" s="722"/>
      <c r="AC232" s="722"/>
      <c r="AD232" s="722"/>
      <c r="AE232" s="722"/>
      <c r="AF232" s="722"/>
      <c r="AG232" s="722"/>
      <c r="AH232" s="722"/>
      <c r="AI232" s="722"/>
      <c r="AJ232" s="722"/>
      <c r="AK232" s="722"/>
      <c r="AL232" s="722"/>
      <c r="AM232" s="722"/>
      <c r="AN232" s="722"/>
      <c r="AO232" s="722"/>
      <c r="AP232" s="722"/>
      <c r="AQ232" s="722"/>
      <c r="AR232" s="722"/>
      <c r="AS232" s="722"/>
      <c r="AT232" s="722"/>
      <c r="AU232" s="722"/>
      <c r="AV232" s="722"/>
      <c r="AW232" s="722"/>
      <c r="AX232" s="722"/>
      <c r="AY232" s="722"/>
      <c r="AZ232" s="722"/>
      <c r="BA232" s="722"/>
      <c r="BB232" s="722"/>
      <c r="BC232" s="722"/>
      <c r="BD232" s="722"/>
      <c r="BE232" s="722"/>
      <c r="BF232" s="722"/>
      <c r="BG232" s="722"/>
      <c r="BH232" s="722"/>
      <c r="BI232" s="722"/>
      <c r="BJ232" s="722"/>
      <c r="BK232" s="722"/>
      <c r="BL232" s="722"/>
      <c r="BM232" s="722"/>
      <c r="BN232" s="722"/>
      <c r="BO232" s="722"/>
      <c r="BP232" s="722"/>
      <c r="BQ232" s="722"/>
      <c r="BR232" s="722"/>
      <c r="BS232" s="722"/>
      <c r="BT232" s="722"/>
      <c r="BU232" s="722"/>
      <c r="BV232" s="722"/>
      <c r="BW232" s="722"/>
      <c r="BX232" s="722"/>
      <c r="BY232" s="722"/>
      <c r="BZ232" s="722"/>
      <c r="CA232" s="722"/>
      <c r="CB232" s="722"/>
      <c r="CC232" s="722"/>
      <c r="CD232" s="722"/>
      <c r="CE232" s="722"/>
      <c r="CF232" s="722"/>
      <c r="CG232" s="722"/>
      <c r="CH232" s="722"/>
      <c r="CI232" s="722"/>
      <c r="CJ232" s="722"/>
      <c r="CK232" s="722"/>
      <c r="CL232" s="722"/>
      <c r="CM232" s="722"/>
      <c r="CN232" s="722"/>
      <c r="CO232" s="722"/>
      <c r="CP232" s="722"/>
      <c r="CQ232" s="722"/>
      <c r="CR232" s="722"/>
      <c r="CS232" s="722"/>
      <c r="CT232" s="722"/>
      <c r="CU232" s="722"/>
      <c r="CV232" s="722"/>
      <c r="CW232" s="722"/>
      <c r="CX232" s="722"/>
      <c r="CY232" s="722"/>
      <c r="CZ232" s="722"/>
      <c r="DA232" s="722"/>
      <c r="DB232" s="722"/>
      <c r="DC232" s="722"/>
      <c r="DD232" s="722"/>
      <c r="DE232" s="722"/>
      <c r="DF232" s="722"/>
      <c r="DG232" s="722"/>
      <c r="DH232" s="722"/>
      <c r="DI232" s="722"/>
      <c r="DJ232" s="722"/>
      <c r="DK232" s="722"/>
      <c r="DL232" s="722"/>
      <c r="DM232" s="722"/>
      <c r="DN232" s="722"/>
      <c r="DO232" s="722"/>
      <c r="DP232" s="722"/>
      <c r="DQ232" s="722"/>
      <c r="DR232" s="722"/>
      <c r="DS232" s="722"/>
      <c r="DT232" s="722"/>
      <c r="DU232" s="722"/>
      <c r="DV232" s="722"/>
      <c r="DW232" s="722"/>
      <c r="DX232" s="722"/>
      <c r="DY232" s="722"/>
      <c r="DZ232" s="722"/>
      <c r="EA232" s="722"/>
      <c r="EB232" s="722"/>
      <c r="EC232" s="722"/>
      <c r="ED232" s="722"/>
      <c r="EE232" s="722"/>
      <c r="EF232" s="722"/>
      <c r="EG232" s="722"/>
      <c r="EH232" s="722"/>
      <c r="EI232" s="722"/>
      <c r="EJ232" s="722"/>
      <c r="EK232" s="722"/>
      <c r="EL232" s="722"/>
      <c r="EM232" s="722"/>
      <c r="EN232" s="722"/>
      <c r="EO232" s="722"/>
      <c r="EP232" s="722"/>
      <c r="EQ232" s="722"/>
      <c r="ER232" s="722"/>
      <c r="ES232" s="722"/>
      <c r="ET232" s="722"/>
      <c r="EU232" s="722"/>
      <c r="EV232" s="722"/>
      <c r="EW232" s="722"/>
      <c r="EX232" s="722"/>
      <c r="EY232" s="722"/>
      <c r="EZ232" s="722"/>
      <c r="FA232" s="722"/>
      <c r="FB232" s="722"/>
      <c r="FC232" s="722"/>
      <c r="FD232" s="722"/>
      <c r="FE232" s="722"/>
      <c r="FF232" s="722"/>
      <c r="FG232" s="722"/>
      <c r="FH232" s="722"/>
      <c r="FI232" s="722"/>
      <c r="FJ232" s="722"/>
      <c r="FK232" s="722"/>
      <c r="FL232" s="722"/>
      <c r="FM232" s="722"/>
      <c r="FN232" s="722"/>
      <c r="FO232" s="722"/>
      <c r="FP232" s="722"/>
      <c r="FQ232" s="722"/>
      <c r="FR232" s="722"/>
      <c r="FS232" s="722"/>
      <c r="FT232" s="722"/>
      <c r="FU232" s="722"/>
      <c r="FV232" s="722"/>
      <c r="FW232" s="722"/>
      <c r="FX232" s="722"/>
      <c r="FY232" s="722"/>
      <c r="FZ232" s="722"/>
      <c r="GA232" s="722"/>
      <c r="GB232" s="722"/>
      <c r="GC232" s="722"/>
      <c r="GD232" s="722"/>
      <c r="GE232" s="722"/>
      <c r="GF232" s="722"/>
      <c r="GG232" s="722"/>
      <c r="GH232" s="722"/>
      <c r="GI232" s="722"/>
      <c r="GJ232" s="722"/>
      <c r="GK232" s="722"/>
      <c r="GL232" s="722"/>
      <c r="GM232" s="722"/>
      <c r="GN232" s="722"/>
      <c r="GO232" s="722"/>
      <c r="GP232" s="722"/>
      <c r="GQ232" s="722"/>
      <c r="GR232" s="722"/>
      <c r="GS232" s="722"/>
      <c r="GT232" s="722"/>
      <c r="GU232" s="722"/>
      <c r="GV232" s="722"/>
      <c r="GW232" s="722"/>
      <c r="GX232" s="722"/>
      <c r="GY232" s="722"/>
      <c r="GZ232" s="722"/>
      <c r="HA232" s="722"/>
      <c r="HB232" s="722"/>
      <c r="HC232" s="722"/>
      <c r="HD232" s="722"/>
      <c r="HE232" s="722"/>
      <c r="HF232" s="722"/>
      <c r="HG232" s="722"/>
      <c r="HH232" s="722"/>
      <c r="HI232" s="722"/>
      <c r="HJ232" s="722"/>
      <c r="HK232" s="722"/>
      <c r="HL232" s="722"/>
      <c r="HM232" s="722"/>
      <c r="HN232" s="722"/>
      <c r="HO232" s="722"/>
      <c r="HP232" s="722"/>
      <c r="HQ232" s="722"/>
      <c r="HR232" s="722"/>
      <c r="HS232" s="722"/>
      <c r="HT232" s="722"/>
      <c r="HU232" s="722"/>
      <c r="HV232" s="722"/>
      <c r="HW232" s="722"/>
      <c r="HX232" s="722"/>
      <c r="HY232" s="722"/>
      <c r="HZ232" s="722"/>
      <c r="IA232" s="722"/>
      <c r="IB232" s="722"/>
      <c r="IC232" s="722"/>
      <c r="ID232" s="722"/>
      <c r="IE232" s="722"/>
      <c r="IF232" s="722"/>
      <c r="IG232" s="722"/>
      <c r="IH232" s="722"/>
      <c r="II232" s="722"/>
      <c r="IJ232" s="722"/>
      <c r="IK232" s="722"/>
      <c r="IL232" s="722"/>
      <c r="IM232" s="722"/>
      <c r="IN232" s="722"/>
      <c r="IO232" s="722"/>
      <c r="IP232" s="722"/>
      <c r="IQ232" s="722"/>
    </row>
    <row r="233" spans="1:251" s="1455" customFormat="1" ht="18" customHeight="1" x14ac:dyDescent="0.3">
      <c r="A233" s="721">
        <v>223</v>
      </c>
      <c r="B233" s="1445"/>
      <c r="C233" s="1568"/>
      <c r="D233" s="1569" t="s">
        <v>308</v>
      </c>
      <c r="E233" s="1448"/>
      <c r="F233" s="1449"/>
      <c r="G233" s="1763"/>
      <c r="H233" s="1450"/>
      <c r="I233" s="1451"/>
      <c r="J233" s="1570">
        <v>6096</v>
      </c>
      <c r="K233" s="1570"/>
      <c r="L233" s="1453">
        <f t="shared" si="0"/>
        <v>6096</v>
      </c>
      <c r="M233" s="1454"/>
    </row>
    <row r="234" spans="1:251" s="1455" customFormat="1" ht="18" customHeight="1" x14ac:dyDescent="0.3">
      <c r="A234" s="721">
        <v>224</v>
      </c>
      <c r="B234" s="1445"/>
      <c r="C234" s="1568"/>
      <c r="D234" s="1575" t="s">
        <v>1158</v>
      </c>
      <c r="E234" s="1448"/>
      <c r="F234" s="1449"/>
      <c r="G234" s="1763"/>
      <c r="H234" s="1450"/>
      <c r="I234" s="1451"/>
      <c r="J234" s="1737">
        <v>6096</v>
      </c>
      <c r="K234" s="1570"/>
      <c r="L234" s="1475">
        <f t="shared" ref="L234" si="73">SUM(I234:K234)</f>
        <v>6096</v>
      </c>
      <c r="M234" s="1454"/>
    </row>
    <row r="235" spans="1:251" s="1466" customFormat="1" ht="18" customHeight="1" x14ac:dyDescent="0.3">
      <c r="A235" s="773">
        <v>225</v>
      </c>
      <c r="B235" s="1456"/>
      <c r="C235" s="1571"/>
      <c r="D235" s="1572" t="s">
        <v>947</v>
      </c>
      <c r="E235" s="1459"/>
      <c r="F235" s="1460"/>
      <c r="G235" s="1761"/>
      <c r="H235" s="1461"/>
      <c r="I235" s="1462"/>
      <c r="J235" s="1573"/>
      <c r="K235" s="1573"/>
      <c r="L235" s="1464">
        <f t="shared" si="0"/>
        <v>0</v>
      </c>
      <c r="M235" s="1465"/>
    </row>
    <row r="236" spans="1:251" s="1477" customFormat="1" ht="18" customHeight="1" x14ac:dyDescent="0.3">
      <c r="A236" s="721">
        <v>226</v>
      </c>
      <c r="B236" s="1467"/>
      <c r="C236" s="1574"/>
      <c r="D236" s="1575" t="s">
        <v>1250</v>
      </c>
      <c r="E236" s="1470"/>
      <c r="F236" s="1471"/>
      <c r="G236" s="1762"/>
      <c r="H236" s="1472"/>
      <c r="I236" s="1473"/>
      <c r="J236" s="1473">
        <f>SUM(J234:J235)</f>
        <v>6096</v>
      </c>
      <c r="K236" s="1473">
        <f>SUM(K234:K235)</f>
        <v>0</v>
      </c>
      <c r="L236" s="1475">
        <f t="shared" si="0"/>
        <v>6096</v>
      </c>
      <c r="M236" s="1476"/>
    </row>
    <row r="237" spans="1:251" ht="22.5" customHeight="1" x14ac:dyDescent="0.3">
      <c r="A237" s="721">
        <v>227</v>
      </c>
      <c r="B237" s="734"/>
      <c r="C237" s="735">
        <v>46</v>
      </c>
      <c r="D237" s="421" t="s">
        <v>767</v>
      </c>
      <c r="E237" s="736">
        <f>F237+G237+L241+M238</f>
        <v>300</v>
      </c>
      <c r="F237" s="737"/>
      <c r="G237" s="1760">
        <v>300</v>
      </c>
      <c r="H237" s="976" t="s">
        <v>24</v>
      </c>
      <c r="I237" s="948"/>
      <c r="J237" s="736"/>
      <c r="K237" s="736"/>
      <c r="L237" s="749"/>
      <c r="M237" s="738"/>
      <c r="N237" s="722"/>
      <c r="O237" s="722"/>
      <c r="P237" s="722"/>
      <c r="Q237" s="722"/>
      <c r="R237" s="722"/>
      <c r="S237" s="722"/>
      <c r="T237" s="722"/>
      <c r="U237" s="722"/>
      <c r="V237" s="722"/>
      <c r="W237" s="722"/>
      <c r="X237" s="722"/>
      <c r="Y237" s="722"/>
      <c r="Z237" s="722"/>
      <c r="AA237" s="722"/>
      <c r="AB237" s="722"/>
      <c r="AC237" s="722"/>
      <c r="AD237" s="722"/>
      <c r="AE237" s="722"/>
      <c r="AF237" s="722"/>
      <c r="AG237" s="722"/>
      <c r="AH237" s="722"/>
      <c r="AI237" s="722"/>
      <c r="AJ237" s="722"/>
      <c r="AK237" s="722"/>
      <c r="AL237" s="722"/>
      <c r="AM237" s="722"/>
      <c r="AN237" s="722"/>
      <c r="AO237" s="722"/>
      <c r="AP237" s="722"/>
      <c r="AQ237" s="722"/>
      <c r="AR237" s="722"/>
      <c r="AS237" s="722"/>
      <c r="AT237" s="722"/>
      <c r="AU237" s="722"/>
      <c r="AV237" s="722"/>
      <c r="AW237" s="722"/>
      <c r="AX237" s="722"/>
      <c r="AY237" s="722"/>
      <c r="AZ237" s="722"/>
      <c r="BA237" s="722"/>
      <c r="BB237" s="722"/>
      <c r="BC237" s="722"/>
      <c r="BD237" s="722"/>
      <c r="BE237" s="722"/>
      <c r="BF237" s="722"/>
      <c r="BG237" s="722"/>
      <c r="BH237" s="722"/>
      <c r="BI237" s="722"/>
      <c r="BJ237" s="722"/>
      <c r="BK237" s="722"/>
      <c r="BL237" s="722"/>
      <c r="BM237" s="722"/>
      <c r="BN237" s="722"/>
      <c r="BO237" s="722"/>
      <c r="BP237" s="722"/>
      <c r="BQ237" s="722"/>
      <c r="BR237" s="722"/>
      <c r="BS237" s="722"/>
      <c r="BT237" s="722"/>
      <c r="BU237" s="722"/>
      <c r="BV237" s="722"/>
      <c r="BW237" s="722"/>
      <c r="BX237" s="722"/>
      <c r="BY237" s="722"/>
      <c r="BZ237" s="722"/>
      <c r="CA237" s="722"/>
      <c r="CB237" s="722"/>
      <c r="CC237" s="722"/>
      <c r="CD237" s="722"/>
      <c r="CE237" s="722"/>
      <c r="CF237" s="722"/>
      <c r="CG237" s="722"/>
      <c r="CH237" s="722"/>
      <c r="CI237" s="722"/>
      <c r="CJ237" s="722"/>
      <c r="CK237" s="722"/>
      <c r="CL237" s="722"/>
      <c r="CM237" s="722"/>
      <c r="CN237" s="722"/>
      <c r="CO237" s="722"/>
      <c r="CP237" s="722"/>
      <c r="CQ237" s="722"/>
      <c r="CR237" s="722"/>
      <c r="CS237" s="722"/>
      <c r="CT237" s="722"/>
      <c r="CU237" s="722"/>
      <c r="CV237" s="722"/>
      <c r="CW237" s="722"/>
      <c r="CX237" s="722"/>
      <c r="CY237" s="722"/>
      <c r="CZ237" s="722"/>
      <c r="DA237" s="722"/>
      <c r="DB237" s="722"/>
      <c r="DC237" s="722"/>
      <c r="DD237" s="722"/>
      <c r="DE237" s="722"/>
      <c r="DF237" s="722"/>
      <c r="DG237" s="722"/>
      <c r="DH237" s="722"/>
      <c r="DI237" s="722"/>
      <c r="DJ237" s="722"/>
      <c r="DK237" s="722"/>
      <c r="DL237" s="722"/>
      <c r="DM237" s="722"/>
      <c r="DN237" s="722"/>
      <c r="DO237" s="722"/>
      <c r="DP237" s="722"/>
      <c r="DQ237" s="722"/>
      <c r="DR237" s="722"/>
      <c r="DS237" s="722"/>
      <c r="DT237" s="722"/>
      <c r="DU237" s="722"/>
      <c r="DV237" s="722"/>
      <c r="DW237" s="722"/>
      <c r="DX237" s="722"/>
      <c r="DY237" s="722"/>
      <c r="DZ237" s="722"/>
      <c r="EA237" s="722"/>
      <c r="EB237" s="722"/>
      <c r="EC237" s="722"/>
      <c r="ED237" s="722"/>
      <c r="EE237" s="722"/>
      <c r="EF237" s="722"/>
      <c r="EG237" s="722"/>
      <c r="EH237" s="722"/>
      <c r="EI237" s="722"/>
      <c r="EJ237" s="722"/>
      <c r="EK237" s="722"/>
      <c r="EL237" s="722"/>
      <c r="EM237" s="722"/>
      <c r="EN237" s="722"/>
      <c r="EO237" s="722"/>
      <c r="EP237" s="722"/>
      <c r="EQ237" s="722"/>
      <c r="ER237" s="722"/>
      <c r="ES237" s="722"/>
      <c r="ET237" s="722"/>
      <c r="EU237" s="722"/>
      <c r="EV237" s="722"/>
      <c r="EW237" s="722"/>
      <c r="EX237" s="722"/>
      <c r="EY237" s="722"/>
      <c r="EZ237" s="722"/>
      <c r="FA237" s="722"/>
      <c r="FB237" s="722"/>
      <c r="FC237" s="722"/>
      <c r="FD237" s="722"/>
      <c r="FE237" s="722"/>
      <c r="FF237" s="722"/>
      <c r="FG237" s="722"/>
      <c r="FH237" s="722"/>
      <c r="FI237" s="722"/>
      <c r="FJ237" s="722"/>
      <c r="FK237" s="722"/>
      <c r="FL237" s="722"/>
      <c r="FM237" s="722"/>
      <c r="FN237" s="722"/>
      <c r="FO237" s="722"/>
      <c r="FP237" s="722"/>
      <c r="FQ237" s="722"/>
      <c r="FR237" s="722"/>
      <c r="FS237" s="722"/>
      <c r="FT237" s="722"/>
      <c r="FU237" s="722"/>
      <c r="FV237" s="722"/>
      <c r="FW237" s="722"/>
      <c r="FX237" s="722"/>
      <c r="FY237" s="722"/>
      <c r="FZ237" s="722"/>
      <c r="GA237" s="722"/>
      <c r="GB237" s="722"/>
      <c r="GC237" s="722"/>
      <c r="GD237" s="722"/>
      <c r="GE237" s="722"/>
      <c r="GF237" s="722"/>
      <c r="GG237" s="722"/>
      <c r="GH237" s="722"/>
      <c r="GI237" s="722"/>
      <c r="GJ237" s="722"/>
      <c r="GK237" s="722"/>
      <c r="GL237" s="722"/>
      <c r="GM237" s="722"/>
      <c r="GN237" s="722"/>
      <c r="GO237" s="722"/>
      <c r="GP237" s="722"/>
      <c r="GQ237" s="722"/>
      <c r="GR237" s="722"/>
      <c r="GS237" s="722"/>
      <c r="GT237" s="722"/>
      <c r="GU237" s="722"/>
      <c r="GV237" s="722"/>
      <c r="GW237" s="722"/>
      <c r="GX237" s="722"/>
      <c r="GY237" s="722"/>
      <c r="GZ237" s="722"/>
      <c r="HA237" s="722"/>
      <c r="HB237" s="722"/>
      <c r="HC237" s="722"/>
      <c r="HD237" s="722"/>
      <c r="HE237" s="722"/>
      <c r="HF237" s="722"/>
      <c r="HG237" s="722"/>
      <c r="HH237" s="722"/>
      <c r="HI237" s="722"/>
      <c r="HJ237" s="722"/>
      <c r="HK237" s="722"/>
      <c r="HL237" s="722"/>
      <c r="HM237" s="722"/>
      <c r="HN237" s="722"/>
      <c r="HO237" s="722"/>
      <c r="HP237" s="722"/>
      <c r="HQ237" s="722"/>
      <c r="HR237" s="722"/>
      <c r="HS237" s="722"/>
      <c r="HT237" s="722"/>
      <c r="HU237" s="722"/>
      <c r="HV237" s="722"/>
      <c r="HW237" s="722"/>
      <c r="HX237" s="722"/>
      <c r="HY237" s="722"/>
      <c r="HZ237" s="722"/>
      <c r="IA237" s="722"/>
      <c r="IB237" s="722"/>
      <c r="IC237" s="722"/>
      <c r="ID237" s="722"/>
      <c r="IE237" s="722"/>
      <c r="IF237" s="722"/>
      <c r="IG237" s="722"/>
      <c r="IH237" s="722"/>
      <c r="II237" s="722"/>
      <c r="IJ237" s="722"/>
      <c r="IK237" s="722"/>
      <c r="IL237" s="722"/>
      <c r="IM237" s="722"/>
      <c r="IN237" s="722"/>
      <c r="IO237" s="722"/>
      <c r="IP237" s="722"/>
      <c r="IQ237" s="722"/>
    </row>
    <row r="238" spans="1:251" s="1455" customFormat="1" ht="18" customHeight="1" x14ac:dyDescent="0.3">
      <c r="A238" s="773">
        <v>228</v>
      </c>
      <c r="B238" s="1445"/>
      <c r="C238" s="1568"/>
      <c r="D238" s="1569" t="s">
        <v>308</v>
      </c>
      <c r="E238" s="1448"/>
      <c r="F238" s="1449"/>
      <c r="G238" s="1763"/>
      <c r="H238" s="1450"/>
      <c r="I238" s="1451"/>
      <c r="J238" s="1570">
        <v>450</v>
      </c>
      <c r="K238" s="1570"/>
      <c r="L238" s="1453">
        <f t="shared" ref="L238:L241" si="74">SUM(I238:K238)</f>
        <v>450</v>
      </c>
      <c r="M238" s="1454"/>
    </row>
    <row r="239" spans="1:251" s="1455" customFormat="1" ht="18" customHeight="1" x14ac:dyDescent="0.3">
      <c r="A239" s="721">
        <v>229</v>
      </c>
      <c r="B239" s="1445"/>
      <c r="C239" s="1568"/>
      <c r="D239" s="1575" t="s">
        <v>1158</v>
      </c>
      <c r="E239" s="1448"/>
      <c r="F239" s="1449"/>
      <c r="G239" s="1763"/>
      <c r="H239" s="1450"/>
      <c r="I239" s="1451"/>
      <c r="J239" s="1737">
        <v>0</v>
      </c>
      <c r="K239" s="1570"/>
      <c r="L239" s="1475">
        <f t="shared" ref="L239" si="75">SUM(I239:K239)</f>
        <v>0</v>
      </c>
      <c r="M239" s="1454"/>
    </row>
    <row r="240" spans="1:251" s="1466" customFormat="1" ht="18" customHeight="1" x14ac:dyDescent="0.3">
      <c r="A240" s="721">
        <v>230</v>
      </c>
      <c r="B240" s="1456"/>
      <c r="C240" s="1571"/>
      <c r="D240" s="1572" t="s">
        <v>969</v>
      </c>
      <c r="E240" s="1459"/>
      <c r="F240" s="1460"/>
      <c r="G240" s="1761"/>
      <c r="H240" s="1461"/>
      <c r="I240" s="1462"/>
      <c r="J240" s="1573"/>
      <c r="K240" s="1573"/>
      <c r="L240" s="1464">
        <f t="shared" si="74"/>
        <v>0</v>
      </c>
      <c r="M240" s="1465"/>
    </row>
    <row r="241" spans="1:251" s="1477" customFormat="1" ht="18" customHeight="1" x14ac:dyDescent="0.3">
      <c r="A241" s="773">
        <v>231</v>
      </c>
      <c r="B241" s="1467"/>
      <c r="C241" s="1574"/>
      <c r="D241" s="1575" t="s">
        <v>1250</v>
      </c>
      <c r="E241" s="1470"/>
      <c r="F241" s="1471"/>
      <c r="G241" s="1762"/>
      <c r="H241" s="1472"/>
      <c r="I241" s="1473"/>
      <c r="J241" s="1473">
        <f>SUM(J239:J240)</f>
        <v>0</v>
      </c>
      <c r="K241" s="1473">
        <f>SUM(K239:K240)</f>
        <v>0</v>
      </c>
      <c r="L241" s="1475">
        <f t="shared" si="74"/>
        <v>0</v>
      </c>
      <c r="M241" s="1476"/>
    </row>
    <row r="242" spans="1:251" ht="22.5" customHeight="1" x14ac:dyDescent="0.3">
      <c r="A242" s="721">
        <v>232</v>
      </c>
      <c r="B242" s="734"/>
      <c r="C242" s="735">
        <v>47</v>
      </c>
      <c r="D242" s="421" t="s">
        <v>768</v>
      </c>
      <c r="E242" s="736">
        <f>F242+G242+L246+M243</f>
        <v>30075</v>
      </c>
      <c r="F242" s="737"/>
      <c r="G242" s="1760"/>
      <c r="H242" s="976" t="s">
        <v>24</v>
      </c>
      <c r="I242" s="948"/>
      <c r="J242" s="736"/>
      <c r="K242" s="736"/>
      <c r="L242" s="749"/>
      <c r="M242" s="738"/>
      <c r="N242" s="722"/>
      <c r="O242" s="722"/>
      <c r="P242" s="722"/>
      <c r="Q242" s="722"/>
      <c r="R242" s="722"/>
      <c r="S242" s="722"/>
      <c r="T242" s="722"/>
      <c r="U242" s="722"/>
      <c r="V242" s="722"/>
      <c r="W242" s="722"/>
      <c r="X242" s="722"/>
      <c r="Y242" s="722"/>
      <c r="Z242" s="722"/>
      <c r="AA242" s="722"/>
      <c r="AB242" s="722"/>
      <c r="AC242" s="722"/>
      <c r="AD242" s="722"/>
      <c r="AE242" s="722"/>
      <c r="AF242" s="722"/>
      <c r="AG242" s="722"/>
      <c r="AH242" s="722"/>
      <c r="AI242" s="722"/>
      <c r="AJ242" s="722"/>
      <c r="AK242" s="722"/>
      <c r="AL242" s="722"/>
      <c r="AM242" s="722"/>
      <c r="AN242" s="722"/>
      <c r="AO242" s="722"/>
      <c r="AP242" s="722"/>
      <c r="AQ242" s="722"/>
      <c r="AR242" s="722"/>
      <c r="AS242" s="722"/>
      <c r="AT242" s="722"/>
      <c r="AU242" s="722"/>
      <c r="AV242" s="722"/>
      <c r="AW242" s="722"/>
      <c r="AX242" s="722"/>
      <c r="AY242" s="722"/>
      <c r="AZ242" s="722"/>
      <c r="BA242" s="722"/>
      <c r="BB242" s="722"/>
      <c r="BC242" s="722"/>
      <c r="BD242" s="722"/>
      <c r="BE242" s="722"/>
      <c r="BF242" s="722"/>
      <c r="BG242" s="722"/>
      <c r="BH242" s="722"/>
      <c r="BI242" s="722"/>
      <c r="BJ242" s="722"/>
      <c r="BK242" s="722"/>
      <c r="BL242" s="722"/>
      <c r="BM242" s="722"/>
      <c r="BN242" s="722"/>
      <c r="BO242" s="722"/>
      <c r="BP242" s="722"/>
      <c r="BQ242" s="722"/>
      <c r="BR242" s="722"/>
      <c r="BS242" s="722"/>
      <c r="BT242" s="722"/>
      <c r="BU242" s="722"/>
      <c r="BV242" s="722"/>
      <c r="BW242" s="722"/>
      <c r="BX242" s="722"/>
      <c r="BY242" s="722"/>
      <c r="BZ242" s="722"/>
      <c r="CA242" s="722"/>
      <c r="CB242" s="722"/>
      <c r="CC242" s="722"/>
      <c r="CD242" s="722"/>
      <c r="CE242" s="722"/>
      <c r="CF242" s="722"/>
      <c r="CG242" s="722"/>
      <c r="CH242" s="722"/>
      <c r="CI242" s="722"/>
      <c r="CJ242" s="722"/>
      <c r="CK242" s="722"/>
      <c r="CL242" s="722"/>
      <c r="CM242" s="722"/>
      <c r="CN242" s="722"/>
      <c r="CO242" s="722"/>
      <c r="CP242" s="722"/>
      <c r="CQ242" s="722"/>
      <c r="CR242" s="722"/>
      <c r="CS242" s="722"/>
      <c r="CT242" s="722"/>
      <c r="CU242" s="722"/>
      <c r="CV242" s="722"/>
      <c r="CW242" s="722"/>
      <c r="CX242" s="722"/>
      <c r="CY242" s="722"/>
      <c r="CZ242" s="722"/>
      <c r="DA242" s="722"/>
      <c r="DB242" s="722"/>
      <c r="DC242" s="722"/>
      <c r="DD242" s="722"/>
      <c r="DE242" s="722"/>
      <c r="DF242" s="722"/>
      <c r="DG242" s="722"/>
      <c r="DH242" s="722"/>
      <c r="DI242" s="722"/>
      <c r="DJ242" s="722"/>
      <c r="DK242" s="722"/>
      <c r="DL242" s="722"/>
      <c r="DM242" s="722"/>
      <c r="DN242" s="722"/>
      <c r="DO242" s="722"/>
      <c r="DP242" s="722"/>
      <c r="DQ242" s="722"/>
      <c r="DR242" s="722"/>
      <c r="DS242" s="722"/>
      <c r="DT242" s="722"/>
      <c r="DU242" s="722"/>
      <c r="DV242" s="722"/>
      <c r="DW242" s="722"/>
      <c r="DX242" s="722"/>
      <c r="DY242" s="722"/>
      <c r="DZ242" s="722"/>
      <c r="EA242" s="722"/>
      <c r="EB242" s="722"/>
      <c r="EC242" s="722"/>
      <c r="ED242" s="722"/>
      <c r="EE242" s="722"/>
      <c r="EF242" s="722"/>
      <c r="EG242" s="722"/>
      <c r="EH242" s="722"/>
      <c r="EI242" s="722"/>
      <c r="EJ242" s="722"/>
      <c r="EK242" s="722"/>
      <c r="EL242" s="722"/>
      <c r="EM242" s="722"/>
      <c r="EN242" s="722"/>
      <c r="EO242" s="722"/>
      <c r="EP242" s="722"/>
      <c r="EQ242" s="722"/>
      <c r="ER242" s="722"/>
      <c r="ES242" s="722"/>
      <c r="ET242" s="722"/>
      <c r="EU242" s="722"/>
      <c r="EV242" s="722"/>
      <c r="EW242" s="722"/>
      <c r="EX242" s="722"/>
      <c r="EY242" s="722"/>
      <c r="EZ242" s="722"/>
      <c r="FA242" s="722"/>
      <c r="FB242" s="722"/>
      <c r="FC242" s="722"/>
      <c r="FD242" s="722"/>
      <c r="FE242" s="722"/>
      <c r="FF242" s="722"/>
      <c r="FG242" s="722"/>
      <c r="FH242" s="722"/>
      <c r="FI242" s="722"/>
      <c r="FJ242" s="722"/>
      <c r="FK242" s="722"/>
      <c r="FL242" s="722"/>
      <c r="FM242" s="722"/>
      <c r="FN242" s="722"/>
      <c r="FO242" s="722"/>
      <c r="FP242" s="722"/>
      <c r="FQ242" s="722"/>
      <c r="FR242" s="722"/>
      <c r="FS242" s="722"/>
      <c r="FT242" s="722"/>
      <c r="FU242" s="722"/>
      <c r="FV242" s="722"/>
      <c r="FW242" s="722"/>
      <c r="FX242" s="722"/>
      <c r="FY242" s="722"/>
      <c r="FZ242" s="722"/>
      <c r="GA242" s="722"/>
      <c r="GB242" s="722"/>
      <c r="GC242" s="722"/>
      <c r="GD242" s="722"/>
      <c r="GE242" s="722"/>
      <c r="GF242" s="722"/>
      <c r="GG242" s="722"/>
      <c r="GH242" s="722"/>
      <c r="GI242" s="722"/>
      <c r="GJ242" s="722"/>
      <c r="GK242" s="722"/>
      <c r="GL242" s="722"/>
      <c r="GM242" s="722"/>
      <c r="GN242" s="722"/>
      <c r="GO242" s="722"/>
      <c r="GP242" s="722"/>
      <c r="GQ242" s="722"/>
      <c r="GR242" s="722"/>
      <c r="GS242" s="722"/>
      <c r="GT242" s="722"/>
      <c r="GU242" s="722"/>
      <c r="GV242" s="722"/>
      <c r="GW242" s="722"/>
      <c r="GX242" s="722"/>
      <c r="GY242" s="722"/>
      <c r="GZ242" s="722"/>
      <c r="HA242" s="722"/>
      <c r="HB242" s="722"/>
      <c r="HC242" s="722"/>
      <c r="HD242" s="722"/>
      <c r="HE242" s="722"/>
      <c r="HF242" s="722"/>
      <c r="HG242" s="722"/>
      <c r="HH242" s="722"/>
      <c r="HI242" s="722"/>
      <c r="HJ242" s="722"/>
      <c r="HK242" s="722"/>
      <c r="HL242" s="722"/>
      <c r="HM242" s="722"/>
      <c r="HN242" s="722"/>
      <c r="HO242" s="722"/>
      <c r="HP242" s="722"/>
      <c r="HQ242" s="722"/>
      <c r="HR242" s="722"/>
      <c r="HS242" s="722"/>
      <c r="HT242" s="722"/>
      <c r="HU242" s="722"/>
      <c r="HV242" s="722"/>
      <c r="HW242" s="722"/>
      <c r="HX242" s="722"/>
      <c r="HY242" s="722"/>
      <c r="HZ242" s="722"/>
      <c r="IA242" s="722"/>
      <c r="IB242" s="722"/>
      <c r="IC242" s="722"/>
      <c r="ID242" s="722"/>
      <c r="IE242" s="722"/>
      <c r="IF242" s="722"/>
      <c r="IG242" s="722"/>
      <c r="IH242" s="722"/>
      <c r="II242" s="722"/>
      <c r="IJ242" s="722"/>
      <c r="IK242" s="722"/>
      <c r="IL242" s="722"/>
      <c r="IM242" s="722"/>
      <c r="IN242" s="722"/>
      <c r="IO242" s="722"/>
      <c r="IP242" s="722"/>
      <c r="IQ242" s="722"/>
    </row>
    <row r="243" spans="1:251" s="1455" customFormat="1" ht="18" customHeight="1" x14ac:dyDescent="0.3">
      <c r="A243" s="721">
        <v>233</v>
      </c>
      <c r="B243" s="1445"/>
      <c r="C243" s="1568"/>
      <c r="D243" s="1569" t="s">
        <v>308</v>
      </c>
      <c r="E243" s="1448"/>
      <c r="F243" s="1449"/>
      <c r="G243" s="1763"/>
      <c r="H243" s="1450"/>
      <c r="I243" s="1451"/>
      <c r="J243" s="1570">
        <v>30075</v>
      </c>
      <c r="K243" s="1570"/>
      <c r="L243" s="1453">
        <f t="shared" si="0"/>
        <v>30075</v>
      </c>
      <c r="M243" s="1454"/>
    </row>
    <row r="244" spans="1:251" s="1455" customFormat="1" ht="18" customHeight="1" x14ac:dyDescent="0.3">
      <c r="A244" s="773">
        <v>234</v>
      </c>
      <c r="B244" s="1445"/>
      <c r="C244" s="1568"/>
      <c r="D244" s="1575" t="s">
        <v>1158</v>
      </c>
      <c r="E244" s="1448"/>
      <c r="F244" s="1449"/>
      <c r="G244" s="1763"/>
      <c r="H244" s="1450"/>
      <c r="I244" s="1451"/>
      <c r="J244" s="1737">
        <v>30075</v>
      </c>
      <c r="K244" s="1570"/>
      <c r="L244" s="1475">
        <f t="shared" ref="L244" si="76">SUM(I244:K244)</f>
        <v>30075</v>
      </c>
      <c r="M244" s="1454"/>
    </row>
    <row r="245" spans="1:251" s="1466" customFormat="1" ht="18" customHeight="1" x14ac:dyDescent="0.3">
      <c r="A245" s="721">
        <v>235</v>
      </c>
      <c r="B245" s="1456"/>
      <c r="C245" s="1571"/>
      <c r="D245" s="1572" t="s">
        <v>947</v>
      </c>
      <c r="E245" s="1459"/>
      <c r="F245" s="1460"/>
      <c r="G245" s="1761"/>
      <c r="H245" s="1461"/>
      <c r="I245" s="1462"/>
      <c r="J245" s="1573"/>
      <c r="K245" s="1573"/>
      <c r="L245" s="1464">
        <f t="shared" si="0"/>
        <v>0</v>
      </c>
      <c r="M245" s="1465"/>
    </row>
    <row r="246" spans="1:251" s="1477" customFormat="1" ht="18" customHeight="1" x14ac:dyDescent="0.3">
      <c r="A246" s="721">
        <v>236</v>
      </c>
      <c r="B246" s="1467"/>
      <c r="C246" s="1574"/>
      <c r="D246" s="1575" t="s">
        <v>1250</v>
      </c>
      <c r="E246" s="1470"/>
      <c r="F246" s="1471"/>
      <c r="G246" s="1762"/>
      <c r="H246" s="1472"/>
      <c r="I246" s="1473"/>
      <c r="J246" s="1473">
        <f>SUM(J244:J245)</f>
        <v>30075</v>
      </c>
      <c r="K246" s="1473">
        <f>SUM(K244:K245)</f>
        <v>0</v>
      </c>
      <c r="L246" s="1475">
        <f t="shared" si="0"/>
        <v>30075</v>
      </c>
      <c r="M246" s="1476"/>
    </row>
    <row r="247" spans="1:251" ht="22.5" customHeight="1" x14ac:dyDescent="0.3">
      <c r="A247" s="773">
        <v>237</v>
      </c>
      <c r="B247" s="734"/>
      <c r="C247" s="735">
        <v>48</v>
      </c>
      <c r="D247" s="1037" t="s">
        <v>769</v>
      </c>
      <c r="E247" s="736">
        <f>F247+G247+L251+M248</f>
        <v>7228</v>
      </c>
      <c r="F247" s="737"/>
      <c r="G247" s="1760">
        <v>449</v>
      </c>
      <c r="H247" s="976" t="s">
        <v>24</v>
      </c>
      <c r="I247" s="948"/>
      <c r="J247" s="736"/>
      <c r="K247" s="736"/>
      <c r="L247" s="749"/>
      <c r="M247" s="738"/>
      <c r="N247" s="722"/>
      <c r="O247" s="722"/>
      <c r="P247" s="722"/>
      <c r="Q247" s="722"/>
      <c r="R247" s="722"/>
      <c r="S247" s="722"/>
      <c r="T247" s="722"/>
      <c r="U247" s="722"/>
      <c r="V247" s="722"/>
      <c r="W247" s="722"/>
      <c r="X247" s="722"/>
      <c r="Y247" s="722"/>
      <c r="Z247" s="722"/>
      <c r="AA247" s="722"/>
      <c r="AB247" s="722"/>
      <c r="AC247" s="722"/>
      <c r="AD247" s="722"/>
      <c r="AE247" s="722"/>
      <c r="AF247" s="722"/>
      <c r="AG247" s="722"/>
      <c r="AH247" s="722"/>
      <c r="AI247" s="722"/>
      <c r="AJ247" s="722"/>
      <c r="AK247" s="722"/>
      <c r="AL247" s="722"/>
      <c r="AM247" s="722"/>
      <c r="AN247" s="722"/>
      <c r="AO247" s="722"/>
      <c r="AP247" s="722"/>
      <c r="AQ247" s="722"/>
      <c r="AR247" s="722"/>
      <c r="AS247" s="722"/>
      <c r="AT247" s="722"/>
      <c r="AU247" s="722"/>
      <c r="AV247" s="722"/>
      <c r="AW247" s="722"/>
      <c r="AX247" s="722"/>
      <c r="AY247" s="722"/>
      <c r="AZ247" s="722"/>
      <c r="BA247" s="722"/>
      <c r="BB247" s="722"/>
      <c r="BC247" s="722"/>
      <c r="BD247" s="722"/>
      <c r="BE247" s="722"/>
      <c r="BF247" s="722"/>
      <c r="BG247" s="722"/>
      <c r="BH247" s="722"/>
      <c r="BI247" s="722"/>
      <c r="BJ247" s="722"/>
      <c r="BK247" s="722"/>
      <c r="BL247" s="722"/>
      <c r="BM247" s="722"/>
      <c r="BN247" s="722"/>
      <c r="BO247" s="722"/>
      <c r="BP247" s="722"/>
      <c r="BQ247" s="722"/>
      <c r="BR247" s="722"/>
      <c r="BS247" s="722"/>
      <c r="BT247" s="722"/>
      <c r="BU247" s="722"/>
      <c r="BV247" s="722"/>
      <c r="BW247" s="722"/>
      <c r="BX247" s="722"/>
      <c r="BY247" s="722"/>
      <c r="BZ247" s="722"/>
      <c r="CA247" s="722"/>
      <c r="CB247" s="722"/>
      <c r="CC247" s="722"/>
      <c r="CD247" s="722"/>
      <c r="CE247" s="722"/>
      <c r="CF247" s="722"/>
      <c r="CG247" s="722"/>
      <c r="CH247" s="722"/>
      <c r="CI247" s="722"/>
      <c r="CJ247" s="722"/>
      <c r="CK247" s="722"/>
      <c r="CL247" s="722"/>
      <c r="CM247" s="722"/>
      <c r="CN247" s="722"/>
      <c r="CO247" s="722"/>
      <c r="CP247" s="722"/>
      <c r="CQ247" s="722"/>
      <c r="CR247" s="722"/>
      <c r="CS247" s="722"/>
      <c r="CT247" s="722"/>
      <c r="CU247" s="722"/>
      <c r="CV247" s="722"/>
      <c r="CW247" s="722"/>
      <c r="CX247" s="722"/>
      <c r="CY247" s="722"/>
      <c r="CZ247" s="722"/>
      <c r="DA247" s="722"/>
      <c r="DB247" s="722"/>
      <c r="DC247" s="722"/>
      <c r="DD247" s="722"/>
      <c r="DE247" s="722"/>
      <c r="DF247" s="722"/>
      <c r="DG247" s="722"/>
      <c r="DH247" s="722"/>
      <c r="DI247" s="722"/>
      <c r="DJ247" s="722"/>
      <c r="DK247" s="722"/>
      <c r="DL247" s="722"/>
      <c r="DM247" s="722"/>
      <c r="DN247" s="722"/>
      <c r="DO247" s="722"/>
      <c r="DP247" s="722"/>
      <c r="DQ247" s="722"/>
      <c r="DR247" s="722"/>
      <c r="DS247" s="722"/>
      <c r="DT247" s="722"/>
      <c r="DU247" s="722"/>
      <c r="DV247" s="722"/>
      <c r="DW247" s="722"/>
      <c r="DX247" s="722"/>
      <c r="DY247" s="722"/>
      <c r="DZ247" s="722"/>
      <c r="EA247" s="722"/>
      <c r="EB247" s="722"/>
      <c r="EC247" s="722"/>
      <c r="ED247" s="722"/>
      <c r="EE247" s="722"/>
      <c r="EF247" s="722"/>
      <c r="EG247" s="722"/>
      <c r="EH247" s="722"/>
      <c r="EI247" s="722"/>
      <c r="EJ247" s="722"/>
      <c r="EK247" s="722"/>
      <c r="EL247" s="722"/>
      <c r="EM247" s="722"/>
      <c r="EN247" s="722"/>
      <c r="EO247" s="722"/>
      <c r="EP247" s="722"/>
      <c r="EQ247" s="722"/>
      <c r="ER247" s="722"/>
      <c r="ES247" s="722"/>
      <c r="ET247" s="722"/>
      <c r="EU247" s="722"/>
      <c r="EV247" s="722"/>
      <c r="EW247" s="722"/>
      <c r="EX247" s="722"/>
      <c r="EY247" s="722"/>
      <c r="EZ247" s="722"/>
      <c r="FA247" s="722"/>
      <c r="FB247" s="722"/>
      <c r="FC247" s="722"/>
      <c r="FD247" s="722"/>
      <c r="FE247" s="722"/>
      <c r="FF247" s="722"/>
      <c r="FG247" s="722"/>
      <c r="FH247" s="722"/>
      <c r="FI247" s="722"/>
      <c r="FJ247" s="722"/>
      <c r="FK247" s="722"/>
      <c r="FL247" s="722"/>
      <c r="FM247" s="722"/>
      <c r="FN247" s="722"/>
      <c r="FO247" s="722"/>
      <c r="FP247" s="722"/>
      <c r="FQ247" s="722"/>
      <c r="FR247" s="722"/>
      <c r="FS247" s="722"/>
      <c r="FT247" s="722"/>
      <c r="FU247" s="722"/>
      <c r="FV247" s="722"/>
      <c r="FW247" s="722"/>
      <c r="FX247" s="722"/>
      <c r="FY247" s="722"/>
      <c r="FZ247" s="722"/>
      <c r="GA247" s="722"/>
      <c r="GB247" s="722"/>
      <c r="GC247" s="722"/>
      <c r="GD247" s="722"/>
      <c r="GE247" s="722"/>
      <c r="GF247" s="722"/>
      <c r="GG247" s="722"/>
      <c r="GH247" s="722"/>
      <c r="GI247" s="722"/>
      <c r="GJ247" s="722"/>
      <c r="GK247" s="722"/>
      <c r="GL247" s="722"/>
      <c r="GM247" s="722"/>
      <c r="GN247" s="722"/>
      <c r="GO247" s="722"/>
      <c r="GP247" s="722"/>
      <c r="GQ247" s="722"/>
      <c r="GR247" s="722"/>
      <c r="GS247" s="722"/>
      <c r="GT247" s="722"/>
      <c r="GU247" s="722"/>
      <c r="GV247" s="722"/>
      <c r="GW247" s="722"/>
      <c r="GX247" s="722"/>
      <c r="GY247" s="722"/>
      <c r="GZ247" s="722"/>
      <c r="HA247" s="722"/>
      <c r="HB247" s="722"/>
      <c r="HC247" s="722"/>
      <c r="HD247" s="722"/>
      <c r="HE247" s="722"/>
      <c r="HF247" s="722"/>
      <c r="HG247" s="722"/>
      <c r="HH247" s="722"/>
      <c r="HI247" s="722"/>
      <c r="HJ247" s="722"/>
      <c r="HK247" s="722"/>
      <c r="HL247" s="722"/>
      <c r="HM247" s="722"/>
      <c r="HN247" s="722"/>
      <c r="HO247" s="722"/>
      <c r="HP247" s="722"/>
      <c r="HQ247" s="722"/>
      <c r="HR247" s="722"/>
      <c r="HS247" s="722"/>
      <c r="HT247" s="722"/>
      <c r="HU247" s="722"/>
      <c r="HV247" s="722"/>
      <c r="HW247" s="722"/>
      <c r="HX247" s="722"/>
      <c r="HY247" s="722"/>
      <c r="HZ247" s="722"/>
      <c r="IA247" s="722"/>
      <c r="IB247" s="722"/>
      <c r="IC247" s="722"/>
      <c r="ID247" s="722"/>
      <c r="IE247" s="722"/>
      <c r="IF247" s="722"/>
      <c r="IG247" s="722"/>
      <c r="IH247" s="722"/>
      <c r="II247" s="722"/>
      <c r="IJ247" s="722"/>
      <c r="IK247" s="722"/>
      <c r="IL247" s="722"/>
      <c r="IM247" s="722"/>
      <c r="IN247" s="722"/>
      <c r="IO247" s="722"/>
      <c r="IP247" s="722"/>
      <c r="IQ247" s="722"/>
    </row>
    <row r="248" spans="1:251" s="1455" customFormat="1" ht="18" customHeight="1" x14ac:dyDescent="0.3">
      <c r="A248" s="721">
        <v>238</v>
      </c>
      <c r="B248" s="1445"/>
      <c r="C248" s="1568"/>
      <c r="D248" s="1569" t="s">
        <v>308</v>
      </c>
      <c r="E248" s="1448"/>
      <c r="F248" s="1449"/>
      <c r="G248" s="1763"/>
      <c r="H248" s="1450"/>
      <c r="I248" s="1451"/>
      <c r="J248" s="1570">
        <v>7051</v>
      </c>
      <c r="K248" s="1570"/>
      <c r="L248" s="1453">
        <f t="shared" ref="L248:L251" si="77">SUM(I248:K248)</f>
        <v>7051</v>
      </c>
      <c r="M248" s="1454"/>
    </row>
    <row r="249" spans="1:251" s="1455" customFormat="1" ht="18" customHeight="1" x14ac:dyDescent="0.3">
      <c r="A249" s="721">
        <v>239</v>
      </c>
      <c r="B249" s="1445"/>
      <c r="C249" s="1568"/>
      <c r="D249" s="1575" t="s">
        <v>1158</v>
      </c>
      <c r="E249" s="1448"/>
      <c r="F249" s="1449"/>
      <c r="G249" s="1763"/>
      <c r="H249" s="1450"/>
      <c r="I249" s="1451"/>
      <c r="J249" s="1737">
        <v>6779</v>
      </c>
      <c r="K249" s="1570"/>
      <c r="L249" s="1475">
        <f t="shared" ref="L249" si="78">SUM(I249:K249)</f>
        <v>6779</v>
      </c>
      <c r="M249" s="1454"/>
    </row>
    <row r="250" spans="1:251" s="1466" customFormat="1" ht="18" customHeight="1" x14ac:dyDescent="0.3">
      <c r="A250" s="773">
        <v>240</v>
      </c>
      <c r="B250" s="1456"/>
      <c r="C250" s="1571"/>
      <c r="D250" s="1572" t="s">
        <v>969</v>
      </c>
      <c r="E250" s="1459"/>
      <c r="F250" s="1460"/>
      <c r="G250" s="1761"/>
      <c r="H250" s="1461"/>
      <c r="I250" s="1462"/>
      <c r="J250" s="1573"/>
      <c r="K250" s="1573"/>
      <c r="L250" s="1464">
        <f t="shared" si="77"/>
        <v>0</v>
      </c>
      <c r="M250" s="1465"/>
    </row>
    <row r="251" spans="1:251" s="1477" customFormat="1" ht="18" customHeight="1" x14ac:dyDescent="0.3">
      <c r="A251" s="721">
        <v>241</v>
      </c>
      <c r="B251" s="1467"/>
      <c r="C251" s="1574"/>
      <c r="D251" s="1575" t="s">
        <v>1250</v>
      </c>
      <c r="E251" s="1470"/>
      <c r="F251" s="1471"/>
      <c r="G251" s="1762"/>
      <c r="H251" s="1472"/>
      <c r="I251" s="1473"/>
      <c r="J251" s="1473">
        <f>SUM(J249:J250)</f>
        <v>6779</v>
      </c>
      <c r="K251" s="1473">
        <f>SUM(K249:K250)</f>
        <v>0</v>
      </c>
      <c r="L251" s="1475">
        <f t="shared" si="77"/>
        <v>6779</v>
      </c>
      <c r="M251" s="1476"/>
    </row>
    <row r="252" spans="1:251" ht="22.5" customHeight="1" x14ac:dyDescent="0.3">
      <c r="A252" s="721">
        <v>242</v>
      </c>
      <c r="B252" s="734"/>
      <c r="C252" s="735">
        <v>49</v>
      </c>
      <c r="D252" s="421" t="s">
        <v>793</v>
      </c>
      <c r="E252" s="736">
        <f>F252+G252+L256+M253</f>
        <v>0</v>
      </c>
      <c r="F252" s="737"/>
      <c r="G252" s="1760"/>
      <c r="H252" s="976" t="s">
        <v>24</v>
      </c>
      <c r="I252" s="948"/>
      <c r="J252" s="736"/>
      <c r="K252" s="736"/>
      <c r="L252" s="749"/>
      <c r="M252" s="738"/>
      <c r="N252" s="722"/>
      <c r="O252" s="722"/>
      <c r="P252" s="722"/>
      <c r="Q252" s="722"/>
    </row>
    <row r="253" spans="1:251" s="1455" customFormat="1" ht="18" customHeight="1" x14ac:dyDescent="0.3">
      <c r="A253" s="773">
        <v>243</v>
      </c>
      <c r="B253" s="1445"/>
      <c r="C253" s="1568"/>
      <c r="D253" s="1569" t="s">
        <v>308</v>
      </c>
      <c r="E253" s="1448"/>
      <c r="F253" s="1449"/>
      <c r="G253" s="1763"/>
      <c r="H253" s="1450"/>
      <c r="I253" s="1451"/>
      <c r="J253" s="1570"/>
      <c r="K253" s="1570">
        <v>24000</v>
      </c>
      <c r="L253" s="1453">
        <f t="shared" ref="L253:L256" si="79">SUM(I253:K253)</f>
        <v>24000</v>
      </c>
      <c r="M253" s="1454"/>
    </row>
    <row r="254" spans="1:251" s="1455" customFormat="1" ht="18" customHeight="1" x14ac:dyDescent="0.3">
      <c r="A254" s="721">
        <v>244</v>
      </c>
      <c r="B254" s="1445"/>
      <c r="C254" s="1568"/>
      <c r="D254" s="1575" t="s">
        <v>1158</v>
      </c>
      <c r="E254" s="1448"/>
      <c r="F254" s="1449"/>
      <c r="G254" s="1763"/>
      <c r="H254" s="1450"/>
      <c r="I254" s="1451"/>
      <c r="J254" s="1570"/>
      <c r="K254" s="1737">
        <v>0</v>
      </c>
      <c r="L254" s="1475">
        <f t="shared" ref="L254" si="80">SUM(I254:K254)</f>
        <v>0</v>
      </c>
      <c r="M254" s="1454"/>
    </row>
    <row r="255" spans="1:251" s="1466" customFormat="1" ht="18" customHeight="1" x14ac:dyDescent="0.3">
      <c r="A255" s="721">
        <v>245</v>
      </c>
      <c r="B255" s="1456"/>
      <c r="C255" s="1571"/>
      <c r="D255" s="1572" t="s">
        <v>969</v>
      </c>
      <c r="E255" s="1459"/>
      <c r="F255" s="1460"/>
      <c r="G255" s="1761"/>
      <c r="H255" s="1461"/>
      <c r="I255" s="1462"/>
      <c r="J255" s="1573"/>
      <c r="K255" s="1573"/>
      <c r="L255" s="1464">
        <f t="shared" si="79"/>
        <v>0</v>
      </c>
      <c r="M255" s="1465"/>
    </row>
    <row r="256" spans="1:251" s="1477" customFormat="1" ht="18" customHeight="1" x14ac:dyDescent="0.3">
      <c r="A256" s="773">
        <v>246</v>
      </c>
      <c r="B256" s="1467"/>
      <c r="C256" s="1574"/>
      <c r="D256" s="1575" t="s">
        <v>1250</v>
      </c>
      <c r="E256" s="1470"/>
      <c r="F256" s="1471"/>
      <c r="G256" s="1762"/>
      <c r="H256" s="1472"/>
      <c r="I256" s="1473"/>
      <c r="J256" s="1473"/>
      <c r="K256" s="1473">
        <f>SUM(K254:K255)</f>
        <v>0</v>
      </c>
      <c r="L256" s="1475">
        <f t="shared" si="79"/>
        <v>0</v>
      </c>
      <c r="M256" s="1476"/>
    </row>
    <row r="257" spans="1:13" ht="22.5" customHeight="1" x14ac:dyDescent="0.3">
      <c r="A257" s="721">
        <v>247</v>
      </c>
      <c r="B257" s="734"/>
      <c r="C257" s="735">
        <v>50</v>
      </c>
      <c r="D257" s="421" t="s">
        <v>794</v>
      </c>
      <c r="E257" s="736">
        <f>F257+G257+L261+M258</f>
        <v>480000</v>
      </c>
      <c r="F257" s="737"/>
      <c r="G257" s="1760"/>
      <c r="H257" s="976" t="s">
        <v>23</v>
      </c>
      <c r="I257" s="948"/>
      <c r="J257" s="736"/>
      <c r="K257" s="736"/>
      <c r="L257" s="749"/>
      <c r="M257" s="738"/>
    </row>
    <row r="258" spans="1:13" s="1455" customFormat="1" ht="18" customHeight="1" x14ac:dyDescent="0.3">
      <c r="A258" s="721">
        <v>248</v>
      </c>
      <c r="B258" s="1445"/>
      <c r="C258" s="1568"/>
      <c r="D258" s="1569" t="s">
        <v>308</v>
      </c>
      <c r="E258" s="1448"/>
      <c r="F258" s="1449"/>
      <c r="G258" s="1763"/>
      <c r="H258" s="1450"/>
      <c r="I258" s="1451"/>
      <c r="J258" s="1570"/>
      <c r="K258" s="1570">
        <v>480000</v>
      </c>
      <c r="L258" s="1453">
        <f t="shared" ref="L258:L261" si="81">SUM(I258:K258)</f>
        <v>480000</v>
      </c>
      <c r="M258" s="1454"/>
    </row>
    <row r="259" spans="1:13" s="1455" customFormat="1" ht="18" customHeight="1" x14ac:dyDescent="0.3">
      <c r="A259" s="773">
        <v>249</v>
      </c>
      <c r="B259" s="1445"/>
      <c r="C259" s="1568"/>
      <c r="D259" s="1575" t="s">
        <v>1158</v>
      </c>
      <c r="E259" s="1448"/>
      <c r="F259" s="1449"/>
      <c r="G259" s="1763"/>
      <c r="H259" s="1450"/>
      <c r="I259" s="1451"/>
      <c r="J259" s="1570"/>
      <c r="K259" s="1737">
        <v>480000</v>
      </c>
      <c r="L259" s="1475">
        <f t="shared" ref="L259" si="82">SUM(I259:K259)</f>
        <v>480000</v>
      </c>
      <c r="M259" s="1454"/>
    </row>
    <row r="260" spans="1:13" s="1466" customFormat="1" ht="18" customHeight="1" x14ac:dyDescent="0.3">
      <c r="A260" s="721">
        <v>250</v>
      </c>
      <c r="B260" s="1456"/>
      <c r="C260" s="1571"/>
      <c r="D260" s="1572" t="s">
        <v>947</v>
      </c>
      <c r="E260" s="1459"/>
      <c r="F260" s="1460"/>
      <c r="G260" s="1761"/>
      <c r="H260" s="1461"/>
      <c r="I260" s="1462"/>
      <c r="J260" s="1573"/>
      <c r="K260" s="1573"/>
      <c r="L260" s="1464">
        <f>SUM(I260:K260)</f>
        <v>0</v>
      </c>
      <c r="M260" s="1465"/>
    </row>
    <row r="261" spans="1:13" s="1477" customFormat="1" ht="18" customHeight="1" x14ac:dyDescent="0.3">
      <c r="A261" s="721">
        <v>251</v>
      </c>
      <c r="B261" s="1467"/>
      <c r="C261" s="1574"/>
      <c r="D261" s="1575" t="s">
        <v>1250</v>
      </c>
      <c r="E261" s="736"/>
      <c r="F261" s="1471"/>
      <c r="G261" s="1762"/>
      <c r="H261" s="1472"/>
      <c r="I261" s="1473"/>
      <c r="J261" s="1473"/>
      <c r="K261" s="1473">
        <f>SUM(K259:K260)</f>
        <v>480000</v>
      </c>
      <c r="L261" s="1475">
        <f t="shared" si="81"/>
        <v>480000</v>
      </c>
      <c r="M261" s="1476"/>
    </row>
    <row r="262" spans="1:13" s="1477" customFormat="1" ht="30" customHeight="1" x14ac:dyDescent="0.3">
      <c r="A262" s="773">
        <v>252</v>
      </c>
      <c r="B262" s="1467"/>
      <c r="C262" s="739">
        <v>51</v>
      </c>
      <c r="D262" s="421" t="s">
        <v>1038</v>
      </c>
      <c r="E262" s="736">
        <f>F262+G262+L265+M263</f>
        <v>10000</v>
      </c>
      <c r="F262" s="1471"/>
      <c r="G262" s="1764"/>
      <c r="H262" s="1892" t="s">
        <v>24</v>
      </c>
      <c r="I262" s="1473"/>
      <c r="J262" s="1473"/>
      <c r="K262" s="1473"/>
      <c r="L262" s="1475"/>
      <c r="M262" s="1739"/>
    </row>
    <row r="263" spans="1:13" s="1477" customFormat="1" ht="18" customHeight="1" x14ac:dyDescent="0.3">
      <c r="A263" s="721">
        <v>253</v>
      </c>
      <c r="B263" s="1467"/>
      <c r="C263" s="735"/>
      <c r="D263" s="1575" t="s">
        <v>1158</v>
      </c>
      <c r="E263" s="736"/>
      <c r="F263" s="1471"/>
      <c r="G263" s="1764"/>
      <c r="H263" s="1738"/>
      <c r="I263" s="1473"/>
      <c r="J263" s="1473"/>
      <c r="K263" s="1473">
        <v>10000</v>
      </c>
      <c r="L263" s="1475">
        <f t="shared" ref="L263" si="83">SUM(I263:K263)</f>
        <v>10000</v>
      </c>
      <c r="M263" s="1739"/>
    </row>
    <row r="264" spans="1:13" s="1477" customFormat="1" ht="18" customHeight="1" x14ac:dyDescent="0.3">
      <c r="A264" s="721">
        <v>254</v>
      </c>
      <c r="B264" s="1467"/>
      <c r="C264" s="1574"/>
      <c r="D264" s="1572" t="s">
        <v>969</v>
      </c>
      <c r="E264" s="736"/>
      <c r="F264" s="1471"/>
      <c r="G264" s="1764"/>
      <c r="H264" s="1738"/>
      <c r="I264" s="1473"/>
      <c r="J264" s="1473"/>
      <c r="K264" s="1462"/>
      <c r="L264" s="1464">
        <f>SUM(I264:K264)</f>
        <v>0</v>
      </c>
      <c r="M264" s="1739"/>
    </row>
    <row r="265" spans="1:13" s="1477" customFormat="1" ht="18" customHeight="1" x14ac:dyDescent="0.3">
      <c r="A265" s="773">
        <v>255</v>
      </c>
      <c r="B265" s="1467"/>
      <c r="C265" s="1574"/>
      <c r="D265" s="1575" t="s">
        <v>1250</v>
      </c>
      <c r="E265" s="736"/>
      <c r="F265" s="1471"/>
      <c r="G265" s="1764"/>
      <c r="H265" s="1738"/>
      <c r="I265" s="1473"/>
      <c r="J265" s="1473"/>
      <c r="K265" s="1473">
        <f>SUM(K263:K264)</f>
        <v>10000</v>
      </c>
      <c r="L265" s="1475">
        <f t="shared" ref="L265" si="84">SUM(I265:K265)</f>
        <v>10000</v>
      </c>
      <c r="M265" s="1739"/>
    </row>
    <row r="266" spans="1:13" s="1477" customFormat="1" ht="30.75" customHeight="1" x14ac:dyDescent="0.3">
      <c r="A266" s="721">
        <v>256</v>
      </c>
      <c r="B266" s="1467"/>
      <c r="C266" s="739">
        <v>52</v>
      </c>
      <c r="D266" s="421" t="s">
        <v>1102</v>
      </c>
      <c r="E266" s="736">
        <f>F266+G266+L269+M267</f>
        <v>160</v>
      </c>
      <c r="F266" s="1471"/>
      <c r="G266" s="1764"/>
      <c r="H266" s="1892" t="s">
        <v>24</v>
      </c>
      <c r="I266" s="1473"/>
      <c r="J266" s="1473"/>
      <c r="K266" s="1473"/>
      <c r="L266" s="1475"/>
      <c r="M266" s="1739"/>
    </row>
    <row r="267" spans="1:13" s="1477" customFormat="1" ht="20.100000000000001" customHeight="1" x14ac:dyDescent="0.3">
      <c r="A267" s="721">
        <v>257</v>
      </c>
      <c r="B267" s="1467"/>
      <c r="C267" s="739"/>
      <c r="D267" s="1575" t="s">
        <v>1158</v>
      </c>
      <c r="E267" s="736"/>
      <c r="F267" s="1471"/>
      <c r="G267" s="1764"/>
      <c r="H267" s="1738"/>
      <c r="I267" s="1473"/>
      <c r="J267" s="1473"/>
      <c r="K267" s="1473">
        <v>160</v>
      </c>
      <c r="L267" s="1475">
        <f t="shared" ref="L267" si="85">SUM(I267:K267)</f>
        <v>160</v>
      </c>
      <c r="M267" s="1739"/>
    </row>
    <row r="268" spans="1:13" s="1477" customFormat="1" ht="18" customHeight="1" x14ac:dyDescent="0.3">
      <c r="A268" s="773">
        <v>258</v>
      </c>
      <c r="B268" s="1467"/>
      <c r="C268" s="1574"/>
      <c r="D268" s="1572" t="s">
        <v>970</v>
      </c>
      <c r="E268" s="1470"/>
      <c r="F268" s="1471"/>
      <c r="G268" s="1764"/>
      <c r="H268" s="1738"/>
      <c r="I268" s="1473"/>
      <c r="J268" s="1473"/>
      <c r="K268" s="1462"/>
      <c r="L268" s="1464">
        <f>SUM(I268:K268)</f>
        <v>0</v>
      </c>
      <c r="M268" s="1739"/>
    </row>
    <row r="269" spans="1:13" s="1477" customFormat="1" ht="18" customHeight="1" x14ac:dyDescent="0.3">
      <c r="A269" s="721">
        <v>259</v>
      </c>
      <c r="B269" s="1467"/>
      <c r="C269" s="1574"/>
      <c r="D269" s="1575" t="s">
        <v>1250</v>
      </c>
      <c r="E269" s="1470"/>
      <c r="F269" s="1471"/>
      <c r="G269" s="1764"/>
      <c r="H269" s="1738"/>
      <c r="I269" s="1473"/>
      <c r="J269" s="1473"/>
      <c r="K269" s="1473">
        <f>SUM(K267:K268)</f>
        <v>160</v>
      </c>
      <c r="L269" s="1475">
        <f>SUM(I269:K269)</f>
        <v>160</v>
      </c>
      <c r="M269" s="1739"/>
    </row>
    <row r="270" spans="1:13" s="1477" customFormat="1" ht="22.5" customHeight="1" x14ac:dyDescent="0.3">
      <c r="A270" s="721">
        <v>260</v>
      </c>
      <c r="B270" s="1467"/>
      <c r="C270" s="735">
        <v>53</v>
      </c>
      <c r="D270" s="421" t="s">
        <v>981</v>
      </c>
      <c r="E270" s="736">
        <f>F270+G270+L273+M271</f>
        <v>50</v>
      </c>
      <c r="F270" s="1471"/>
      <c r="G270" s="1764"/>
      <c r="H270" s="1892" t="s">
        <v>24</v>
      </c>
      <c r="I270" s="1737"/>
      <c r="J270" s="1737"/>
      <c r="K270" s="1737"/>
      <c r="L270" s="1475"/>
      <c r="M270" s="1739"/>
    </row>
    <row r="271" spans="1:13" s="1477" customFormat="1" ht="18" customHeight="1" x14ac:dyDescent="0.3">
      <c r="A271" s="773">
        <v>261</v>
      </c>
      <c r="B271" s="1467"/>
      <c r="C271" s="739"/>
      <c r="D271" s="1575" t="s">
        <v>1158</v>
      </c>
      <c r="E271" s="736"/>
      <c r="F271" s="1471"/>
      <c r="G271" s="1764"/>
      <c r="H271" s="1738"/>
      <c r="I271" s="1737"/>
      <c r="J271" s="1737">
        <v>50</v>
      </c>
      <c r="K271" s="1737"/>
      <c r="L271" s="1475">
        <f t="shared" ref="L271" si="86">SUM(I271:K271)</f>
        <v>50</v>
      </c>
      <c r="M271" s="1739"/>
    </row>
    <row r="272" spans="1:13" s="1477" customFormat="1" ht="18" customHeight="1" x14ac:dyDescent="0.3">
      <c r="A272" s="721">
        <v>262</v>
      </c>
      <c r="B272" s="1467"/>
      <c r="C272" s="739"/>
      <c r="D272" s="1572" t="s">
        <v>947</v>
      </c>
      <c r="E272" s="1470"/>
      <c r="F272" s="1471"/>
      <c r="G272" s="1764"/>
      <c r="H272" s="1738"/>
      <c r="I272" s="1737"/>
      <c r="J272" s="1573"/>
      <c r="K272" s="1737"/>
      <c r="L272" s="1475">
        <f>SUM(I272:K272)</f>
        <v>0</v>
      </c>
      <c r="M272" s="1739"/>
    </row>
    <row r="273" spans="1:13" s="1477" customFormat="1" ht="18" customHeight="1" x14ac:dyDescent="0.3">
      <c r="A273" s="721">
        <v>263</v>
      </c>
      <c r="B273" s="1467"/>
      <c r="C273" s="739"/>
      <c r="D273" s="1575" t="s">
        <v>1250</v>
      </c>
      <c r="E273" s="1470"/>
      <c r="F273" s="1471"/>
      <c r="G273" s="1764"/>
      <c r="H273" s="1738"/>
      <c r="I273" s="1473"/>
      <c r="J273" s="1473">
        <f>SUM(J271:J272)</f>
        <v>50</v>
      </c>
      <c r="K273" s="1473"/>
      <c r="L273" s="1475">
        <f>SUM(I273:K273)</f>
        <v>50</v>
      </c>
      <c r="M273" s="1739"/>
    </row>
    <row r="274" spans="1:13" s="1477" customFormat="1" ht="22.5" customHeight="1" x14ac:dyDescent="0.3">
      <c r="A274" s="773">
        <v>264</v>
      </c>
      <c r="B274" s="1467"/>
      <c r="C274" s="735">
        <v>54</v>
      </c>
      <c r="D274" s="421" t="s">
        <v>982</v>
      </c>
      <c r="E274" s="736">
        <f>F274+G274+L277+M275</f>
        <v>15</v>
      </c>
      <c r="F274" s="1471"/>
      <c r="G274" s="1764"/>
      <c r="H274" s="1892" t="s">
        <v>24</v>
      </c>
      <c r="I274" s="1737"/>
      <c r="J274" s="1737"/>
      <c r="K274" s="1737"/>
      <c r="L274" s="1475"/>
      <c r="M274" s="1739"/>
    </row>
    <row r="275" spans="1:13" s="1477" customFormat="1" ht="18" customHeight="1" x14ac:dyDescent="0.3">
      <c r="A275" s="721">
        <v>265</v>
      </c>
      <c r="B275" s="1467"/>
      <c r="C275" s="739"/>
      <c r="D275" s="1575" t="s">
        <v>1158</v>
      </c>
      <c r="E275" s="736"/>
      <c r="F275" s="1471"/>
      <c r="G275" s="1764"/>
      <c r="H275" s="1738"/>
      <c r="I275" s="1889"/>
      <c r="J275" s="1737">
        <v>15</v>
      </c>
      <c r="K275" s="1737"/>
      <c r="L275" s="1475">
        <f t="shared" ref="L275" si="87">SUM(I275:K275)</f>
        <v>15</v>
      </c>
      <c r="M275" s="1739"/>
    </row>
    <row r="276" spans="1:13" s="1477" customFormat="1" ht="18" customHeight="1" x14ac:dyDescent="0.3">
      <c r="A276" s="721">
        <v>266</v>
      </c>
      <c r="B276" s="1467"/>
      <c r="C276" s="1574"/>
      <c r="D276" s="1572" t="s">
        <v>947</v>
      </c>
      <c r="E276" s="1470"/>
      <c r="F276" s="1471"/>
      <c r="G276" s="1764"/>
      <c r="H276" s="1738"/>
      <c r="I276" s="1737"/>
      <c r="J276" s="1573"/>
      <c r="K276" s="1737"/>
      <c r="L276" s="1475">
        <f>SUM(I276:K276)</f>
        <v>0</v>
      </c>
      <c r="M276" s="1739"/>
    </row>
    <row r="277" spans="1:13" s="1477" customFormat="1" ht="18" customHeight="1" x14ac:dyDescent="0.3">
      <c r="A277" s="773">
        <v>267</v>
      </c>
      <c r="B277" s="1838"/>
      <c r="C277" s="1839"/>
      <c r="D277" s="1840" t="s">
        <v>1250</v>
      </c>
      <c r="E277" s="1841"/>
      <c r="F277" s="1842"/>
      <c r="G277" s="1843"/>
      <c r="H277" s="1844"/>
      <c r="I277" s="1845"/>
      <c r="J277" s="1845">
        <f>SUM(J275:J276)</f>
        <v>15</v>
      </c>
      <c r="K277" s="1845"/>
      <c r="L277" s="1475">
        <f>SUM(I277:K277)</f>
        <v>15</v>
      </c>
      <c r="M277" s="1846"/>
    </row>
    <row r="278" spans="1:13" s="1477" customFormat="1" ht="32.25" customHeight="1" x14ac:dyDescent="0.3">
      <c r="A278" s="721">
        <v>268</v>
      </c>
      <c r="B278" s="1838"/>
      <c r="C278" s="1944">
        <v>55</v>
      </c>
      <c r="D278" s="421" t="s">
        <v>1112</v>
      </c>
      <c r="E278" s="736">
        <f>F278+G278+L281+M279</f>
        <v>528</v>
      </c>
      <c r="F278" s="1842"/>
      <c r="G278" s="1843"/>
      <c r="H278" s="976" t="s">
        <v>23</v>
      </c>
      <c r="I278" s="1845"/>
      <c r="J278" s="1845"/>
      <c r="K278" s="1845"/>
      <c r="L278" s="1475"/>
      <c r="M278" s="1846"/>
    </row>
    <row r="279" spans="1:13" s="1477" customFormat="1" ht="18" customHeight="1" x14ac:dyDescent="0.3">
      <c r="A279" s="721">
        <v>269</v>
      </c>
      <c r="B279" s="1838"/>
      <c r="C279" s="1915"/>
      <c r="D279" s="1575" t="s">
        <v>1158</v>
      </c>
      <c r="E279" s="1841"/>
      <c r="F279" s="1842"/>
      <c r="G279" s="1843"/>
      <c r="H279" s="1912"/>
      <c r="I279" s="1845"/>
      <c r="J279" s="1845">
        <v>528</v>
      </c>
      <c r="K279" s="1845"/>
      <c r="L279" s="1475">
        <f t="shared" ref="L279" si="88">SUM(I279:K279)</f>
        <v>528</v>
      </c>
      <c r="M279" s="1846"/>
    </row>
    <row r="280" spans="1:13" s="1477" customFormat="1" ht="18" customHeight="1" x14ac:dyDescent="0.3">
      <c r="A280" s="773">
        <v>270</v>
      </c>
      <c r="B280" s="1838"/>
      <c r="C280" s="1839"/>
      <c r="D280" s="1572" t="s">
        <v>947</v>
      </c>
      <c r="E280" s="1841"/>
      <c r="F280" s="1842"/>
      <c r="G280" s="1843"/>
      <c r="H280" s="1844"/>
      <c r="I280" s="1845"/>
      <c r="J280" s="1888"/>
      <c r="K280" s="1888"/>
      <c r="L280" s="1475">
        <f>SUM(I280:K280)</f>
        <v>0</v>
      </c>
      <c r="M280" s="1846"/>
    </row>
    <row r="281" spans="1:13" s="1477" customFormat="1" ht="18" customHeight="1" x14ac:dyDescent="0.3">
      <c r="A281" s="721">
        <v>271</v>
      </c>
      <c r="B281" s="1838"/>
      <c r="C281" s="1839"/>
      <c r="D281" s="1840" t="s">
        <v>1250</v>
      </c>
      <c r="E281" s="1841"/>
      <c r="F281" s="1842"/>
      <c r="G281" s="1843"/>
      <c r="H281" s="1844"/>
      <c r="I281" s="1845"/>
      <c r="J281" s="1845">
        <f>SUM(J279:J280)</f>
        <v>528</v>
      </c>
      <c r="K281" s="1845"/>
      <c r="L281" s="1475">
        <f>SUM(I281:K281)</f>
        <v>528</v>
      </c>
      <c r="M281" s="1846"/>
    </row>
    <row r="282" spans="1:13" s="1477" customFormat="1" ht="22.5" customHeight="1" x14ac:dyDescent="0.3">
      <c r="A282" s="721">
        <v>272</v>
      </c>
      <c r="B282" s="1838"/>
      <c r="C282" s="1915">
        <v>56</v>
      </c>
      <c r="D282" s="421" t="s">
        <v>1030</v>
      </c>
      <c r="E282" s="736">
        <f>F282+G282+L285+M283</f>
        <v>300</v>
      </c>
      <c r="F282" s="1842"/>
      <c r="G282" s="1843"/>
      <c r="H282" s="1892" t="s">
        <v>24</v>
      </c>
      <c r="I282" s="1845"/>
      <c r="J282" s="1845"/>
      <c r="K282" s="1845"/>
      <c r="L282" s="1475"/>
      <c r="M282" s="1846"/>
    </row>
    <row r="283" spans="1:13" s="1477" customFormat="1" ht="18" customHeight="1" x14ac:dyDescent="0.3">
      <c r="A283" s="773">
        <v>273</v>
      </c>
      <c r="B283" s="1838"/>
      <c r="C283" s="1915"/>
      <c r="D283" s="1575" t="s">
        <v>1158</v>
      </c>
      <c r="E283" s="1841"/>
      <c r="F283" s="1842"/>
      <c r="G283" s="1843"/>
      <c r="H283" s="1912"/>
      <c r="I283" s="1845"/>
      <c r="J283" s="1845">
        <v>300</v>
      </c>
      <c r="K283" s="1845"/>
      <c r="L283" s="1475">
        <f t="shared" ref="L283" si="89">SUM(I283:K283)</f>
        <v>300</v>
      </c>
      <c r="M283" s="1846"/>
    </row>
    <row r="284" spans="1:13" s="1477" customFormat="1" ht="18" customHeight="1" x14ac:dyDescent="0.3">
      <c r="A284" s="721">
        <v>274</v>
      </c>
      <c r="B284" s="1838"/>
      <c r="C284" s="1839"/>
      <c r="D284" s="1572" t="s">
        <v>947</v>
      </c>
      <c r="E284" s="1841"/>
      <c r="F284" s="1842"/>
      <c r="G284" s="1843"/>
      <c r="H284" s="1844"/>
      <c r="I284" s="1845"/>
      <c r="J284" s="1888"/>
      <c r="K284" s="1845"/>
      <c r="L284" s="1475">
        <f>SUM(I284:K284)</f>
        <v>0</v>
      </c>
      <c r="M284" s="1846"/>
    </row>
    <row r="285" spans="1:13" s="1477" customFormat="1" ht="18" customHeight="1" x14ac:dyDescent="0.3">
      <c r="A285" s="721">
        <v>275</v>
      </c>
      <c r="B285" s="1838"/>
      <c r="C285" s="1839"/>
      <c r="D285" s="1840" t="s">
        <v>1250</v>
      </c>
      <c r="E285" s="1841"/>
      <c r="F285" s="1842"/>
      <c r="G285" s="1843"/>
      <c r="H285" s="1844"/>
      <c r="I285" s="1845"/>
      <c r="J285" s="1845">
        <f>SUM(J283:J284)</f>
        <v>300</v>
      </c>
      <c r="K285" s="1845"/>
      <c r="L285" s="1475">
        <f>SUM(I285:K285)</f>
        <v>300</v>
      </c>
      <c r="M285" s="1846"/>
    </row>
    <row r="286" spans="1:13" s="1477" customFormat="1" ht="32.25" customHeight="1" x14ac:dyDescent="0.3">
      <c r="A286" s="773">
        <v>276</v>
      </c>
      <c r="B286" s="1838"/>
      <c r="C286" s="1944">
        <v>57</v>
      </c>
      <c r="D286" s="421" t="s">
        <v>1036</v>
      </c>
      <c r="E286" s="736">
        <f>F286+G286+L289+M287</f>
        <v>100</v>
      </c>
      <c r="F286" s="1842"/>
      <c r="G286" s="1843"/>
      <c r="H286" s="1892" t="s">
        <v>24</v>
      </c>
      <c r="I286" s="1845"/>
      <c r="J286" s="1845"/>
      <c r="K286" s="1845"/>
      <c r="L286" s="1475"/>
      <c r="M286" s="1846"/>
    </row>
    <row r="287" spans="1:13" s="1477" customFormat="1" ht="18" customHeight="1" x14ac:dyDescent="0.3">
      <c r="A287" s="721">
        <v>277</v>
      </c>
      <c r="B287" s="1838"/>
      <c r="C287" s="1915"/>
      <c r="D287" s="1575" t="s">
        <v>1158</v>
      </c>
      <c r="E287" s="1841"/>
      <c r="F287" s="1842"/>
      <c r="G287" s="1843"/>
      <c r="H287" s="1912"/>
      <c r="I287" s="1845"/>
      <c r="J287" s="1845">
        <v>100</v>
      </c>
      <c r="K287" s="1845"/>
      <c r="L287" s="1475">
        <f t="shared" ref="L287" si="90">SUM(I287:K287)</f>
        <v>100</v>
      </c>
      <c r="M287" s="1846"/>
    </row>
    <row r="288" spans="1:13" s="1477" customFormat="1" ht="18" customHeight="1" x14ac:dyDescent="0.3">
      <c r="A288" s="721">
        <v>278</v>
      </c>
      <c r="B288" s="1838"/>
      <c r="C288" s="1839"/>
      <c r="D288" s="1572" t="s">
        <v>947</v>
      </c>
      <c r="E288" s="1841"/>
      <c r="F288" s="1842"/>
      <c r="G288" s="1843"/>
      <c r="H288" s="1844"/>
      <c r="I288" s="1845"/>
      <c r="J288" s="1888"/>
      <c r="K288" s="1845"/>
      <c r="L288" s="1475">
        <f>SUM(I288:K288)</f>
        <v>0</v>
      </c>
      <c r="M288" s="1846"/>
    </row>
    <row r="289" spans="1:13" s="1477" customFormat="1" ht="18" customHeight="1" x14ac:dyDescent="0.3">
      <c r="A289" s="773">
        <v>279</v>
      </c>
      <c r="B289" s="1838"/>
      <c r="C289" s="1839"/>
      <c r="D289" s="1840" t="s">
        <v>1250</v>
      </c>
      <c r="E289" s="1841"/>
      <c r="F289" s="1842"/>
      <c r="G289" s="1843"/>
      <c r="H289" s="1844"/>
      <c r="I289" s="1845"/>
      <c r="J289" s="1845">
        <f>SUM(J287:J288)</f>
        <v>100</v>
      </c>
      <c r="K289" s="1845"/>
      <c r="L289" s="1475">
        <f>SUM(I289:K289)</f>
        <v>100</v>
      </c>
      <c r="M289" s="1846"/>
    </row>
    <row r="290" spans="1:13" s="1477" customFormat="1" ht="32.25" customHeight="1" x14ac:dyDescent="0.3">
      <c r="A290" s="721">
        <v>280</v>
      </c>
      <c r="B290" s="1838"/>
      <c r="C290" s="1944">
        <v>58</v>
      </c>
      <c r="D290" s="421" t="s">
        <v>1034</v>
      </c>
      <c r="E290" s="736">
        <f>F290+G290+L293+M291</f>
        <v>11000</v>
      </c>
      <c r="F290" s="1842"/>
      <c r="G290" s="1843"/>
      <c r="H290" s="1912" t="s">
        <v>24</v>
      </c>
      <c r="I290" s="1845"/>
      <c r="J290" s="1845"/>
      <c r="K290" s="1845"/>
      <c r="L290" s="1475"/>
      <c r="M290" s="1846"/>
    </row>
    <row r="291" spans="1:13" s="1477" customFormat="1" ht="18" customHeight="1" x14ac:dyDescent="0.3">
      <c r="A291" s="721">
        <v>281</v>
      </c>
      <c r="B291" s="1838"/>
      <c r="C291" s="1915"/>
      <c r="D291" s="1575" t="s">
        <v>1158</v>
      </c>
      <c r="E291" s="1841"/>
      <c r="F291" s="1842"/>
      <c r="G291" s="1843"/>
      <c r="H291" s="1912"/>
      <c r="I291" s="1845"/>
      <c r="J291" s="1845">
        <v>11000</v>
      </c>
      <c r="K291" s="1845"/>
      <c r="L291" s="1475">
        <f>SUM(I291:K291)</f>
        <v>11000</v>
      </c>
      <c r="M291" s="1846"/>
    </row>
    <row r="292" spans="1:13" s="1477" customFormat="1" ht="18" customHeight="1" x14ac:dyDescent="0.3">
      <c r="A292" s="773">
        <v>282</v>
      </c>
      <c r="B292" s="1838"/>
      <c r="C292" s="1839"/>
      <c r="D292" s="1572" t="s">
        <v>969</v>
      </c>
      <c r="E292" s="1841"/>
      <c r="F292" s="1842"/>
      <c r="G292" s="1843"/>
      <c r="H292" s="1844"/>
      <c r="I292" s="1845"/>
      <c r="J292" s="1888"/>
      <c r="K292" s="1845"/>
      <c r="L292" s="1475">
        <f>SUM(I292:K292)</f>
        <v>0</v>
      </c>
      <c r="M292" s="1846"/>
    </row>
    <row r="293" spans="1:13" s="1477" customFormat="1" ht="18" customHeight="1" x14ac:dyDescent="0.3">
      <c r="A293" s="721">
        <v>283</v>
      </c>
      <c r="B293" s="1838"/>
      <c r="C293" s="1839"/>
      <c r="D293" s="1840" t="s">
        <v>1250</v>
      </c>
      <c r="E293" s="1841"/>
      <c r="F293" s="1842"/>
      <c r="G293" s="1843"/>
      <c r="H293" s="1844"/>
      <c r="I293" s="1845"/>
      <c r="J293" s="1845">
        <f>SUM(J291:J292)</f>
        <v>11000</v>
      </c>
      <c r="K293" s="1845"/>
      <c r="L293" s="1475">
        <f>SUM(I293:K293)</f>
        <v>11000</v>
      </c>
      <c r="M293" s="1846"/>
    </row>
    <row r="294" spans="1:13" s="1477" customFormat="1" ht="22.5" customHeight="1" x14ac:dyDescent="0.3">
      <c r="A294" s="721">
        <v>284</v>
      </c>
      <c r="B294" s="1838"/>
      <c r="C294" s="1915">
        <v>59</v>
      </c>
      <c r="D294" s="421" t="s">
        <v>1035</v>
      </c>
      <c r="E294" s="736">
        <f>F294+G294+L297+M295</f>
        <v>7000</v>
      </c>
      <c r="F294" s="1842"/>
      <c r="G294" s="1843"/>
      <c r="H294" s="1912" t="s">
        <v>24</v>
      </c>
      <c r="I294" s="1845"/>
      <c r="J294" s="1845"/>
      <c r="K294" s="1845"/>
      <c r="L294" s="1475"/>
      <c r="M294" s="1846"/>
    </row>
    <row r="295" spans="1:13" s="1477" customFormat="1" ht="18" customHeight="1" x14ac:dyDescent="0.3">
      <c r="A295" s="773">
        <v>285</v>
      </c>
      <c r="B295" s="1838"/>
      <c r="C295" s="1915"/>
      <c r="D295" s="1575" t="s">
        <v>1158</v>
      </c>
      <c r="E295" s="1841"/>
      <c r="F295" s="1842"/>
      <c r="G295" s="1843"/>
      <c r="H295" s="1912"/>
      <c r="I295" s="1845"/>
      <c r="J295" s="1845">
        <v>7000</v>
      </c>
      <c r="K295" s="1845"/>
      <c r="L295" s="1475">
        <f>SUM(I295:K295)</f>
        <v>7000</v>
      </c>
      <c r="M295" s="1846"/>
    </row>
    <row r="296" spans="1:13" s="1477" customFormat="1" ht="18" customHeight="1" x14ac:dyDescent="0.3">
      <c r="A296" s="721">
        <v>286</v>
      </c>
      <c r="B296" s="1838"/>
      <c r="C296" s="1839"/>
      <c r="D296" s="1572" t="s">
        <v>1297</v>
      </c>
      <c r="E296" s="1841"/>
      <c r="F296" s="1842"/>
      <c r="G296" s="1843"/>
      <c r="H296" s="1844"/>
      <c r="I296" s="1888">
        <v>1525</v>
      </c>
      <c r="J296" s="1888">
        <v>-1525</v>
      </c>
      <c r="K296" s="1845"/>
      <c r="L296" s="1475">
        <f>SUM(I296:K296)</f>
        <v>0</v>
      </c>
      <c r="M296" s="1846"/>
    </row>
    <row r="297" spans="1:13" s="1477" customFormat="1" ht="18" customHeight="1" x14ac:dyDescent="0.3">
      <c r="A297" s="721">
        <v>287</v>
      </c>
      <c r="B297" s="1838"/>
      <c r="C297" s="1839"/>
      <c r="D297" s="1840" t="s">
        <v>1250</v>
      </c>
      <c r="E297" s="1841"/>
      <c r="F297" s="1842"/>
      <c r="G297" s="1843"/>
      <c r="H297" s="1844"/>
      <c r="I297" s="1845">
        <f>SUM(I295:I296)</f>
        <v>1525</v>
      </c>
      <c r="J297" s="1845">
        <f>SUM(J295:J296)</f>
        <v>5475</v>
      </c>
      <c r="K297" s="1845"/>
      <c r="L297" s="1475">
        <f>SUM(I297:K297)</f>
        <v>7000</v>
      </c>
      <c r="M297" s="1846"/>
    </row>
    <row r="298" spans="1:13" s="1477" customFormat="1" ht="22.5" customHeight="1" x14ac:dyDescent="0.3">
      <c r="A298" s="773">
        <v>288</v>
      </c>
      <c r="B298" s="1838"/>
      <c r="C298" s="1915">
        <v>60</v>
      </c>
      <c r="D298" s="421" t="s">
        <v>1037</v>
      </c>
      <c r="E298" s="736">
        <f>F298+G298+L301+M299</f>
        <v>653</v>
      </c>
      <c r="F298" s="1842"/>
      <c r="G298" s="1843"/>
      <c r="H298" s="1844"/>
      <c r="I298" s="1845"/>
      <c r="J298" s="1845"/>
      <c r="K298" s="1845"/>
      <c r="L298" s="1475"/>
      <c r="M298" s="1846"/>
    </row>
    <row r="299" spans="1:13" s="1477" customFormat="1" ht="18" customHeight="1" x14ac:dyDescent="0.3">
      <c r="A299" s="721">
        <v>289</v>
      </c>
      <c r="B299" s="1838"/>
      <c r="C299" s="1915"/>
      <c r="D299" s="1575" t="s">
        <v>1158</v>
      </c>
      <c r="E299" s="1841"/>
      <c r="F299" s="1842"/>
      <c r="G299" s="1843"/>
      <c r="H299" s="1844"/>
      <c r="I299" s="1845"/>
      <c r="J299" s="1845">
        <v>653</v>
      </c>
      <c r="K299" s="1845"/>
      <c r="L299" s="1475">
        <f>SUM(I299:K299)</f>
        <v>653</v>
      </c>
      <c r="M299" s="1846"/>
    </row>
    <row r="300" spans="1:13" s="1477" customFormat="1" ht="18" customHeight="1" x14ac:dyDescent="0.3">
      <c r="A300" s="721">
        <v>290</v>
      </c>
      <c r="B300" s="1838"/>
      <c r="C300" s="1839"/>
      <c r="D300" s="1572" t="s">
        <v>969</v>
      </c>
      <c r="E300" s="1841"/>
      <c r="F300" s="1842"/>
      <c r="G300" s="1843"/>
      <c r="H300" s="1844"/>
      <c r="I300" s="1845"/>
      <c r="J300" s="1888"/>
      <c r="K300" s="1845"/>
      <c r="L300" s="1936">
        <f>SUM(I300:K300)</f>
        <v>0</v>
      </c>
      <c r="M300" s="1846"/>
    </row>
    <row r="301" spans="1:13" s="1477" customFormat="1" ht="18" customHeight="1" x14ac:dyDescent="0.3">
      <c r="A301" s="773">
        <v>291</v>
      </c>
      <c r="B301" s="1838"/>
      <c r="C301" s="1839"/>
      <c r="D301" s="1840" t="s">
        <v>1250</v>
      </c>
      <c r="E301" s="1841"/>
      <c r="F301" s="1842"/>
      <c r="G301" s="1843"/>
      <c r="H301" s="1844"/>
      <c r="I301" s="1845"/>
      <c r="J301" s="1845">
        <f>SUM(J299:J300)</f>
        <v>653</v>
      </c>
      <c r="K301" s="1845"/>
      <c r="L301" s="1475">
        <f>SUM(I301:K301)</f>
        <v>653</v>
      </c>
      <c r="M301" s="1846"/>
    </row>
    <row r="302" spans="1:13" s="1477" customFormat="1" ht="22.5" customHeight="1" x14ac:dyDescent="0.3">
      <c r="A302" s="721">
        <v>292</v>
      </c>
      <c r="B302" s="1467"/>
      <c r="C302" s="735">
        <v>61</v>
      </c>
      <c r="D302" s="1037" t="s">
        <v>1020</v>
      </c>
      <c r="E302" s="736">
        <f>F302+G302+L305+M303</f>
        <v>5000</v>
      </c>
      <c r="F302" s="1471"/>
      <c r="G302" s="1764"/>
      <c r="H302" s="1892" t="s">
        <v>24</v>
      </c>
      <c r="I302" s="1737"/>
      <c r="J302" s="1737"/>
      <c r="K302" s="1737"/>
      <c r="L302" s="1475"/>
      <c r="M302" s="1739"/>
    </row>
    <row r="303" spans="1:13" s="1477" customFormat="1" ht="18" customHeight="1" x14ac:dyDescent="0.3">
      <c r="A303" s="721">
        <v>293</v>
      </c>
      <c r="B303" s="1467"/>
      <c r="C303" s="735"/>
      <c r="D303" s="1575" t="s">
        <v>1158</v>
      </c>
      <c r="E303" s="1470"/>
      <c r="F303" s="1471"/>
      <c r="G303" s="1764"/>
      <c r="H303" s="1892"/>
      <c r="I303" s="1737"/>
      <c r="J303" s="1737"/>
      <c r="K303" s="1737">
        <v>5000</v>
      </c>
      <c r="L303" s="1475">
        <f>SUM(I303:K303)</f>
        <v>5000</v>
      </c>
      <c r="M303" s="1739"/>
    </row>
    <row r="304" spans="1:13" s="1477" customFormat="1" ht="18" customHeight="1" x14ac:dyDescent="0.3">
      <c r="A304" s="773">
        <v>294</v>
      </c>
      <c r="B304" s="1467"/>
      <c r="C304" s="1574"/>
      <c r="D304" s="1572" t="s">
        <v>947</v>
      </c>
      <c r="E304" s="1470"/>
      <c r="F304" s="1471"/>
      <c r="G304" s="1764"/>
      <c r="H304" s="1738"/>
      <c r="I304" s="1737"/>
      <c r="J304" s="1737"/>
      <c r="K304" s="1573"/>
      <c r="L304" s="1475">
        <f t="shared" ref="L304" si="91">SUM(I304:K304)</f>
        <v>0</v>
      </c>
      <c r="M304" s="1739"/>
    </row>
    <row r="305" spans="1:13" s="1477" customFormat="1" ht="18" customHeight="1" x14ac:dyDescent="0.3">
      <c r="A305" s="721">
        <v>295</v>
      </c>
      <c r="B305" s="1467"/>
      <c r="C305" s="1574"/>
      <c r="D305" s="1575" t="s">
        <v>1250</v>
      </c>
      <c r="E305" s="1470"/>
      <c r="F305" s="1471"/>
      <c r="G305" s="1764"/>
      <c r="H305" s="1738"/>
      <c r="I305" s="1737"/>
      <c r="J305" s="1737"/>
      <c r="K305" s="1737">
        <f>SUM(K303:K304)</f>
        <v>5000</v>
      </c>
      <c r="L305" s="1475">
        <f>SUM(I305:K305)</f>
        <v>5000</v>
      </c>
      <c r="M305" s="1739"/>
    </row>
    <row r="306" spans="1:13" s="1477" customFormat="1" ht="22.5" customHeight="1" x14ac:dyDescent="0.3">
      <c r="A306" s="721">
        <v>296</v>
      </c>
      <c r="B306" s="1467"/>
      <c r="C306" s="735">
        <v>62</v>
      </c>
      <c r="D306" s="421" t="s">
        <v>1103</v>
      </c>
      <c r="E306" s="736">
        <f>F306+G306+L309+M308</f>
        <v>800</v>
      </c>
      <c r="F306" s="1471"/>
      <c r="G306" s="1764"/>
      <c r="H306" s="1738"/>
      <c r="I306" s="1737"/>
      <c r="J306" s="1737"/>
      <c r="K306" s="1737"/>
      <c r="L306" s="1475"/>
      <c r="M306" s="1739"/>
    </row>
    <row r="307" spans="1:13" s="1477" customFormat="1" ht="20.100000000000001" customHeight="1" x14ac:dyDescent="0.3">
      <c r="A307" s="773">
        <v>297</v>
      </c>
      <c r="B307" s="1467"/>
      <c r="C307" s="735"/>
      <c r="D307" s="1575" t="s">
        <v>1158</v>
      </c>
      <c r="E307" s="736"/>
      <c r="F307" s="1471"/>
      <c r="G307" s="1764"/>
      <c r="H307" s="1738"/>
      <c r="I307" s="1737"/>
      <c r="J307" s="1737">
        <v>800</v>
      </c>
      <c r="K307" s="1737"/>
      <c r="L307" s="1475">
        <f>SUM(J307:K307)</f>
        <v>800</v>
      </c>
      <c r="M307" s="1739"/>
    </row>
    <row r="308" spans="1:13" s="1477" customFormat="1" ht="18" customHeight="1" x14ac:dyDescent="0.3">
      <c r="A308" s="721">
        <v>298</v>
      </c>
      <c r="B308" s="1467"/>
      <c r="C308" s="1574"/>
      <c r="D308" s="1572" t="s">
        <v>969</v>
      </c>
      <c r="E308" s="1470"/>
      <c r="F308" s="1471"/>
      <c r="G308" s="1764"/>
      <c r="H308" s="1738"/>
      <c r="I308" s="1737"/>
      <c r="J308" s="1573"/>
      <c r="K308" s="1737"/>
      <c r="L308" s="1936">
        <f>SUM(J308:K308)</f>
        <v>0</v>
      </c>
      <c r="M308" s="1739"/>
    </row>
    <row r="309" spans="1:13" s="1477" customFormat="1" ht="18" customHeight="1" x14ac:dyDescent="0.3">
      <c r="A309" s="721">
        <v>299</v>
      </c>
      <c r="B309" s="1467"/>
      <c r="C309" s="1574"/>
      <c r="D309" s="1575" t="s">
        <v>1250</v>
      </c>
      <c r="E309" s="1470"/>
      <c r="F309" s="1471"/>
      <c r="G309" s="1764"/>
      <c r="H309" s="1738"/>
      <c r="I309" s="1737"/>
      <c r="J309" s="1737">
        <f>SUM(J307:J308)</f>
        <v>800</v>
      </c>
      <c r="K309" s="1737"/>
      <c r="L309" s="1475">
        <f>SUM(J309:K309)</f>
        <v>800</v>
      </c>
      <c r="M309" s="1739"/>
    </row>
    <row r="310" spans="1:13" s="1477" customFormat="1" ht="22.5" customHeight="1" x14ac:dyDescent="0.3">
      <c r="A310" s="773">
        <v>300</v>
      </c>
      <c r="B310" s="1467"/>
      <c r="C310" s="735">
        <v>63</v>
      </c>
      <c r="D310" s="421" t="s">
        <v>1107</v>
      </c>
      <c r="E310" s="736">
        <f>F310+G310+L313+M312</f>
        <v>1625</v>
      </c>
      <c r="F310" s="1471"/>
      <c r="G310" s="1764"/>
      <c r="H310" s="1738"/>
      <c r="I310" s="1737"/>
      <c r="J310" s="1737"/>
      <c r="K310" s="1737"/>
      <c r="L310" s="1475"/>
      <c r="M310" s="1739"/>
    </row>
    <row r="311" spans="1:13" s="1477" customFormat="1" ht="18" customHeight="1" x14ac:dyDescent="0.3">
      <c r="A311" s="721">
        <v>301</v>
      </c>
      <c r="B311" s="1467"/>
      <c r="C311" s="739"/>
      <c r="D311" s="1575" t="s">
        <v>1158</v>
      </c>
      <c r="E311" s="736"/>
      <c r="F311" s="1471"/>
      <c r="G311" s="1764"/>
      <c r="H311" s="1738"/>
      <c r="I311" s="1737"/>
      <c r="J311" s="1737">
        <v>1625</v>
      </c>
      <c r="K311" s="1737"/>
      <c r="L311" s="1475">
        <f>SUM(J311:K311)</f>
        <v>1625</v>
      </c>
      <c r="M311" s="1739"/>
    </row>
    <row r="312" spans="1:13" s="1477" customFormat="1" ht="18" customHeight="1" x14ac:dyDescent="0.3">
      <c r="A312" s="721">
        <v>302</v>
      </c>
      <c r="B312" s="1467"/>
      <c r="C312" s="1574"/>
      <c r="D312" s="1572" t="s">
        <v>969</v>
      </c>
      <c r="E312" s="1470"/>
      <c r="F312" s="1471"/>
      <c r="G312" s="1764"/>
      <c r="H312" s="1738"/>
      <c r="I312" s="1737"/>
      <c r="J312" s="1573"/>
      <c r="K312" s="1737"/>
      <c r="L312" s="1936">
        <f>SUM(J312:K312)</f>
        <v>0</v>
      </c>
      <c r="M312" s="1739"/>
    </row>
    <row r="313" spans="1:13" s="1477" customFormat="1" ht="18" customHeight="1" x14ac:dyDescent="0.3">
      <c r="A313" s="773">
        <v>303</v>
      </c>
      <c r="B313" s="1467"/>
      <c r="C313" s="1574"/>
      <c r="D313" s="1575" t="s">
        <v>1250</v>
      </c>
      <c r="E313" s="1470"/>
      <c r="F313" s="1471"/>
      <c r="G313" s="1764"/>
      <c r="H313" s="1738"/>
      <c r="I313" s="1737"/>
      <c r="J313" s="1737">
        <f>SUM(J311:J312)</f>
        <v>1625</v>
      </c>
      <c r="K313" s="1737"/>
      <c r="L313" s="1475">
        <f>SUM(J313:K313)</f>
        <v>1625</v>
      </c>
      <c r="M313" s="1739"/>
    </row>
    <row r="314" spans="1:13" s="1477" customFormat="1" ht="22.5" customHeight="1" x14ac:dyDescent="0.3">
      <c r="A314" s="721">
        <v>304</v>
      </c>
      <c r="B314" s="1467"/>
      <c r="C314" s="735">
        <v>64</v>
      </c>
      <c r="D314" s="421" t="s">
        <v>1105</v>
      </c>
      <c r="E314" s="736">
        <f>F314+G314+L317+M316</f>
        <v>10</v>
      </c>
      <c r="F314" s="1471"/>
      <c r="G314" s="1764"/>
      <c r="H314" s="1738"/>
      <c r="I314" s="1737"/>
      <c r="J314" s="1737"/>
      <c r="K314" s="1737"/>
      <c r="L314" s="1475"/>
      <c r="M314" s="1739"/>
    </row>
    <row r="315" spans="1:13" s="1477" customFormat="1" ht="20.100000000000001" customHeight="1" x14ac:dyDescent="0.3">
      <c r="A315" s="721">
        <v>305</v>
      </c>
      <c r="B315" s="1467"/>
      <c r="C315" s="739"/>
      <c r="D315" s="1575" t="s">
        <v>1158</v>
      </c>
      <c r="E315" s="736"/>
      <c r="F315" s="1471"/>
      <c r="G315" s="1764"/>
      <c r="H315" s="1738"/>
      <c r="I315" s="1737"/>
      <c r="J315" s="1737">
        <v>10</v>
      </c>
      <c r="K315" s="1737"/>
      <c r="L315" s="1475">
        <f>SUM(I315:K315)</f>
        <v>10</v>
      </c>
      <c r="M315" s="1739"/>
    </row>
    <row r="316" spans="1:13" s="1477" customFormat="1" ht="18" customHeight="1" x14ac:dyDescent="0.3">
      <c r="A316" s="773">
        <v>306</v>
      </c>
      <c r="B316" s="1467"/>
      <c r="C316" s="1574"/>
      <c r="D316" s="1572" t="s">
        <v>969</v>
      </c>
      <c r="E316" s="1470"/>
      <c r="F316" s="1471"/>
      <c r="G316" s="1764"/>
      <c r="H316" s="1738"/>
      <c r="I316" s="1737"/>
      <c r="J316" s="1573"/>
      <c r="K316" s="1737"/>
      <c r="L316" s="1936">
        <f>SUM(I316:K316)</f>
        <v>0</v>
      </c>
      <c r="M316" s="1739"/>
    </row>
    <row r="317" spans="1:13" s="1477" customFormat="1" ht="18" customHeight="1" x14ac:dyDescent="0.3">
      <c r="A317" s="721">
        <v>307</v>
      </c>
      <c r="B317" s="1467"/>
      <c r="C317" s="1574"/>
      <c r="D317" s="1575" t="s">
        <v>1250</v>
      </c>
      <c r="E317" s="1470"/>
      <c r="F317" s="1471"/>
      <c r="G317" s="1764"/>
      <c r="H317" s="1738"/>
      <c r="I317" s="1737"/>
      <c r="J317" s="1737">
        <f>SUM(J315:J316)</f>
        <v>10</v>
      </c>
      <c r="K317" s="1737"/>
      <c r="L317" s="1475">
        <f>SUM(I317:K317)</f>
        <v>10</v>
      </c>
      <c r="M317" s="1739"/>
    </row>
    <row r="318" spans="1:13" s="1477" customFormat="1" ht="22.5" customHeight="1" x14ac:dyDescent="0.3">
      <c r="A318" s="721">
        <v>308</v>
      </c>
      <c r="B318" s="1467"/>
      <c r="C318" s="735">
        <v>65</v>
      </c>
      <c r="D318" s="421" t="s">
        <v>1104</v>
      </c>
      <c r="E318" s="736">
        <f>F318+G318+L321+M320</f>
        <v>6990</v>
      </c>
      <c r="F318" s="1471"/>
      <c r="G318" s="1764"/>
      <c r="H318" s="1738"/>
      <c r="I318" s="1737"/>
      <c r="J318" s="1737"/>
      <c r="K318" s="1737"/>
      <c r="L318" s="1475"/>
      <c r="M318" s="1739"/>
    </row>
    <row r="319" spans="1:13" s="1477" customFormat="1" ht="18" customHeight="1" x14ac:dyDescent="0.3">
      <c r="A319" s="773">
        <v>309</v>
      </c>
      <c r="B319" s="1467"/>
      <c r="C319" s="739"/>
      <c r="D319" s="1575" t="s">
        <v>1158</v>
      </c>
      <c r="E319" s="1470"/>
      <c r="F319" s="1471"/>
      <c r="G319" s="1764"/>
      <c r="H319" s="1738"/>
      <c r="I319" s="1737"/>
      <c r="J319" s="1737">
        <v>6990</v>
      </c>
      <c r="K319" s="1737"/>
      <c r="L319" s="1475">
        <f>SUM(I319:K319)</f>
        <v>6990</v>
      </c>
      <c r="M319" s="1739"/>
    </row>
    <row r="320" spans="1:13" s="1477" customFormat="1" ht="18" customHeight="1" x14ac:dyDescent="0.3">
      <c r="A320" s="721">
        <v>310</v>
      </c>
      <c r="B320" s="1467"/>
      <c r="C320" s="1574"/>
      <c r="D320" s="1572" t="s">
        <v>969</v>
      </c>
      <c r="E320" s="1470"/>
      <c r="F320" s="1471"/>
      <c r="G320" s="1764"/>
      <c r="H320" s="1738"/>
      <c r="I320" s="1737"/>
      <c r="J320" s="1737"/>
      <c r="K320" s="1737"/>
      <c r="L320" s="1475"/>
      <c r="M320" s="1739"/>
    </row>
    <row r="321" spans="1:13" s="1477" customFormat="1" ht="18" customHeight="1" x14ac:dyDescent="0.3">
      <c r="A321" s="721">
        <v>311</v>
      </c>
      <c r="B321" s="1467"/>
      <c r="C321" s="1574"/>
      <c r="D321" s="1575" t="s">
        <v>1250</v>
      </c>
      <c r="E321" s="1470"/>
      <c r="F321" s="1471"/>
      <c r="G321" s="1764"/>
      <c r="H321" s="1738"/>
      <c r="I321" s="1737"/>
      <c r="J321" s="1737">
        <f>SUM(J319:J320)</f>
        <v>6990</v>
      </c>
      <c r="K321" s="1737"/>
      <c r="L321" s="1475">
        <f>SUM(I321:K321)</f>
        <v>6990</v>
      </c>
      <c r="M321" s="1739"/>
    </row>
    <row r="322" spans="1:13" s="1477" customFormat="1" ht="22.5" customHeight="1" x14ac:dyDescent="0.3">
      <c r="A322" s="773">
        <v>312</v>
      </c>
      <c r="B322" s="1467"/>
      <c r="C322" s="735">
        <v>66</v>
      </c>
      <c r="D322" s="421" t="s">
        <v>1129</v>
      </c>
      <c r="E322" s="736">
        <f>F322+G322+L325+M325</f>
        <v>10</v>
      </c>
      <c r="F322" s="1471"/>
      <c r="G322" s="1764"/>
      <c r="H322" s="1738"/>
      <c r="I322" s="1737"/>
      <c r="J322" s="1737"/>
      <c r="K322" s="1737"/>
      <c r="L322" s="1475"/>
      <c r="M322" s="1739"/>
    </row>
    <row r="323" spans="1:13" s="1477" customFormat="1" ht="18" customHeight="1" x14ac:dyDescent="0.3">
      <c r="A323" s="721">
        <v>313</v>
      </c>
      <c r="B323" s="1467"/>
      <c r="C323" s="735"/>
      <c r="D323" s="1575" t="s">
        <v>1158</v>
      </c>
      <c r="E323" s="736"/>
      <c r="F323" s="1471"/>
      <c r="G323" s="1764"/>
      <c r="H323" s="1738"/>
      <c r="I323" s="1737"/>
      <c r="J323" s="1737">
        <v>10</v>
      </c>
      <c r="K323" s="1737"/>
      <c r="L323" s="1475">
        <f>SUM(J323:K323)</f>
        <v>10</v>
      </c>
      <c r="M323" s="1739"/>
    </row>
    <row r="324" spans="1:13" s="1477" customFormat="1" ht="18" customHeight="1" x14ac:dyDescent="0.3">
      <c r="A324" s="721">
        <v>314</v>
      </c>
      <c r="B324" s="1467"/>
      <c r="C324" s="1574"/>
      <c r="D324" s="1572" t="s">
        <v>969</v>
      </c>
      <c r="E324" s="1470"/>
      <c r="F324" s="1471"/>
      <c r="G324" s="1764"/>
      <c r="H324" s="1738"/>
      <c r="I324" s="1737"/>
      <c r="J324" s="1573"/>
      <c r="K324" s="1573"/>
      <c r="L324" s="1936">
        <f>SUM(I324:K324)</f>
        <v>0</v>
      </c>
      <c r="M324" s="1739"/>
    </row>
    <row r="325" spans="1:13" s="1477" customFormat="1" ht="18" customHeight="1" x14ac:dyDescent="0.3">
      <c r="A325" s="773">
        <v>315</v>
      </c>
      <c r="B325" s="1467"/>
      <c r="C325" s="1574"/>
      <c r="D325" s="1575" t="s">
        <v>1250</v>
      </c>
      <c r="E325" s="1470"/>
      <c r="F325" s="1471"/>
      <c r="G325" s="1764"/>
      <c r="H325" s="1738"/>
      <c r="I325" s="1737"/>
      <c r="J325" s="1737">
        <f>SUM(J323:J324)</f>
        <v>10</v>
      </c>
      <c r="K325" s="1737"/>
      <c r="L325" s="1475">
        <f>SUM(I325:K325)</f>
        <v>10</v>
      </c>
      <c r="M325" s="1739"/>
    </row>
    <row r="326" spans="1:13" s="1477" customFormat="1" ht="22.5" customHeight="1" x14ac:dyDescent="0.3">
      <c r="A326" s="721">
        <v>316</v>
      </c>
      <c r="B326" s="1467"/>
      <c r="C326" s="735">
        <v>67</v>
      </c>
      <c r="D326" s="421" t="s">
        <v>1130</v>
      </c>
      <c r="E326" s="736">
        <f>F326+G326+L329+M329</f>
        <v>4000</v>
      </c>
      <c r="F326" s="1471"/>
      <c r="G326" s="1764"/>
      <c r="H326" s="1738"/>
      <c r="I326" s="1737"/>
      <c r="J326" s="1737"/>
      <c r="K326" s="1737"/>
      <c r="L326" s="1475"/>
      <c r="M326" s="1739"/>
    </row>
    <row r="327" spans="1:13" s="1477" customFormat="1" ht="18" customHeight="1" x14ac:dyDescent="0.3">
      <c r="A327" s="721">
        <v>317</v>
      </c>
      <c r="B327" s="1467"/>
      <c r="C327" s="735"/>
      <c r="D327" s="1575" t="s">
        <v>1158</v>
      </c>
      <c r="E327" s="736"/>
      <c r="F327" s="1471"/>
      <c r="G327" s="1764"/>
      <c r="H327" s="1738"/>
      <c r="I327" s="1737"/>
      <c r="J327" s="1737">
        <v>4000</v>
      </c>
      <c r="K327" s="1737"/>
      <c r="L327" s="1981">
        <f>SUM(J327:K327)</f>
        <v>4000</v>
      </c>
      <c r="M327" s="1739"/>
    </row>
    <row r="328" spans="1:13" s="1477" customFormat="1" ht="18" customHeight="1" x14ac:dyDescent="0.3">
      <c r="A328" s="773">
        <v>318</v>
      </c>
      <c r="B328" s="1467"/>
      <c r="C328" s="1574"/>
      <c r="D328" s="1572" t="s">
        <v>969</v>
      </c>
      <c r="E328" s="1470"/>
      <c r="F328" s="1471"/>
      <c r="G328" s="1764"/>
      <c r="H328" s="1738"/>
      <c r="I328" s="1737"/>
      <c r="J328" s="1573"/>
      <c r="K328" s="1573"/>
      <c r="L328" s="1948">
        <f>SUM(I328:K328)</f>
        <v>0</v>
      </c>
      <c r="M328" s="1739"/>
    </row>
    <row r="329" spans="1:13" s="1477" customFormat="1" ht="18" customHeight="1" x14ac:dyDescent="0.3">
      <c r="A329" s="721">
        <v>319</v>
      </c>
      <c r="B329" s="1838"/>
      <c r="C329" s="1839"/>
      <c r="D329" s="1840" t="s">
        <v>1250</v>
      </c>
      <c r="E329" s="1841"/>
      <c r="F329" s="1842"/>
      <c r="G329" s="1843"/>
      <c r="H329" s="1844"/>
      <c r="I329" s="2000"/>
      <c r="J329" s="2000">
        <f>SUM(J327:J328)</f>
        <v>4000</v>
      </c>
      <c r="K329" s="2000"/>
      <c r="L329" s="2001">
        <f>SUM(I329:K329)</f>
        <v>4000</v>
      </c>
      <c r="M329" s="1935"/>
    </row>
    <row r="330" spans="1:13" s="1477" customFormat="1" ht="18" customHeight="1" x14ac:dyDescent="0.3">
      <c r="A330" s="721">
        <v>320</v>
      </c>
      <c r="B330" s="1838"/>
      <c r="C330" s="1944">
        <v>68</v>
      </c>
      <c r="D330" s="421" t="s">
        <v>1203</v>
      </c>
      <c r="E330" s="736">
        <f>F330+G330+L333+M333</f>
        <v>200</v>
      </c>
      <c r="F330" s="1842"/>
      <c r="G330" s="2018"/>
      <c r="H330" s="2020"/>
      <c r="I330" s="2000"/>
      <c r="J330" s="2000"/>
      <c r="K330" s="2000"/>
      <c r="L330" s="2001"/>
      <c r="M330" s="1476"/>
    </row>
    <row r="331" spans="1:13" s="1477" customFormat="1" ht="18" customHeight="1" x14ac:dyDescent="0.3">
      <c r="A331" s="773">
        <v>321</v>
      </c>
      <c r="B331" s="1838"/>
      <c r="C331" s="1944"/>
      <c r="D331" s="1575" t="s">
        <v>1158</v>
      </c>
      <c r="E331" s="1841"/>
      <c r="F331" s="1842"/>
      <c r="G331" s="2018"/>
      <c r="H331" s="2020"/>
      <c r="I331" s="2000"/>
      <c r="J331" s="2000">
        <v>200</v>
      </c>
      <c r="K331" s="2000"/>
      <c r="L331" s="2001">
        <f>SUM(J331:K331)</f>
        <v>200</v>
      </c>
      <c r="M331" s="1476"/>
    </row>
    <row r="332" spans="1:13" s="1477" customFormat="1" ht="18" customHeight="1" x14ac:dyDescent="0.3">
      <c r="A332" s="721">
        <v>322</v>
      </c>
      <c r="B332" s="1838"/>
      <c r="C332" s="1839"/>
      <c r="D332" s="1572" t="s">
        <v>969</v>
      </c>
      <c r="E332" s="1841"/>
      <c r="F332" s="1842"/>
      <c r="G332" s="2018"/>
      <c r="H332" s="2020"/>
      <c r="I332" s="2000"/>
      <c r="J332" s="2019"/>
      <c r="K332" s="2000"/>
      <c r="L332" s="2021">
        <f>SUM(H332:K332)</f>
        <v>0</v>
      </c>
      <c r="M332" s="1476"/>
    </row>
    <row r="333" spans="1:13" s="1477" customFormat="1" ht="18" customHeight="1" x14ac:dyDescent="0.3">
      <c r="A333" s="721">
        <v>323</v>
      </c>
      <c r="B333" s="1838"/>
      <c r="C333" s="1839"/>
      <c r="D333" s="1840" t="s">
        <v>1250</v>
      </c>
      <c r="E333" s="1841"/>
      <c r="F333" s="1842"/>
      <c r="G333" s="2018"/>
      <c r="H333" s="1472"/>
      <c r="I333" s="2000"/>
      <c r="J333" s="2000">
        <f>SUM(J331:J332)</f>
        <v>200</v>
      </c>
      <c r="K333" s="2000"/>
      <c r="L333" s="1475">
        <f>SUM(I333:K333)</f>
        <v>200</v>
      </c>
      <c r="M333" s="1935"/>
    </row>
    <row r="334" spans="1:13" s="1477" customFormat="1" ht="31.5" customHeight="1" x14ac:dyDescent="0.3">
      <c r="A334" s="773">
        <v>324</v>
      </c>
      <c r="B334" s="1467"/>
      <c r="C334" s="735">
        <v>69</v>
      </c>
      <c r="D334" s="421" t="s">
        <v>1183</v>
      </c>
      <c r="E334" s="736">
        <f>F334+G334+L337+M337</f>
        <v>275</v>
      </c>
      <c r="F334" s="1471"/>
      <c r="G334" s="1762"/>
      <c r="H334" s="1472"/>
      <c r="I334" s="1737"/>
      <c r="J334" s="1737"/>
      <c r="K334" s="1737"/>
      <c r="L334" s="1889"/>
      <c r="M334" s="1476"/>
    </row>
    <row r="335" spans="1:13" s="1477" customFormat="1" ht="18" customHeight="1" x14ac:dyDescent="0.3">
      <c r="A335" s="721">
        <v>325</v>
      </c>
      <c r="B335" s="1467"/>
      <c r="C335" s="735"/>
      <c r="D335" s="1575" t="s">
        <v>1158</v>
      </c>
      <c r="E335" s="736"/>
      <c r="F335" s="1471"/>
      <c r="G335" s="1762"/>
      <c r="H335" s="1472"/>
      <c r="I335" s="1737"/>
      <c r="J335" s="1737">
        <v>275</v>
      </c>
      <c r="K335" s="1737"/>
      <c r="L335" s="2073">
        <f>SUM(I335:K335)</f>
        <v>275</v>
      </c>
      <c r="M335" s="1476"/>
    </row>
    <row r="336" spans="1:13" s="1477" customFormat="1" ht="18" customHeight="1" x14ac:dyDescent="0.3">
      <c r="A336" s="721">
        <v>326</v>
      </c>
      <c r="B336" s="1467"/>
      <c r="C336" s="1574"/>
      <c r="D336" s="1572" t="s">
        <v>969</v>
      </c>
      <c r="E336" s="1470"/>
      <c r="F336" s="1471"/>
      <c r="G336" s="1762"/>
      <c r="H336" s="1472"/>
      <c r="I336" s="1737"/>
      <c r="J336" s="1573"/>
      <c r="K336" s="1573"/>
      <c r="L336" s="1948">
        <f>SUM(I336:K336)</f>
        <v>0</v>
      </c>
      <c r="M336" s="1476"/>
    </row>
    <row r="337" spans="1:13" s="1477" customFormat="1" ht="18" customHeight="1" thickBot="1" x14ac:dyDescent="0.35">
      <c r="A337" s="773">
        <v>327</v>
      </c>
      <c r="B337" s="1485"/>
      <c r="C337" s="1576"/>
      <c r="D337" s="1840" t="s">
        <v>1250</v>
      </c>
      <c r="E337" s="1488"/>
      <c r="F337" s="1489"/>
      <c r="G337" s="1765"/>
      <c r="H337" s="1490"/>
      <c r="I337" s="1847"/>
      <c r="J337" s="1847">
        <f>SUM(J335:J336)</f>
        <v>275</v>
      </c>
      <c r="K337" s="1847"/>
      <c r="L337" s="2001">
        <f>SUM(I337:K337)</f>
        <v>275</v>
      </c>
      <c r="M337" s="1494"/>
    </row>
    <row r="338" spans="1:13" ht="36" customHeight="1" x14ac:dyDescent="0.3">
      <c r="A338" s="721">
        <v>328</v>
      </c>
      <c r="B338" s="2334" t="s">
        <v>13</v>
      </c>
      <c r="C338" s="2335"/>
      <c r="D338" s="2335"/>
      <c r="E338" s="2335"/>
      <c r="F338" s="2335"/>
      <c r="G338" s="2336"/>
      <c r="H338" s="1481"/>
      <c r="I338" s="1482"/>
      <c r="J338" s="1482"/>
      <c r="K338" s="1482"/>
      <c r="L338" s="1482"/>
      <c r="M338" s="1484"/>
    </row>
    <row r="339" spans="1:13" s="1455" customFormat="1" ht="18" customHeight="1" x14ac:dyDescent="0.3">
      <c r="A339" s="721">
        <v>329</v>
      </c>
      <c r="B339" s="1445"/>
      <c r="C339" s="1568"/>
      <c r="D339" s="1569" t="s">
        <v>308</v>
      </c>
      <c r="E339" s="1448"/>
      <c r="F339" s="1449"/>
      <c r="G339" s="1763"/>
      <c r="H339" s="1450"/>
      <c r="I339" s="1451">
        <f>SUM(I258,I253,I248,I243,I238,I233,I228,I223,I218,I213,I208,I203,I198,I193,I188,I183,I178,I173,I168,I163,I158,I153,I148,I143,I138,I133,I128,I123,I118,I113,I108,I103,I98,I93,I88,I83,I78,I73,I68,I63,I58,I53,I48,I43,I38,I33,I28,I23,I18,I13,)</f>
        <v>10468</v>
      </c>
      <c r="J339" s="1570">
        <f>SUM(J258,J253,J248,J243,J238,J233,J228,J223,J218,J213,J208,J203,J198,J193,J188,J183,J178,J173,J168,J163,J158,J153,J148,J143,J138,J133,J128,J123,J118,J113,J108,J103,J98,J93,J88,J83,J78,J73,J68,J63,J58,J53,J48,J43,J38,J33,J28,J23,J18,J13,)</f>
        <v>765891</v>
      </c>
      <c r="K339" s="1570">
        <f>SUM(K258,K253,K248,K243,K238,K233,K228,K223,K218,K213,K208,K203,K198,K193,K188,K183,K178,K173,K168,K163,K158,K153,K148,K143,K138,K133,K128,K123,K118,K113,K108,K103,K98,K93,K88,K83,K78,K73,K68,K63,K58,K53,K48,K43,K38,K33,K28,K23,K18,K13,)</f>
        <v>504000</v>
      </c>
      <c r="L339" s="1453">
        <f t="shared" ref="L339" si="92">SUM(I339:K339)</f>
        <v>1280359</v>
      </c>
      <c r="M339" s="1454"/>
    </row>
    <row r="340" spans="1:13" s="1455" customFormat="1" ht="18" customHeight="1" x14ac:dyDescent="0.3">
      <c r="A340" s="773">
        <v>330</v>
      </c>
      <c r="B340" s="1445"/>
      <c r="C340" s="1568"/>
      <c r="D340" s="1575" t="s">
        <v>1158</v>
      </c>
      <c r="E340" s="1448"/>
      <c r="F340" s="1449"/>
      <c r="G340" s="1763"/>
      <c r="H340" s="1450"/>
      <c r="I340" s="1473">
        <f>SUM(I259,I254,I249,I244,I239,I234,I229,I224,I219,I214,I209,I204,I199,I194,I189,I184,I179,I174,I169,I164,I159,I154,I149,I144,I139,I134,I129,I124,I119,I114,I109,I104,I99,I94,I89,I84,I79,I74,I69,I64,I59,I54,I49,I44,I39,I34,I29,I24,I19,I14,)+I263+I267+I271+I275+I303+I299+I295+I291+I287+I283+I279+I307+I311+I315+I319+I323+I327+I331+I335</f>
        <v>6669</v>
      </c>
      <c r="J340" s="1473">
        <f t="shared" ref="J340:L340" si="93">SUM(J259,J254,J249,J244,J239,J234,J229,J224,J219,J214,J209,J204,J199,J194,J189,J184,J179,J174,J169,J164,J159,J154,J149,J144,J139,J134,J129,J124,J119,J114,J109,J104,J99,J94,J89,J84,J79,J74,J69,J64,J59,J54,J49,J44,J39,J34,J29,J24,J19,J14,)+J263+J267+J271+J275+J303+J299+J295+J291+J287+J283+J279+J307+J311+J315+J319+J323+J327+J331+J335</f>
        <v>751050</v>
      </c>
      <c r="K340" s="1473">
        <f t="shared" si="93"/>
        <v>495160</v>
      </c>
      <c r="L340" s="1473">
        <f t="shared" si="93"/>
        <v>1252879</v>
      </c>
      <c r="M340" s="1454"/>
    </row>
    <row r="341" spans="1:13" s="1466" customFormat="1" ht="18" customHeight="1" x14ac:dyDescent="0.3">
      <c r="A341" s="721">
        <v>331</v>
      </c>
      <c r="B341" s="1456"/>
      <c r="C341" s="1571"/>
      <c r="D341" s="1572" t="s">
        <v>947</v>
      </c>
      <c r="E341" s="1459"/>
      <c r="F341" s="1460"/>
      <c r="G341" s="1761"/>
      <c r="H341" s="1461"/>
      <c r="I341" s="1573">
        <f>SUM(I260,I255,I250,I245,I240,I235,I230,I225,I220,I215,I210,I205,I200,I195,I190,I185,I180,I175,I170,I165,I160,I155,I150,I145,I140,I135,I130,I125,I120,I115,I110,I105,I100,I95,I90,I85,I80,I75,I70,I65,I60,I55,I50,I45,I40,I35,I30,I25,I20,I15,)+I272+I276+I304+I280+I284+I288+I296+I292+I300+I328+I316+I308+I312+I324+I320+I336+I332</f>
        <v>1525</v>
      </c>
      <c r="J341" s="1573">
        <f t="shared" ref="J341:L341" si="94">SUM(J260,J255,J250,J245,J240,J235,J230,J225,J220,J215,J210,J205,J200,J195,J190,J185,J180,J175,J170,J165,J160,J155,J150,J145,J140,J135,J130,J125,J120,J115,J110,J105,J100,J95,J90,J85,J80,J75,J70,J65,J60,J55,J50,J45,J40,J35,J30,J25,J20,J15,)+J272+J276+J304+J280+J284+J288+J296+J292+J300+J328+J316+J308+J312+J324+J320+J336+J332</f>
        <v>-1525</v>
      </c>
      <c r="K341" s="1573">
        <f t="shared" si="94"/>
        <v>0</v>
      </c>
      <c r="L341" s="1573">
        <f t="shared" si="94"/>
        <v>0</v>
      </c>
      <c r="M341" s="1465"/>
    </row>
    <row r="342" spans="1:13" s="1477" customFormat="1" ht="18" customHeight="1" thickBot="1" x14ac:dyDescent="0.35">
      <c r="A342" s="721">
        <v>332</v>
      </c>
      <c r="B342" s="1485"/>
      <c r="C342" s="1576"/>
      <c r="D342" s="1577" t="s">
        <v>1250</v>
      </c>
      <c r="E342" s="1488"/>
      <c r="F342" s="1489"/>
      <c r="G342" s="1765"/>
      <c r="H342" s="1490"/>
      <c r="I342" s="1491">
        <f>SUM(I340:I341)</f>
        <v>8194</v>
      </c>
      <c r="J342" s="1491">
        <f t="shared" ref="J342:K342" si="95">SUM(J340:J341)</f>
        <v>749525</v>
      </c>
      <c r="K342" s="1491">
        <f t="shared" si="95"/>
        <v>495160</v>
      </c>
      <c r="L342" s="1493">
        <f>SUM(I342:K342)</f>
        <v>1252879</v>
      </c>
      <c r="M342" s="1494"/>
    </row>
    <row r="343" spans="1:13" ht="18" customHeight="1" x14ac:dyDescent="0.3">
      <c r="B343" s="1578" t="s">
        <v>27</v>
      </c>
      <c r="C343" s="1578"/>
      <c r="D343" s="1578"/>
      <c r="E343" s="717"/>
      <c r="F343" s="718"/>
      <c r="G343" s="717"/>
      <c r="H343" s="1579"/>
      <c r="I343" s="717"/>
      <c r="J343" s="717"/>
      <c r="K343" s="717"/>
      <c r="L343" s="717"/>
    </row>
    <row r="344" spans="1:13" ht="18" customHeight="1" x14ac:dyDescent="0.3">
      <c r="B344" s="1578" t="s">
        <v>28</v>
      </c>
      <c r="C344" s="1578"/>
      <c r="D344" s="1578"/>
      <c r="E344" s="1580"/>
      <c r="F344" s="718"/>
      <c r="G344" s="717"/>
      <c r="H344" s="1579"/>
      <c r="I344" s="717"/>
      <c r="J344" s="717"/>
      <c r="K344" s="717"/>
      <c r="L344" s="717"/>
    </row>
    <row r="345" spans="1:13" ht="18" customHeight="1" x14ac:dyDescent="0.3">
      <c r="B345" s="1578" t="s">
        <v>29</v>
      </c>
      <c r="C345" s="1578"/>
      <c r="D345" s="1578"/>
      <c r="E345" s="1580"/>
      <c r="F345" s="718"/>
      <c r="G345" s="717"/>
      <c r="H345" s="1579"/>
      <c r="I345" s="717"/>
      <c r="J345" s="717"/>
      <c r="K345" s="717"/>
      <c r="L345" s="717"/>
    </row>
  </sheetData>
  <mergeCells count="16">
    <mergeCell ref="B1:M1"/>
    <mergeCell ref="B2:M2"/>
    <mergeCell ref="B338:G338"/>
    <mergeCell ref="B4:M4"/>
    <mergeCell ref="B5:M5"/>
    <mergeCell ref="B8:B10"/>
    <mergeCell ref="C8:C10"/>
    <mergeCell ref="D8:D10"/>
    <mergeCell ref="E8:E10"/>
    <mergeCell ref="F8:F10"/>
    <mergeCell ref="G8:G10"/>
    <mergeCell ref="H8:H10"/>
    <mergeCell ref="I8:L8"/>
    <mergeCell ref="M8:M10"/>
    <mergeCell ref="J9:K9"/>
    <mergeCell ref="L9:L10"/>
  </mergeCells>
  <printOptions horizontalCentered="1"/>
  <pageMargins left="0.19685039370078741" right="0.19685039370078741" top="0.59055118110236227" bottom="0.59055118110236227" header="0.31496062992125984" footer="0.31496062992125984"/>
  <pageSetup paperSize="9" scale="50" fitToHeight="0" orientation="portrait" r:id="rId1"/>
  <headerFooter>
    <oddFooter>&amp;C- &amp;P -</odd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IR143"/>
  <sheetViews>
    <sheetView view="pageBreakPreview" zoomScaleNormal="100" zoomScaleSheetLayoutView="100" workbookViewId="0">
      <pane ySplit="9" topLeftCell="A131" activePane="bottomLeft" state="frozen"/>
      <selection activeCell="I6" sqref="I6"/>
      <selection pane="bottomLeft" activeCell="D126" sqref="D126"/>
    </sheetView>
  </sheetViews>
  <sheetFormatPr defaultColWidth="9.140625" defaultRowHeight="15" x14ac:dyDescent="0.3"/>
  <cols>
    <col min="1" max="1" width="3.5703125" style="720" customWidth="1"/>
    <col min="2" max="2" width="5.7109375" style="711" customWidth="1"/>
    <col min="3" max="3" width="5.7109375" style="712" customWidth="1"/>
    <col min="4" max="4" width="59.7109375" style="713" customWidth="1"/>
    <col min="5" max="7" width="10.7109375" style="709" customWidth="1"/>
    <col min="8" max="8" width="6.7109375" style="714" customWidth="1"/>
    <col min="9" max="10" width="14.85546875" style="709" customWidth="1"/>
    <col min="11" max="11" width="15.7109375" style="709" customWidth="1"/>
    <col min="12" max="12" width="13.7109375" style="719" customWidth="1"/>
    <col min="13" max="16384" width="9.140625" style="710"/>
  </cols>
  <sheetData>
    <row r="1" spans="1:250" ht="17.25" x14ac:dyDescent="0.35">
      <c r="B1" s="2332" t="s">
        <v>1141</v>
      </c>
      <c r="C1" s="2332"/>
      <c r="D1" s="2332"/>
      <c r="E1" s="2332"/>
      <c r="F1" s="2332"/>
      <c r="G1" s="2332"/>
      <c r="H1" s="2332"/>
      <c r="I1" s="2332"/>
      <c r="J1" s="2332"/>
      <c r="K1" s="2332"/>
      <c r="L1" s="2332"/>
      <c r="M1" s="2332"/>
    </row>
    <row r="2" spans="1:250" s="416" customFormat="1" ht="18" customHeight="1" x14ac:dyDescent="0.3">
      <c r="A2" s="1442"/>
      <c r="B2" s="2333" t="s">
        <v>1161</v>
      </c>
      <c r="C2" s="2333"/>
      <c r="D2" s="2333"/>
      <c r="E2" s="2333"/>
      <c r="F2" s="2333"/>
      <c r="G2" s="2333"/>
      <c r="H2" s="2333"/>
      <c r="I2" s="2333"/>
      <c r="J2" s="2333"/>
      <c r="K2" s="2333"/>
      <c r="L2" s="2333"/>
      <c r="M2" s="2333"/>
      <c r="N2" s="1443"/>
      <c r="O2" s="1443"/>
      <c r="P2" s="1443"/>
      <c r="Q2" s="1443"/>
      <c r="R2" s="1443"/>
      <c r="S2" s="1443"/>
      <c r="T2" s="1443"/>
      <c r="U2" s="1443"/>
      <c r="V2" s="1443"/>
      <c r="W2" s="1443"/>
      <c r="X2" s="1443"/>
      <c r="Y2" s="1443"/>
      <c r="Z2" s="1443"/>
      <c r="AA2" s="1443"/>
      <c r="AB2" s="1443"/>
      <c r="AC2" s="1443"/>
      <c r="AD2" s="1443"/>
      <c r="AE2" s="1443"/>
      <c r="AF2" s="1443"/>
      <c r="AG2" s="1443"/>
      <c r="AH2" s="1443"/>
      <c r="AI2" s="1443"/>
      <c r="AJ2" s="1443"/>
      <c r="AK2" s="1443"/>
      <c r="AL2" s="1443"/>
      <c r="AM2" s="1443"/>
      <c r="AN2" s="1443"/>
      <c r="AO2" s="1443"/>
      <c r="AP2" s="1443"/>
      <c r="AQ2" s="1443"/>
      <c r="AR2" s="1443"/>
      <c r="AS2" s="1443"/>
      <c r="AT2" s="1443"/>
      <c r="AU2" s="1443"/>
      <c r="AV2" s="1443"/>
      <c r="AW2" s="1443"/>
      <c r="AX2" s="1443"/>
      <c r="AY2" s="1443"/>
      <c r="AZ2" s="1443"/>
      <c r="BA2" s="1443"/>
      <c r="BB2" s="1443"/>
      <c r="BC2" s="1443"/>
      <c r="BD2" s="1443"/>
      <c r="BE2" s="1443"/>
      <c r="BF2" s="1443"/>
      <c r="BG2" s="1443"/>
      <c r="BH2" s="1443"/>
      <c r="BI2" s="1443"/>
      <c r="BJ2" s="1443"/>
      <c r="BK2" s="1443"/>
      <c r="BL2" s="1443"/>
      <c r="BM2" s="1443"/>
      <c r="BN2" s="1443"/>
      <c r="BO2" s="1443"/>
      <c r="BP2" s="1443"/>
      <c r="BQ2" s="1443"/>
      <c r="BR2" s="1443"/>
      <c r="BS2" s="1443"/>
      <c r="BT2" s="1443"/>
      <c r="BU2" s="1443"/>
      <c r="BV2" s="1443"/>
      <c r="BW2" s="1443"/>
      <c r="BX2" s="1443"/>
      <c r="BY2" s="1443"/>
      <c r="BZ2" s="1443"/>
      <c r="CA2" s="1443"/>
      <c r="CB2" s="1443"/>
      <c r="CC2" s="1443"/>
      <c r="CD2" s="1443"/>
      <c r="CE2" s="1443"/>
      <c r="CF2" s="1443"/>
      <c r="CG2" s="1443"/>
      <c r="CH2" s="1443"/>
      <c r="CI2" s="1443"/>
      <c r="CJ2" s="1443"/>
      <c r="CK2" s="1443"/>
      <c r="CL2" s="1443"/>
      <c r="CM2" s="1443"/>
      <c r="CN2" s="1443"/>
      <c r="CO2" s="1443"/>
      <c r="CP2" s="1443"/>
      <c r="CQ2" s="1443"/>
      <c r="CR2" s="1443"/>
      <c r="CS2" s="1443"/>
      <c r="CT2" s="1443"/>
      <c r="CU2" s="1443"/>
      <c r="CV2" s="1443"/>
      <c r="CW2" s="1443"/>
      <c r="CX2" s="1443"/>
      <c r="CY2" s="1443"/>
      <c r="CZ2" s="1443"/>
      <c r="DA2" s="1443"/>
      <c r="DB2" s="1443"/>
      <c r="DC2" s="1443"/>
      <c r="DD2" s="1443"/>
      <c r="DE2" s="1443"/>
      <c r="DF2" s="1443"/>
      <c r="DG2" s="1443"/>
      <c r="DH2" s="1443"/>
      <c r="DI2" s="1443"/>
      <c r="DJ2" s="1443"/>
      <c r="DK2" s="1443"/>
      <c r="DL2" s="1443"/>
      <c r="DM2" s="1443"/>
      <c r="DN2" s="1443"/>
      <c r="DO2" s="1443"/>
      <c r="DP2" s="1443"/>
      <c r="DQ2" s="1443"/>
      <c r="DR2" s="1443"/>
      <c r="DS2" s="1443"/>
      <c r="DT2" s="1443"/>
      <c r="DU2" s="1443"/>
      <c r="DV2" s="1443"/>
      <c r="DW2" s="1443"/>
      <c r="DX2" s="1443"/>
      <c r="DY2" s="1443"/>
      <c r="DZ2" s="1443"/>
      <c r="EA2" s="1443"/>
      <c r="EB2" s="1443"/>
      <c r="EC2" s="1443"/>
      <c r="ED2" s="1443"/>
      <c r="EE2" s="1443"/>
      <c r="EF2" s="1443"/>
      <c r="EG2" s="1443"/>
      <c r="EH2" s="1443"/>
      <c r="EI2" s="1443"/>
      <c r="EJ2" s="1443"/>
      <c r="EK2" s="1443"/>
      <c r="EL2" s="1443"/>
      <c r="EM2" s="1443"/>
      <c r="EN2" s="1443"/>
      <c r="EO2" s="1443"/>
      <c r="EP2" s="1443"/>
      <c r="EQ2" s="1443"/>
      <c r="ER2" s="1443"/>
      <c r="ES2" s="1443"/>
      <c r="ET2" s="1443"/>
      <c r="EU2" s="1443"/>
      <c r="EV2" s="1443"/>
      <c r="EW2" s="1443"/>
      <c r="EX2" s="1443"/>
      <c r="EY2" s="1443"/>
      <c r="EZ2" s="1443"/>
      <c r="FA2" s="1443"/>
      <c r="FB2" s="1443"/>
      <c r="FC2" s="1443"/>
      <c r="FD2" s="1443"/>
      <c r="FE2" s="1443"/>
      <c r="FF2" s="1443"/>
      <c r="FG2" s="1443"/>
      <c r="FH2" s="1443"/>
      <c r="FI2" s="1443"/>
      <c r="FJ2" s="1443"/>
      <c r="FK2" s="1443"/>
      <c r="FL2" s="1443"/>
      <c r="FM2" s="1443"/>
      <c r="FN2" s="1443"/>
      <c r="FO2" s="1443"/>
      <c r="FP2" s="1443"/>
      <c r="FQ2" s="1443"/>
      <c r="FR2" s="1443"/>
      <c r="FS2" s="1443"/>
      <c r="FT2" s="1443"/>
      <c r="FU2" s="1443"/>
      <c r="FV2" s="1443"/>
      <c r="FW2" s="1443"/>
      <c r="FX2" s="1443"/>
      <c r="FY2" s="1443"/>
      <c r="FZ2" s="1443"/>
      <c r="GA2" s="1443"/>
      <c r="GB2" s="1443"/>
      <c r="GC2" s="1443"/>
      <c r="GD2" s="1443"/>
      <c r="GE2" s="1443"/>
      <c r="GF2" s="1443"/>
      <c r="GG2" s="1443"/>
      <c r="GH2" s="1443"/>
      <c r="GI2" s="1443"/>
      <c r="GJ2" s="1443"/>
      <c r="GK2" s="1443"/>
      <c r="GL2" s="1443"/>
      <c r="GM2" s="1443"/>
      <c r="GN2" s="1443"/>
      <c r="GO2" s="1443"/>
      <c r="GP2" s="1443"/>
      <c r="GQ2" s="1443"/>
      <c r="GR2" s="1443"/>
      <c r="GS2" s="1443"/>
      <c r="GT2" s="1443"/>
      <c r="GU2" s="1443"/>
      <c r="GV2" s="1443"/>
      <c r="GW2" s="1443"/>
      <c r="GX2" s="1443"/>
      <c r="GY2" s="1443"/>
      <c r="GZ2" s="1443"/>
      <c r="HA2" s="1443"/>
      <c r="HB2" s="1443"/>
      <c r="HC2" s="1443"/>
      <c r="HD2" s="1443"/>
      <c r="HE2" s="1443"/>
      <c r="HF2" s="1443"/>
      <c r="HG2" s="1443"/>
      <c r="HH2" s="1443"/>
      <c r="HI2" s="1443"/>
      <c r="HJ2" s="1443"/>
      <c r="HK2" s="1443"/>
      <c r="HL2" s="1443"/>
      <c r="HM2" s="1443"/>
      <c r="HN2" s="1443"/>
      <c r="HO2" s="1443"/>
      <c r="HP2" s="1443"/>
      <c r="HQ2" s="1443"/>
      <c r="HR2" s="1443"/>
      <c r="HS2" s="1443"/>
      <c r="HT2" s="1443"/>
      <c r="HU2" s="1443"/>
      <c r="HV2" s="1443"/>
      <c r="HW2" s="1443"/>
      <c r="HX2" s="1443"/>
      <c r="HY2" s="1443"/>
      <c r="HZ2" s="1443"/>
      <c r="IA2" s="1443"/>
      <c r="IB2" s="1443"/>
      <c r="IC2" s="1443"/>
      <c r="ID2" s="1443"/>
      <c r="IE2" s="1443"/>
      <c r="IF2" s="1443"/>
      <c r="IG2" s="1443"/>
      <c r="IH2" s="1443"/>
      <c r="II2" s="1443"/>
      <c r="IJ2" s="1443"/>
      <c r="IK2" s="1443"/>
      <c r="IL2" s="1443"/>
      <c r="IM2" s="1443"/>
      <c r="IN2" s="1443"/>
      <c r="IO2" s="1443"/>
      <c r="IP2" s="1443"/>
    </row>
    <row r="3" spans="1:250" s="416" customFormat="1" ht="18" customHeight="1" x14ac:dyDescent="0.35">
      <c r="A3" s="720"/>
      <c r="B3" s="2337" t="s">
        <v>14</v>
      </c>
      <c r="C3" s="2337"/>
      <c r="D3" s="2337"/>
      <c r="E3" s="2337"/>
      <c r="F3" s="2337"/>
      <c r="G3" s="2337"/>
      <c r="H3" s="2337"/>
      <c r="I3" s="2337"/>
      <c r="J3" s="2337"/>
      <c r="K3" s="2337"/>
      <c r="L3" s="2337"/>
    </row>
    <row r="4" spans="1:250" s="416" customFormat="1" ht="18" customHeight="1" x14ac:dyDescent="0.3">
      <c r="A4" s="720"/>
      <c r="B4" s="2338" t="s">
        <v>1159</v>
      </c>
      <c r="C4" s="2338"/>
      <c r="D4" s="2338"/>
      <c r="E4" s="2338"/>
      <c r="F4" s="2338"/>
      <c r="G4" s="2338"/>
      <c r="H4" s="2338"/>
      <c r="I4" s="2338"/>
      <c r="J4" s="2338"/>
      <c r="K4" s="2338"/>
      <c r="L4" s="2338"/>
    </row>
    <row r="5" spans="1:250" ht="18" customHeight="1" x14ac:dyDescent="0.3">
      <c r="L5" s="715" t="s">
        <v>0</v>
      </c>
    </row>
    <row r="6" spans="1:250" s="133" customFormat="1" ht="18" customHeight="1" thickBot="1" x14ac:dyDescent="0.25">
      <c r="A6" s="720"/>
      <c r="B6" s="742" t="s">
        <v>1</v>
      </c>
      <c r="C6" s="743" t="s">
        <v>3</v>
      </c>
      <c r="D6" s="743" t="s">
        <v>2</v>
      </c>
      <c r="E6" s="743" t="s">
        <v>4</v>
      </c>
      <c r="F6" s="743" t="s">
        <v>5</v>
      </c>
      <c r="G6" s="743" t="s">
        <v>15</v>
      </c>
      <c r="H6" s="743" t="s">
        <v>16</v>
      </c>
      <c r="I6" s="743" t="s">
        <v>17</v>
      </c>
      <c r="J6" s="743" t="s">
        <v>36</v>
      </c>
      <c r="K6" s="743" t="s">
        <v>30</v>
      </c>
      <c r="L6" s="743" t="s">
        <v>23</v>
      </c>
      <c r="M6" s="720"/>
      <c r="N6" s="720"/>
      <c r="O6" s="720"/>
      <c r="P6" s="720"/>
      <c r="Q6" s="720"/>
      <c r="R6" s="720"/>
      <c r="S6" s="720"/>
      <c r="T6" s="720"/>
      <c r="U6" s="720"/>
      <c r="V6" s="720"/>
      <c r="W6" s="720"/>
      <c r="X6" s="720"/>
      <c r="Y6" s="720"/>
      <c r="Z6" s="720"/>
      <c r="AA6" s="720"/>
      <c r="AB6" s="720"/>
      <c r="AC6" s="720"/>
      <c r="AD6" s="720"/>
      <c r="AE6" s="720"/>
      <c r="AF6" s="720"/>
      <c r="AG6" s="720"/>
      <c r="AH6" s="720"/>
      <c r="AI6" s="720"/>
      <c r="AJ6" s="720"/>
      <c r="AK6" s="720"/>
      <c r="AL6" s="720"/>
      <c r="AM6" s="720"/>
      <c r="AN6" s="720"/>
      <c r="AO6" s="720"/>
      <c r="AP6" s="720"/>
      <c r="AQ6" s="720"/>
      <c r="AR6" s="720"/>
      <c r="AS6" s="720"/>
      <c r="AT6" s="720"/>
      <c r="AU6" s="720"/>
      <c r="AV6" s="720"/>
      <c r="AW6" s="720"/>
      <c r="AX6" s="720"/>
      <c r="AY6" s="720"/>
      <c r="AZ6" s="720"/>
      <c r="BA6" s="720"/>
      <c r="BB6" s="720"/>
      <c r="BC6" s="720"/>
      <c r="BD6" s="720"/>
      <c r="BE6" s="720"/>
      <c r="BF6" s="720"/>
      <c r="BG6" s="720"/>
      <c r="BH6" s="720"/>
      <c r="BI6" s="720"/>
      <c r="BJ6" s="720"/>
      <c r="BK6" s="720"/>
      <c r="BL6" s="720"/>
      <c r="BM6" s="720"/>
      <c r="BN6" s="720"/>
      <c r="BO6" s="720"/>
      <c r="BP6" s="720"/>
      <c r="BQ6" s="720"/>
      <c r="BR6" s="720"/>
      <c r="BS6" s="720"/>
      <c r="BT6" s="720"/>
      <c r="BU6" s="720"/>
      <c r="BV6" s="720"/>
      <c r="BW6" s="720"/>
      <c r="BX6" s="720"/>
      <c r="BY6" s="720"/>
      <c r="BZ6" s="720"/>
      <c r="CA6" s="720"/>
      <c r="CB6" s="720"/>
      <c r="CC6" s="720"/>
      <c r="CD6" s="720"/>
      <c r="CE6" s="720"/>
      <c r="CF6" s="720"/>
      <c r="CG6" s="720"/>
      <c r="CH6" s="720"/>
      <c r="CI6" s="720"/>
      <c r="CJ6" s="720"/>
      <c r="CK6" s="720"/>
      <c r="CL6" s="720"/>
      <c r="CM6" s="720"/>
      <c r="CN6" s="720"/>
      <c r="CO6" s="720"/>
      <c r="CP6" s="720"/>
      <c r="CQ6" s="720"/>
      <c r="CR6" s="720"/>
      <c r="CS6" s="720"/>
      <c r="CT6" s="720"/>
      <c r="CU6" s="720"/>
      <c r="CV6" s="720"/>
      <c r="CW6" s="720"/>
      <c r="CX6" s="720"/>
      <c r="CY6" s="720"/>
      <c r="CZ6" s="720"/>
      <c r="DA6" s="720"/>
      <c r="DB6" s="720"/>
      <c r="DC6" s="720"/>
      <c r="DD6" s="720"/>
      <c r="DE6" s="720"/>
      <c r="DF6" s="720"/>
      <c r="DG6" s="720"/>
      <c r="DH6" s="720"/>
      <c r="DI6" s="720"/>
      <c r="DJ6" s="720"/>
      <c r="DK6" s="720"/>
      <c r="DL6" s="720"/>
      <c r="DM6" s="720"/>
      <c r="DN6" s="720"/>
      <c r="DO6" s="720"/>
      <c r="DP6" s="720"/>
      <c r="DQ6" s="720"/>
      <c r="DR6" s="720"/>
      <c r="DS6" s="720"/>
      <c r="DT6" s="720"/>
      <c r="DU6" s="720"/>
      <c r="DV6" s="720"/>
      <c r="DW6" s="720"/>
      <c r="DX6" s="720"/>
      <c r="DY6" s="720"/>
      <c r="DZ6" s="720"/>
      <c r="EA6" s="720"/>
      <c r="EB6" s="720"/>
      <c r="EC6" s="720"/>
      <c r="ED6" s="720"/>
      <c r="EE6" s="720"/>
      <c r="EF6" s="720"/>
      <c r="EG6" s="720"/>
      <c r="EH6" s="720"/>
      <c r="EI6" s="720"/>
      <c r="EJ6" s="720"/>
      <c r="EK6" s="720"/>
      <c r="EL6" s="720"/>
      <c r="EM6" s="720"/>
      <c r="EN6" s="720"/>
      <c r="EO6" s="720"/>
      <c r="EP6" s="720"/>
      <c r="EQ6" s="720"/>
      <c r="ER6" s="720"/>
      <c r="ES6" s="720"/>
      <c r="ET6" s="720"/>
      <c r="EU6" s="720"/>
      <c r="EV6" s="720"/>
      <c r="EW6" s="720"/>
      <c r="EX6" s="720"/>
      <c r="EY6" s="720"/>
      <c r="EZ6" s="720"/>
      <c r="FA6" s="720"/>
      <c r="FB6" s="720"/>
      <c r="FC6" s="720"/>
      <c r="FD6" s="720"/>
      <c r="FE6" s="720"/>
      <c r="FF6" s="720"/>
      <c r="FG6" s="720"/>
      <c r="FH6" s="720"/>
      <c r="FI6" s="720"/>
      <c r="FJ6" s="720"/>
      <c r="FK6" s="720"/>
      <c r="FL6" s="720"/>
      <c r="FM6" s="720"/>
      <c r="FN6" s="720"/>
      <c r="FO6" s="720"/>
      <c r="FP6" s="720"/>
      <c r="FQ6" s="720"/>
      <c r="FR6" s="720"/>
      <c r="FS6" s="720"/>
      <c r="FT6" s="720"/>
      <c r="FU6" s="720"/>
      <c r="FV6" s="720"/>
      <c r="FW6" s="720"/>
      <c r="FX6" s="720"/>
      <c r="FY6" s="720"/>
      <c r="FZ6" s="720"/>
      <c r="GA6" s="720"/>
      <c r="GB6" s="720"/>
      <c r="GC6" s="720"/>
      <c r="GD6" s="720"/>
      <c r="GE6" s="720"/>
      <c r="GF6" s="720"/>
      <c r="GG6" s="720"/>
      <c r="GH6" s="720"/>
      <c r="GI6" s="720"/>
      <c r="GJ6" s="720"/>
      <c r="GK6" s="720"/>
      <c r="GL6" s="720"/>
      <c r="GM6" s="720"/>
      <c r="GN6" s="720"/>
      <c r="GO6" s="720"/>
      <c r="GP6" s="720"/>
      <c r="GQ6" s="720"/>
      <c r="GR6" s="720"/>
      <c r="GS6" s="720"/>
      <c r="GT6" s="720"/>
      <c r="GU6" s="720"/>
      <c r="GV6" s="720"/>
      <c r="GW6" s="720"/>
      <c r="GX6" s="720"/>
      <c r="GY6" s="720"/>
      <c r="GZ6" s="720"/>
      <c r="HA6" s="720"/>
      <c r="HB6" s="720"/>
      <c r="HC6" s="720"/>
      <c r="HD6" s="720"/>
      <c r="HE6" s="720"/>
      <c r="HF6" s="720"/>
      <c r="HG6" s="720"/>
      <c r="HH6" s="720"/>
      <c r="HI6" s="720"/>
      <c r="HJ6" s="720"/>
      <c r="HK6" s="720"/>
      <c r="HL6" s="720"/>
      <c r="HM6" s="720"/>
      <c r="HN6" s="720"/>
      <c r="HO6" s="720"/>
      <c r="HP6" s="720"/>
      <c r="HQ6" s="720"/>
      <c r="HR6" s="720"/>
      <c r="HS6" s="720"/>
      <c r="HT6" s="720"/>
      <c r="HU6" s="720"/>
      <c r="HV6" s="720"/>
      <c r="HW6" s="720"/>
      <c r="HX6" s="720"/>
      <c r="HY6" s="720"/>
      <c r="HZ6" s="720"/>
      <c r="IA6" s="720"/>
      <c r="IB6" s="720"/>
      <c r="IC6" s="720"/>
      <c r="ID6" s="720"/>
      <c r="IE6" s="720"/>
      <c r="IF6" s="720"/>
      <c r="IG6" s="720"/>
      <c r="IH6" s="720"/>
      <c r="II6" s="720"/>
      <c r="IJ6" s="720"/>
      <c r="IK6" s="720"/>
      <c r="IL6" s="720"/>
      <c r="IM6" s="720"/>
      <c r="IN6" s="720"/>
      <c r="IO6" s="720"/>
      <c r="IP6" s="720"/>
    </row>
    <row r="7" spans="1:250" ht="30" customHeight="1" x14ac:dyDescent="0.3">
      <c r="B7" s="2339" t="s">
        <v>18</v>
      </c>
      <c r="C7" s="2342" t="s">
        <v>19</v>
      </c>
      <c r="D7" s="2345" t="s">
        <v>6</v>
      </c>
      <c r="E7" s="2348" t="s">
        <v>21</v>
      </c>
      <c r="F7" s="2348" t="s">
        <v>630</v>
      </c>
      <c r="G7" s="2351" t="s">
        <v>877</v>
      </c>
      <c r="H7" s="2354" t="s">
        <v>299</v>
      </c>
      <c r="I7" s="2369" t="s">
        <v>631</v>
      </c>
      <c r="J7" s="2369"/>
      <c r="K7" s="2370"/>
      <c r="L7" s="2360" t="s">
        <v>640</v>
      </c>
    </row>
    <row r="8" spans="1:250" ht="45" customHeight="1" x14ac:dyDescent="0.3">
      <c r="B8" s="2340"/>
      <c r="C8" s="2343"/>
      <c r="D8" s="2346"/>
      <c r="E8" s="2349"/>
      <c r="F8" s="2349"/>
      <c r="G8" s="2352"/>
      <c r="H8" s="2355"/>
      <c r="I8" s="714" t="s">
        <v>39</v>
      </c>
      <c r="J8" s="2057" t="s">
        <v>163</v>
      </c>
      <c r="K8" s="2364" t="s">
        <v>129</v>
      </c>
      <c r="L8" s="2361"/>
    </row>
    <row r="9" spans="1:250" ht="53.25" customHeight="1" thickBot="1" x14ac:dyDescent="0.35">
      <c r="B9" s="2341"/>
      <c r="C9" s="2344"/>
      <c r="D9" s="2347"/>
      <c r="E9" s="2350"/>
      <c r="F9" s="2350"/>
      <c r="G9" s="2353"/>
      <c r="H9" s="2356"/>
      <c r="I9" s="945" t="s">
        <v>42</v>
      </c>
      <c r="J9" s="744" t="s">
        <v>230</v>
      </c>
      <c r="K9" s="2365"/>
      <c r="L9" s="2362"/>
    </row>
    <row r="10" spans="1:250" ht="23.25" customHeight="1" x14ac:dyDescent="0.3">
      <c r="A10" s="721">
        <v>1</v>
      </c>
      <c r="B10" s="944">
        <v>18</v>
      </c>
      <c r="C10" s="937" t="s">
        <v>22</v>
      </c>
      <c r="D10" s="1766"/>
      <c r="E10" s="716"/>
      <c r="F10" s="732"/>
      <c r="G10" s="1759"/>
      <c r="H10" s="975"/>
      <c r="I10" s="946"/>
      <c r="J10" s="745"/>
      <c r="K10" s="746"/>
      <c r="L10" s="733"/>
    </row>
    <row r="11" spans="1:250" ht="22.5" customHeight="1" x14ac:dyDescent="0.3">
      <c r="A11" s="721">
        <v>2</v>
      </c>
      <c r="B11" s="734"/>
      <c r="C11" s="735">
        <v>1</v>
      </c>
      <c r="D11" s="1041" t="s">
        <v>777</v>
      </c>
      <c r="E11" s="736">
        <f>F11+G11+K15+L12</f>
        <v>19000</v>
      </c>
      <c r="F11" s="737">
        <v>10000</v>
      </c>
      <c r="G11" s="1760">
        <v>9000</v>
      </c>
      <c r="H11" s="976" t="s">
        <v>23</v>
      </c>
      <c r="I11" s="947"/>
      <c r="J11" s="1444"/>
      <c r="K11" s="748"/>
      <c r="L11" s="738"/>
    </row>
    <row r="12" spans="1:250" s="1455" customFormat="1" ht="18" customHeight="1" x14ac:dyDescent="0.3">
      <c r="A12" s="721">
        <v>3</v>
      </c>
      <c r="B12" s="1445"/>
      <c r="C12" s="1446"/>
      <c r="D12" s="1447" t="s">
        <v>308</v>
      </c>
      <c r="E12" s="1448"/>
      <c r="F12" s="1449"/>
      <c r="G12" s="1763"/>
      <c r="H12" s="1450"/>
      <c r="I12" s="1451"/>
      <c r="J12" s="1452">
        <v>5000</v>
      </c>
      <c r="K12" s="1962">
        <f t="shared" ref="K12:K105" si="0">SUM(I12:J12)</f>
        <v>5000</v>
      </c>
      <c r="L12" s="1454"/>
    </row>
    <row r="13" spans="1:250" s="1455" customFormat="1" ht="18" customHeight="1" x14ac:dyDescent="0.3">
      <c r="A13" s="721">
        <v>4</v>
      </c>
      <c r="B13" s="1445"/>
      <c r="C13" s="1446"/>
      <c r="D13" s="1811" t="s">
        <v>1158</v>
      </c>
      <c r="E13" s="1448"/>
      <c r="F13" s="1449"/>
      <c r="G13" s="1763"/>
      <c r="H13" s="1450"/>
      <c r="I13" s="1451"/>
      <c r="J13" s="1474">
        <v>0</v>
      </c>
      <c r="K13" s="1475">
        <f t="shared" si="0"/>
        <v>0</v>
      </c>
      <c r="L13" s="1454"/>
    </row>
    <row r="14" spans="1:250" s="1466" customFormat="1" ht="18" customHeight="1" x14ac:dyDescent="0.3">
      <c r="A14" s="721">
        <v>5</v>
      </c>
      <c r="B14" s="1456"/>
      <c r="C14" s="1457"/>
      <c r="D14" s="1458" t="s">
        <v>969</v>
      </c>
      <c r="E14" s="1459"/>
      <c r="F14" s="1460"/>
      <c r="G14" s="1761"/>
      <c r="H14" s="1461"/>
      <c r="I14" s="1462"/>
      <c r="J14" s="1463"/>
      <c r="K14" s="1464">
        <f t="shared" si="0"/>
        <v>0</v>
      </c>
      <c r="L14" s="1465"/>
    </row>
    <row r="15" spans="1:250" s="1477" customFormat="1" ht="18" customHeight="1" x14ac:dyDescent="0.3">
      <c r="A15" s="721">
        <v>6</v>
      </c>
      <c r="B15" s="1467"/>
      <c r="C15" s="1468"/>
      <c r="D15" s="1469" t="s">
        <v>1250</v>
      </c>
      <c r="E15" s="1470"/>
      <c r="F15" s="1471"/>
      <c r="G15" s="1762"/>
      <c r="H15" s="1472"/>
      <c r="I15" s="1473"/>
      <c r="J15" s="1474">
        <f>SUM(J13:J14)</f>
        <v>0</v>
      </c>
      <c r="K15" s="1475">
        <f t="shared" si="0"/>
        <v>0</v>
      </c>
      <c r="L15" s="1476"/>
    </row>
    <row r="16" spans="1:250" ht="22.5" customHeight="1" x14ac:dyDescent="0.3">
      <c r="A16" s="721">
        <v>7</v>
      </c>
      <c r="B16" s="734"/>
      <c r="C16" s="735">
        <v>2</v>
      </c>
      <c r="D16" s="1027" t="s">
        <v>718</v>
      </c>
      <c r="E16" s="736">
        <f>F16+G16+K20+L17</f>
        <v>310601</v>
      </c>
      <c r="F16" s="737">
        <v>127108</v>
      </c>
      <c r="G16" s="1760">
        <v>129978</v>
      </c>
      <c r="H16" s="976" t="s">
        <v>24</v>
      </c>
      <c r="I16" s="947"/>
      <c r="J16" s="747"/>
      <c r="K16" s="748"/>
      <c r="L16" s="738"/>
    </row>
    <row r="17" spans="1:16" s="1455" customFormat="1" ht="18" customHeight="1" x14ac:dyDescent="0.3">
      <c r="A17" s="721">
        <v>8</v>
      </c>
      <c r="B17" s="1445"/>
      <c r="C17" s="1446"/>
      <c r="D17" s="1447" t="s">
        <v>308</v>
      </c>
      <c r="E17" s="1448"/>
      <c r="F17" s="1449"/>
      <c r="G17" s="1763"/>
      <c r="H17" s="1450"/>
      <c r="I17" s="1451"/>
      <c r="J17" s="1963">
        <v>158122</v>
      </c>
      <c r="K17" s="1962">
        <f t="shared" ref="K17:K19" si="1">SUM(I17:J17)</f>
        <v>158122</v>
      </c>
      <c r="L17" s="1454"/>
    </row>
    <row r="18" spans="1:16" s="1455" customFormat="1" ht="18" customHeight="1" x14ac:dyDescent="0.3">
      <c r="A18" s="721">
        <v>9</v>
      </c>
      <c r="B18" s="1445"/>
      <c r="C18" s="1446"/>
      <c r="D18" s="1811" t="s">
        <v>1158</v>
      </c>
      <c r="E18" s="1448"/>
      <c r="F18" s="1449"/>
      <c r="G18" s="1763"/>
      <c r="H18" s="1450"/>
      <c r="I18" s="1451"/>
      <c r="J18" s="1770">
        <v>53515</v>
      </c>
      <c r="K18" s="1475">
        <f t="shared" si="1"/>
        <v>53515</v>
      </c>
      <c r="L18" s="1454"/>
    </row>
    <row r="19" spans="1:16" s="1466" customFormat="1" ht="18" customHeight="1" x14ac:dyDescent="0.3">
      <c r="A19" s="721">
        <v>10</v>
      </c>
      <c r="B19" s="1456"/>
      <c r="C19" s="1457"/>
      <c r="D19" s="1458" t="s">
        <v>969</v>
      </c>
      <c r="E19" s="1459"/>
      <c r="F19" s="1460"/>
      <c r="G19" s="1761"/>
      <c r="H19" s="1461"/>
      <c r="I19" s="1462"/>
      <c r="J19" s="1769"/>
      <c r="K19" s="1464">
        <f t="shared" si="1"/>
        <v>0</v>
      </c>
      <c r="L19" s="1465"/>
    </row>
    <row r="20" spans="1:16" s="1477" customFormat="1" ht="18" customHeight="1" x14ac:dyDescent="0.3">
      <c r="A20" s="721">
        <v>11</v>
      </c>
      <c r="B20" s="1467"/>
      <c r="C20" s="1468"/>
      <c r="D20" s="1469" t="s">
        <v>1250</v>
      </c>
      <c r="E20" s="1470"/>
      <c r="F20" s="1471"/>
      <c r="G20" s="1762"/>
      <c r="H20" s="1472"/>
      <c r="I20" s="1473"/>
      <c r="J20" s="1770">
        <f>SUM(J18:J19)</f>
        <v>53515</v>
      </c>
      <c r="K20" s="1475">
        <f>SUM(I20:J20)</f>
        <v>53515</v>
      </c>
      <c r="L20" s="1476"/>
    </row>
    <row r="21" spans="1:16" ht="22.5" customHeight="1" x14ac:dyDescent="0.3">
      <c r="A21" s="721">
        <v>12</v>
      </c>
      <c r="B21" s="734"/>
      <c r="C21" s="735">
        <v>3</v>
      </c>
      <c r="D21" s="1027" t="s">
        <v>719</v>
      </c>
      <c r="E21" s="736">
        <f>F21+G21+K25+L22</f>
        <v>50000</v>
      </c>
      <c r="F21" s="737"/>
      <c r="G21" s="1760">
        <v>450</v>
      </c>
      <c r="H21" s="976" t="s">
        <v>23</v>
      </c>
      <c r="I21" s="947"/>
      <c r="J21" s="747"/>
      <c r="K21" s="748"/>
      <c r="L21" s="738"/>
      <c r="M21" s="722"/>
      <c r="N21" s="722"/>
      <c r="O21" s="722"/>
      <c r="P21" s="722"/>
    </row>
    <row r="22" spans="1:16" s="1455" customFormat="1" ht="18" customHeight="1" x14ac:dyDescent="0.3">
      <c r="A22" s="721">
        <v>13</v>
      </c>
      <c r="B22" s="1445"/>
      <c r="C22" s="1446"/>
      <c r="D22" s="1447" t="s">
        <v>308</v>
      </c>
      <c r="E22" s="1448"/>
      <c r="F22" s="1449"/>
      <c r="G22" s="1763"/>
      <c r="H22" s="1450"/>
      <c r="I22" s="1451"/>
      <c r="J22" s="1452">
        <v>49550</v>
      </c>
      <c r="K22" s="1962">
        <f t="shared" si="0"/>
        <v>49550</v>
      </c>
      <c r="L22" s="1454"/>
    </row>
    <row r="23" spans="1:16" s="1455" customFormat="1" ht="18" customHeight="1" x14ac:dyDescent="0.3">
      <c r="A23" s="721">
        <v>14</v>
      </c>
      <c r="B23" s="1445"/>
      <c r="C23" s="1446"/>
      <c r="D23" s="1811" t="s">
        <v>1158</v>
      </c>
      <c r="E23" s="1448"/>
      <c r="F23" s="1449"/>
      <c r="G23" s="1763"/>
      <c r="H23" s="1450"/>
      <c r="I23" s="1451"/>
      <c r="J23" s="1474">
        <v>49550</v>
      </c>
      <c r="K23" s="1475">
        <v>49550</v>
      </c>
      <c r="L23" s="1454"/>
    </row>
    <row r="24" spans="1:16" s="1466" customFormat="1" ht="18" customHeight="1" x14ac:dyDescent="0.3">
      <c r="A24" s="721">
        <v>15</v>
      </c>
      <c r="B24" s="1456"/>
      <c r="C24" s="1457"/>
      <c r="D24" s="1458" t="s">
        <v>947</v>
      </c>
      <c r="E24" s="1459"/>
      <c r="F24" s="1460"/>
      <c r="G24" s="1761"/>
      <c r="H24" s="1461"/>
      <c r="I24" s="1462"/>
      <c r="J24" s="1463"/>
      <c r="K24" s="1464">
        <f t="shared" si="0"/>
        <v>0</v>
      </c>
      <c r="L24" s="1465"/>
    </row>
    <row r="25" spans="1:16" s="1477" customFormat="1" ht="18" customHeight="1" x14ac:dyDescent="0.3">
      <c r="A25" s="721">
        <v>16</v>
      </c>
      <c r="B25" s="1467"/>
      <c r="C25" s="1468"/>
      <c r="D25" s="1469" t="s">
        <v>1250</v>
      </c>
      <c r="E25" s="1470"/>
      <c r="F25" s="1471"/>
      <c r="G25" s="1762"/>
      <c r="H25" s="1472"/>
      <c r="I25" s="1473"/>
      <c r="J25" s="1474">
        <f>SUM(J23:J24)</f>
        <v>49550</v>
      </c>
      <c r="K25" s="1475">
        <f t="shared" si="0"/>
        <v>49550</v>
      </c>
      <c r="L25" s="1476"/>
    </row>
    <row r="26" spans="1:16" ht="22.5" customHeight="1" x14ac:dyDescent="0.3">
      <c r="A26" s="721">
        <v>17</v>
      </c>
      <c r="B26" s="734"/>
      <c r="C26" s="735">
        <v>4</v>
      </c>
      <c r="D26" s="1027" t="s">
        <v>588</v>
      </c>
      <c r="E26" s="736">
        <f>F26+G26+K30+L27</f>
        <v>11252</v>
      </c>
      <c r="F26" s="737">
        <v>9999</v>
      </c>
      <c r="G26" s="1760"/>
      <c r="H26" s="976" t="s">
        <v>24</v>
      </c>
      <c r="I26" s="947"/>
      <c r="J26" s="747"/>
      <c r="K26" s="748"/>
      <c r="L26" s="738"/>
    </row>
    <row r="27" spans="1:16" s="1455" customFormat="1" ht="18" customHeight="1" x14ac:dyDescent="0.3">
      <c r="A27" s="721">
        <v>18</v>
      </c>
      <c r="B27" s="1445"/>
      <c r="C27" s="1446"/>
      <c r="D27" s="1447" t="s">
        <v>308</v>
      </c>
      <c r="E27" s="1448"/>
      <c r="F27" s="1449"/>
      <c r="G27" s="1763"/>
      <c r="H27" s="1450"/>
      <c r="I27" s="1451"/>
      <c r="J27" s="1452">
        <v>1235</v>
      </c>
      <c r="K27" s="1962">
        <f t="shared" ref="K27:K30" si="2">SUM(I27:J27)</f>
        <v>1235</v>
      </c>
      <c r="L27" s="1454"/>
    </row>
    <row r="28" spans="1:16" s="1455" customFormat="1" ht="18" customHeight="1" x14ac:dyDescent="0.3">
      <c r="A28" s="721">
        <v>19</v>
      </c>
      <c r="B28" s="1445"/>
      <c r="C28" s="1446"/>
      <c r="D28" s="1811" t="s">
        <v>1158</v>
      </c>
      <c r="E28" s="1448"/>
      <c r="F28" s="1449"/>
      <c r="G28" s="1763"/>
      <c r="H28" s="1450"/>
      <c r="I28" s="1473">
        <v>18</v>
      </c>
      <c r="J28" s="1474">
        <v>1235</v>
      </c>
      <c r="K28" s="1475">
        <f t="shared" si="2"/>
        <v>1253</v>
      </c>
      <c r="L28" s="1454"/>
    </row>
    <row r="29" spans="1:16" s="1466" customFormat="1" ht="18" customHeight="1" x14ac:dyDescent="0.3">
      <c r="A29" s="721">
        <v>20</v>
      </c>
      <c r="B29" s="1456"/>
      <c r="C29" s="1457"/>
      <c r="D29" s="1458" t="s">
        <v>969</v>
      </c>
      <c r="E29" s="1459"/>
      <c r="F29" s="1460"/>
      <c r="G29" s="1761"/>
      <c r="H29" s="1461"/>
      <c r="I29" s="1462"/>
      <c r="J29" s="1463"/>
      <c r="K29" s="1464">
        <f t="shared" si="2"/>
        <v>0</v>
      </c>
      <c r="L29" s="1465"/>
    </row>
    <row r="30" spans="1:16" s="1477" customFormat="1" ht="18" customHeight="1" x14ac:dyDescent="0.3">
      <c r="A30" s="721">
        <v>21</v>
      </c>
      <c r="B30" s="1467"/>
      <c r="C30" s="1468"/>
      <c r="D30" s="1469" t="s">
        <v>1250</v>
      </c>
      <c r="E30" s="1470"/>
      <c r="F30" s="1471"/>
      <c r="G30" s="1762"/>
      <c r="H30" s="1472"/>
      <c r="I30" s="1473">
        <f>SUM(I28:I29)</f>
        <v>18</v>
      </c>
      <c r="J30" s="1474">
        <f>SUM(J28:J29)</f>
        <v>1235</v>
      </c>
      <c r="K30" s="1475">
        <f t="shared" si="2"/>
        <v>1253</v>
      </c>
      <c r="L30" s="1476"/>
    </row>
    <row r="31" spans="1:16" ht="22.5" customHeight="1" x14ac:dyDescent="0.3">
      <c r="A31" s="721">
        <v>22</v>
      </c>
      <c r="B31" s="734"/>
      <c r="C31" s="735">
        <v>5</v>
      </c>
      <c r="D31" s="1027" t="s">
        <v>586</v>
      </c>
      <c r="E31" s="736">
        <f>F31+G31+K35+L32</f>
        <v>3085</v>
      </c>
      <c r="F31" s="737">
        <v>2350</v>
      </c>
      <c r="G31" s="1760">
        <v>735</v>
      </c>
      <c r="H31" s="976" t="s">
        <v>24</v>
      </c>
      <c r="I31" s="947"/>
      <c r="J31" s="747"/>
      <c r="K31" s="748"/>
      <c r="L31" s="738"/>
    </row>
    <row r="32" spans="1:16" s="1455" customFormat="1" ht="18" customHeight="1" x14ac:dyDescent="0.3">
      <c r="A32" s="721">
        <v>23</v>
      </c>
      <c r="B32" s="1445"/>
      <c r="C32" s="1446"/>
      <c r="D32" s="1447" t="s">
        <v>308</v>
      </c>
      <c r="E32" s="1448"/>
      <c r="F32" s="1449"/>
      <c r="G32" s="1763"/>
      <c r="H32" s="1450"/>
      <c r="I32" s="1451"/>
      <c r="J32" s="1452">
        <v>95</v>
      </c>
      <c r="K32" s="1962">
        <f t="shared" si="0"/>
        <v>95</v>
      </c>
      <c r="L32" s="1454"/>
    </row>
    <row r="33" spans="1:12" s="1455" customFormat="1" ht="18" customHeight="1" x14ac:dyDescent="0.3">
      <c r="A33" s="721">
        <v>24</v>
      </c>
      <c r="B33" s="1445"/>
      <c r="C33" s="1446"/>
      <c r="D33" s="1811" t="s">
        <v>1158</v>
      </c>
      <c r="E33" s="1448"/>
      <c r="F33" s="1449"/>
      <c r="G33" s="1763"/>
      <c r="H33" s="1450"/>
      <c r="I33" s="1451"/>
      <c r="J33" s="1474">
        <v>0</v>
      </c>
      <c r="K33" s="1475">
        <f t="shared" si="0"/>
        <v>0</v>
      </c>
      <c r="L33" s="1454"/>
    </row>
    <row r="34" spans="1:12" s="1466" customFormat="1" ht="18" customHeight="1" x14ac:dyDescent="0.3">
      <c r="A34" s="721">
        <v>25</v>
      </c>
      <c r="B34" s="1456"/>
      <c r="C34" s="1457"/>
      <c r="D34" s="1458" t="s">
        <v>969</v>
      </c>
      <c r="E34" s="1459"/>
      <c r="F34" s="1460"/>
      <c r="G34" s="1761"/>
      <c r="H34" s="1461"/>
      <c r="I34" s="1462"/>
      <c r="J34" s="1463"/>
      <c r="K34" s="1464"/>
      <c r="L34" s="1465"/>
    </row>
    <row r="35" spans="1:12" s="1477" customFormat="1" ht="18" customHeight="1" x14ac:dyDescent="0.3">
      <c r="A35" s="721">
        <v>26</v>
      </c>
      <c r="B35" s="1467"/>
      <c r="C35" s="1468"/>
      <c r="D35" s="1469" t="s">
        <v>1250</v>
      </c>
      <c r="E35" s="1470"/>
      <c r="F35" s="1471"/>
      <c r="G35" s="1762"/>
      <c r="H35" s="1472"/>
      <c r="I35" s="1473"/>
      <c r="J35" s="1474">
        <f>SUM(J33:J34)</f>
        <v>0</v>
      </c>
      <c r="K35" s="1475">
        <f t="shared" si="0"/>
        <v>0</v>
      </c>
      <c r="L35" s="1476"/>
    </row>
    <row r="36" spans="1:12" ht="22.5" customHeight="1" x14ac:dyDescent="0.3">
      <c r="A36" s="721">
        <v>27</v>
      </c>
      <c r="B36" s="734"/>
      <c r="C36" s="735">
        <v>6</v>
      </c>
      <c r="D36" s="1027" t="s">
        <v>700</v>
      </c>
      <c r="E36" s="736">
        <f>F36+G36+K40+L37</f>
        <v>28500</v>
      </c>
      <c r="F36" s="736"/>
      <c r="G36" s="1760">
        <v>20000</v>
      </c>
      <c r="H36" s="976" t="s">
        <v>24</v>
      </c>
      <c r="I36" s="948"/>
      <c r="J36" s="736"/>
      <c r="K36" s="749"/>
      <c r="L36" s="738"/>
    </row>
    <row r="37" spans="1:12" s="1455" customFormat="1" ht="18" customHeight="1" x14ac:dyDescent="0.3">
      <c r="A37" s="721">
        <v>28</v>
      </c>
      <c r="B37" s="1445"/>
      <c r="C37" s="1446"/>
      <c r="D37" s="1447" t="s">
        <v>308</v>
      </c>
      <c r="E37" s="1448"/>
      <c r="F37" s="1449"/>
      <c r="G37" s="1763"/>
      <c r="H37" s="1450"/>
      <c r="I37" s="1451"/>
      <c r="J37" s="1452">
        <v>8500</v>
      </c>
      <c r="K37" s="1962">
        <f t="shared" ref="K37:K40" si="3">SUM(I37:J37)</f>
        <v>8500</v>
      </c>
      <c r="L37" s="1454"/>
    </row>
    <row r="38" spans="1:12" s="1455" customFormat="1" ht="18" customHeight="1" x14ac:dyDescent="0.3">
      <c r="A38" s="721">
        <v>29</v>
      </c>
      <c r="B38" s="1445"/>
      <c r="C38" s="1446"/>
      <c r="D38" s="1811" t="s">
        <v>1158</v>
      </c>
      <c r="E38" s="1448"/>
      <c r="F38" s="1449"/>
      <c r="G38" s="1763"/>
      <c r="H38" s="1450"/>
      <c r="I38" s="1451"/>
      <c r="J38" s="1474">
        <v>8500</v>
      </c>
      <c r="K38" s="1475">
        <f t="shared" si="3"/>
        <v>8500</v>
      </c>
      <c r="L38" s="1454"/>
    </row>
    <row r="39" spans="1:12" s="1466" customFormat="1" ht="18" customHeight="1" x14ac:dyDescent="0.3">
      <c r="A39" s="721">
        <v>30</v>
      </c>
      <c r="B39" s="1456"/>
      <c r="C39" s="1457"/>
      <c r="D39" s="1458" t="s">
        <v>947</v>
      </c>
      <c r="E39" s="1459"/>
      <c r="F39" s="1460"/>
      <c r="G39" s="1761"/>
      <c r="H39" s="1461"/>
      <c r="I39" s="1462"/>
      <c r="J39" s="1463"/>
      <c r="K39" s="1464">
        <f t="shared" si="3"/>
        <v>0</v>
      </c>
      <c r="L39" s="1465"/>
    </row>
    <row r="40" spans="1:12" s="1477" customFormat="1" ht="18" customHeight="1" x14ac:dyDescent="0.3">
      <c r="A40" s="721">
        <v>31</v>
      </c>
      <c r="B40" s="1467"/>
      <c r="C40" s="1468"/>
      <c r="D40" s="1469" t="s">
        <v>1250</v>
      </c>
      <c r="E40" s="1470"/>
      <c r="F40" s="1471"/>
      <c r="G40" s="1762"/>
      <c r="H40" s="1472"/>
      <c r="I40" s="1473"/>
      <c r="J40" s="1474">
        <f>SUM(J38:J39)</f>
        <v>8500</v>
      </c>
      <c r="K40" s="1475">
        <f t="shared" si="3"/>
        <v>8500</v>
      </c>
      <c r="L40" s="1476"/>
    </row>
    <row r="41" spans="1:12" ht="22.5" customHeight="1" x14ac:dyDescent="0.3">
      <c r="A41" s="721">
        <v>32</v>
      </c>
      <c r="B41" s="734"/>
      <c r="C41" s="735">
        <v>7</v>
      </c>
      <c r="D41" s="1027" t="s">
        <v>720</v>
      </c>
      <c r="E41" s="736">
        <f>F41+G41+K45+L42</f>
        <v>77497</v>
      </c>
      <c r="F41" s="736">
        <v>330</v>
      </c>
      <c r="G41" s="1760">
        <v>77167</v>
      </c>
      <c r="H41" s="976" t="s">
        <v>24</v>
      </c>
      <c r="I41" s="948"/>
      <c r="J41" s="736"/>
      <c r="K41" s="749"/>
      <c r="L41" s="738"/>
    </row>
    <row r="42" spans="1:12" s="1455" customFormat="1" ht="18" customHeight="1" x14ac:dyDescent="0.3">
      <c r="A42" s="721">
        <v>33</v>
      </c>
      <c r="B42" s="1445"/>
      <c r="C42" s="1446"/>
      <c r="D42" s="1447" t="s">
        <v>308</v>
      </c>
      <c r="E42" s="1448"/>
      <c r="F42" s="1449"/>
      <c r="G42" s="1763"/>
      <c r="H42" s="1450"/>
      <c r="I42" s="1451"/>
      <c r="J42" s="1452">
        <v>25503</v>
      </c>
      <c r="K42" s="1962">
        <f t="shared" si="0"/>
        <v>25503</v>
      </c>
      <c r="L42" s="1454"/>
    </row>
    <row r="43" spans="1:12" s="1455" customFormat="1" ht="18" customHeight="1" x14ac:dyDescent="0.3">
      <c r="A43" s="721">
        <v>34</v>
      </c>
      <c r="B43" s="1445"/>
      <c r="C43" s="1446"/>
      <c r="D43" s="1811" t="s">
        <v>1158</v>
      </c>
      <c r="E43" s="1448"/>
      <c r="F43" s="1449"/>
      <c r="G43" s="1763"/>
      <c r="H43" s="1450"/>
      <c r="I43" s="1451"/>
      <c r="J43" s="1474">
        <v>0</v>
      </c>
      <c r="K43" s="1475">
        <f t="shared" si="0"/>
        <v>0</v>
      </c>
      <c r="L43" s="1454"/>
    </row>
    <row r="44" spans="1:12" s="1466" customFormat="1" ht="18" customHeight="1" x14ac:dyDescent="0.3">
      <c r="A44" s="721">
        <v>35</v>
      </c>
      <c r="B44" s="1456"/>
      <c r="C44" s="1457"/>
      <c r="D44" s="1458" t="s">
        <v>970</v>
      </c>
      <c r="E44" s="1459"/>
      <c r="F44" s="1460"/>
      <c r="G44" s="1761"/>
      <c r="H44" s="1461"/>
      <c r="I44" s="1462"/>
      <c r="J44" s="1463"/>
      <c r="K44" s="1464">
        <f t="shared" ref="K44" si="4">SUM(I44:J44)</f>
        <v>0</v>
      </c>
      <c r="L44" s="1465"/>
    </row>
    <row r="45" spans="1:12" s="1477" customFormat="1" ht="18" customHeight="1" x14ac:dyDescent="0.3">
      <c r="A45" s="721">
        <v>36</v>
      </c>
      <c r="B45" s="1467"/>
      <c r="C45" s="1468"/>
      <c r="D45" s="1469" t="s">
        <v>1250</v>
      </c>
      <c r="E45" s="1470"/>
      <c r="F45" s="1471"/>
      <c r="G45" s="1762"/>
      <c r="H45" s="1472"/>
      <c r="I45" s="1473"/>
      <c r="J45" s="1474">
        <f>SUM(J43:J44)</f>
        <v>0</v>
      </c>
      <c r="K45" s="1475">
        <f t="shared" si="0"/>
        <v>0</v>
      </c>
      <c r="L45" s="1476"/>
    </row>
    <row r="46" spans="1:12" ht="22.5" customHeight="1" x14ac:dyDescent="0.3">
      <c r="A46" s="721">
        <v>37</v>
      </c>
      <c r="B46" s="734"/>
      <c r="C46" s="735">
        <v>8</v>
      </c>
      <c r="D46" s="1027" t="s">
        <v>313</v>
      </c>
      <c r="E46" s="736">
        <f>F46+G46+K50+L47</f>
        <v>6728</v>
      </c>
      <c r="F46" s="736"/>
      <c r="G46" s="1760">
        <v>6728</v>
      </c>
      <c r="H46" s="976" t="s">
        <v>23</v>
      </c>
      <c r="I46" s="948"/>
      <c r="J46" s="736"/>
      <c r="K46" s="749"/>
      <c r="L46" s="738"/>
    </row>
    <row r="47" spans="1:12" s="1455" customFormat="1" ht="18" customHeight="1" x14ac:dyDescent="0.3">
      <c r="A47" s="721">
        <v>38</v>
      </c>
      <c r="B47" s="1445"/>
      <c r="C47" s="1446"/>
      <c r="D47" s="1447" t="s">
        <v>308</v>
      </c>
      <c r="E47" s="1448"/>
      <c r="F47" s="1449"/>
      <c r="G47" s="1763"/>
      <c r="H47" s="1450"/>
      <c r="I47" s="1812">
        <v>300</v>
      </c>
      <c r="J47" s="1452">
        <v>25372</v>
      </c>
      <c r="K47" s="1962">
        <f t="shared" ref="K47:K50" si="5">SUM(I47:J47)</f>
        <v>25672</v>
      </c>
      <c r="L47" s="1454"/>
    </row>
    <row r="48" spans="1:12" s="1455" customFormat="1" ht="18" customHeight="1" x14ac:dyDescent="0.3">
      <c r="A48" s="721">
        <v>39</v>
      </c>
      <c r="B48" s="1445"/>
      <c r="C48" s="1446"/>
      <c r="D48" s="1811" t="s">
        <v>1158</v>
      </c>
      <c r="E48" s="1448"/>
      <c r="F48" s="1449"/>
      <c r="G48" s="1763"/>
      <c r="H48" s="1450"/>
      <c r="I48" s="1473">
        <v>0</v>
      </c>
      <c r="J48" s="1474">
        <v>0</v>
      </c>
      <c r="K48" s="1475">
        <f t="shared" si="5"/>
        <v>0</v>
      </c>
      <c r="L48" s="1454"/>
    </row>
    <row r="49" spans="1:14" s="1466" customFormat="1" ht="18" customHeight="1" x14ac:dyDescent="0.3">
      <c r="A49" s="721">
        <v>40</v>
      </c>
      <c r="B49" s="1456"/>
      <c r="C49" s="1457"/>
      <c r="D49" s="1458" t="s">
        <v>969</v>
      </c>
      <c r="E49" s="1459"/>
      <c r="F49" s="1460"/>
      <c r="G49" s="1761"/>
      <c r="H49" s="1461"/>
      <c r="I49" s="1462"/>
      <c r="J49" s="1463"/>
      <c r="K49" s="1464">
        <f t="shared" si="5"/>
        <v>0</v>
      </c>
      <c r="L49" s="1465"/>
    </row>
    <row r="50" spans="1:14" s="1477" customFormat="1" ht="18" customHeight="1" x14ac:dyDescent="0.3">
      <c r="A50" s="721">
        <v>41</v>
      </c>
      <c r="B50" s="1467"/>
      <c r="C50" s="1468"/>
      <c r="D50" s="1469" t="s">
        <v>1250</v>
      </c>
      <c r="E50" s="1470"/>
      <c r="F50" s="1471"/>
      <c r="G50" s="1762"/>
      <c r="H50" s="1472"/>
      <c r="I50" s="1473">
        <f>SUM(I48:I49)</f>
        <v>0</v>
      </c>
      <c r="J50" s="1473">
        <f>SUM(J48:J49)</f>
        <v>0</v>
      </c>
      <c r="K50" s="1475">
        <f t="shared" si="5"/>
        <v>0</v>
      </c>
      <c r="L50" s="1476"/>
    </row>
    <row r="51" spans="1:14" ht="22.5" customHeight="1" x14ac:dyDescent="0.35">
      <c r="A51" s="721">
        <v>42</v>
      </c>
      <c r="B51" s="734"/>
      <c r="C51" s="739"/>
      <c r="D51" s="1028" t="s">
        <v>311</v>
      </c>
      <c r="E51" s="736"/>
      <c r="F51" s="737"/>
      <c r="G51" s="1760"/>
      <c r="H51" s="976" t="s">
        <v>23</v>
      </c>
      <c r="I51" s="947"/>
      <c r="J51" s="747"/>
      <c r="K51" s="748"/>
      <c r="L51" s="738"/>
    </row>
    <row r="52" spans="1:14" ht="22.5" customHeight="1" x14ac:dyDescent="0.3">
      <c r="A52" s="721">
        <v>43</v>
      </c>
      <c r="B52" s="734"/>
      <c r="C52" s="735">
        <v>9</v>
      </c>
      <c r="D52" s="1029" t="s">
        <v>721</v>
      </c>
      <c r="E52" s="736">
        <f>F52+G52+K56+L53</f>
        <v>6929</v>
      </c>
      <c r="F52" s="737"/>
      <c r="G52" s="1760">
        <v>6789</v>
      </c>
      <c r="H52" s="976"/>
      <c r="I52" s="947"/>
      <c r="J52" s="747"/>
      <c r="K52" s="748"/>
      <c r="L52" s="738"/>
      <c r="M52" s="722"/>
    </row>
    <row r="53" spans="1:14" s="1455" customFormat="1" ht="18" customHeight="1" x14ac:dyDescent="0.3">
      <c r="A53" s="721">
        <v>44</v>
      </c>
      <c r="B53" s="1445"/>
      <c r="C53" s="1446"/>
      <c r="D53" s="1478" t="s">
        <v>308</v>
      </c>
      <c r="E53" s="1448"/>
      <c r="F53" s="1449"/>
      <c r="G53" s="1763"/>
      <c r="H53" s="1450"/>
      <c r="I53" s="1451"/>
      <c r="J53" s="1452">
        <v>211</v>
      </c>
      <c r="K53" s="1453">
        <f t="shared" si="0"/>
        <v>211</v>
      </c>
      <c r="L53" s="1454"/>
    </row>
    <row r="54" spans="1:14" s="1455" customFormat="1" ht="18" customHeight="1" x14ac:dyDescent="0.3">
      <c r="A54" s="721">
        <v>45</v>
      </c>
      <c r="B54" s="1445"/>
      <c r="C54" s="1446"/>
      <c r="D54" s="1480" t="s">
        <v>1158</v>
      </c>
      <c r="E54" s="1448"/>
      <c r="F54" s="1449"/>
      <c r="G54" s="1763"/>
      <c r="H54" s="1450"/>
      <c r="I54" s="1451"/>
      <c r="J54" s="1474">
        <v>140</v>
      </c>
      <c r="K54" s="1475">
        <f t="shared" si="0"/>
        <v>140</v>
      </c>
      <c r="L54" s="1454"/>
    </row>
    <row r="55" spans="1:14" s="1466" customFormat="1" ht="18" customHeight="1" x14ac:dyDescent="0.3">
      <c r="A55" s="721">
        <v>46</v>
      </c>
      <c r="B55" s="1456"/>
      <c r="C55" s="1457"/>
      <c r="D55" s="1479" t="s">
        <v>969</v>
      </c>
      <c r="E55" s="1459"/>
      <c r="F55" s="1460"/>
      <c r="G55" s="1761"/>
      <c r="H55" s="1461"/>
      <c r="I55" s="1462"/>
      <c r="J55" s="1463"/>
      <c r="K55" s="1464">
        <f t="shared" si="0"/>
        <v>0</v>
      </c>
      <c r="L55" s="1465"/>
    </row>
    <row r="56" spans="1:14" s="1477" customFormat="1" ht="18" customHeight="1" x14ac:dyDescent="0.3">
      <c r="A56" s="721">
        <v>47</v>
      </c>
      <c r="B56" s="1467"/>
      <c r="C56" s="1468"/>
      <c r="D56" s="1480" t="s">
        <v>1250</v>
      </c>
      <c r="E56" s="1470"/>
      <c r="F56" s="1471"/>
      <c r="G56" s="1762"/>
      <c r="H56" s="1472"/>
      <c r="I56" s="1473"/>
      <c r="J56" s="1474">
        <f>SUM(J54:J55)</f>
        <v>140</v>
      </c>
      <c r="K56" s="1475">
        <f t="shared" si="0"/>
        <v>140</v>
      </c>
      <c r="L56" s="1476"/>
    </row>
    <row r="57" spans="1:14" ht="22.5" customHeight="1" x14ac:dyDescent="0.35">
      <c r="A57" s="721">
        <v>48</v>
      </c>
      <c r="B57" s="734"/>
      <c r="C57" s="739"/>
      <c r="D57" s="1030" t="s">
        <v>310</v>
      </c>
      <c r="E57" s="736"/>
      <c r="F57" s="737"/>
      <c r="G57" s="1760"/>
      <c r="H57" s="976" t="s">
        <v>23</v>
      </c>
      <c r="I57" s="947"/>
      <c r="J57" s="747"/>
      <c r="K57" s="748"/>
      <c r="L57" s="738"/>
    </row>
    <row r="58" spans="1:14" ht="22.5" customHeight="1" x14ac:dyDescent="0.3">
      <c r="A58" s="721">
        <v>49</v>
      </c>
      <c r="B58" s="734"/>
      <c r="C58" s="735">
        <v>10</v>
      </c>
      <c r="D58" s="1029" t="s">
        <v>722</v>
      </c>
      <c r="E58" s="736">
        <f>F58+G58+K62+L59</f>
        <v>6265</v>
      </c>
      <c r="F58" s="737"/>
      <c r="G58" s="1760"/>
      <c r="H58" s="976"/>
      <c r="I58" s="947"/>
      <c r="J58" s="747"/>
      <c r="K58" s="748"/>
      <c r="L58" s="738"/>
    </row>
    <row r="59" spans="1:14" s="1455" customFormat="1" ht="18" customHeight="1" x14ac:dyDescent="0.3">
      <c r="A59" s="721">
        <v>50</v>
      </c>
      <c r="B59" s="1445"/>
      <c r="C59" s="1446"/>
      <c r="D59" s="1478" t="s">
        <v>308</v>
      </c>
      <c r="E59" s="1448"/>
      <c r="F59" s="1449"/>
      <c r="G59" s="1763"/>
      <c r="H59" s="1450"/>
      <c r="I59" s="1451"/>
      <c r="J59" s="1452">
        <v>6300</v>
      </c>
      <c r="K59" s="1962">
        <f t="shared" ref="K59:K62" si="6">SUM(I59:J59)</f>
        <v>6300</v>
      </c>
      <c r="L59" s="1454"/>
    </row>
    <row r="60" spans="1:14" s="1455" customFormat="1" ht="18" customHeight="1" x14ac:dyDescent="0.3">
      <c r="A60" s="721">
        <v>51</v>
      </c>
      <c r="B60" s="1445"/>
      <c r="C60" s="1446"/>
      <c r="D60" s="1480" t="s">
        <v>1158</v>
      </c>
      <c r="E60" s="1448"/>
      <c r="F60" s="1449"/>
      <c r="G60" s="1763"/>
      <c r="H60" s="1450"/>
      <c r="I60" s="1451"/>
      <c r="J60" s="1474">
        <v>6265</v>
      </c>
      <c r="K60" s="1475">
        <f t="shared" si="6"/>
        <v>6265</v>
      </c>
      <c r="L60" s="1454"/>
    </row>
    <row r="61" spans="1:14" s="1466" customFormat="1" ht="18" customHeight="1" x14ac:dyDescent="0.3">
      <c r="A61" s="721">
        <v>52</v>
      </c>
      <c r="B61" s="1456"/>
      <c r="C61" s="1457"/>
      <c r="D61" s="1479" t="s">
        <v>969</v>
      </c>
      <c r="E61" s="1459"/>
      <c r="F61" s="1460"/>
      <c r="G61" s="1761"/>
      <c r="H61" s="1461"/>
      <c r="I61" s="1462"/>
      <c r="J61" s="1463"/>
      <c r="K61" s="1464">
        <f t="shared" si="6"/>
        <v>0</v>
      </c>
      <c r="L61" s="1465"/>
    </row>
    <row r="62" spans="1:14" s="1477" customFormat="1" ht="18" customHeight="1" x14ac:dyDescent="0.3">
      <c r="A62" s="721">
        <v>53</v>
      </c>
      <c r="B62" s="1467"/>
      <c r="C62" s="1468"/>
      <c r="D62" s="1480" t="s">
        <v>1250</v>
      </c>
      <c r="E62" s="1470"/>
      <c r="F62" s="1471"/>
      <c r="G62" s="1762"/>
      <c r="H62" s="1472"/>
      <c r="I62" s="1473"/>
      <c r="J62" s="1474">
        <f>SUM(J60:J61)</f>
        <v>6265</v>
      </c>
      <c r="K62" s="1475">
        <f t="shared" si="6"/>
        <v>6265</v>
      </c>
      <c r="L62" s="1476"/>
    </row>
    <row r="63" spans="1:14" ht="22.5" customHeight="1" x14ac:dyDescent="0.3">
      <c r="A63" s="721">
        <v>54</v>
      </c>
      <c r="B63" s="734"/>
      <c r="C63" s="735"/>
      <c r="D63" s="1031" t="s">
        <v>467</v>
      </c>
      <c r="E63" s="736"/>
      <c r="F63" s="737"/>
      <c r="G63" s="1760"/>
      <c r="H63" s="976"/>
      <c r="I63" s="947"/>
      <c r="J63" s="747"/>
      <c r="K63" s="748"/>
      <c r="L63" s="738"/>
    </row>
    <row r="64" spans="1:14" ht="22.5" customHeight="1" x14ac:dyDescent="0.3">
      <c r="A64" s="721">
        <v>55</v>
      </c>
      <c r="B64" s="734"/>
      <c r="C64" s="735">
        <v>11</v>
      </c>
      <c r="D64" s="1055" t="s">
        <v>723</v>
      </c>
      <c r="E64" s="736">
        <f>F64+G64+K68+L65</f>
        <v>9226</v>
      </c>
      <c r="F64" s="737"/>
      <c r="G64" s="1760">
        <v>7268</v>
      </c>
      <c r="H64" s="976"/>
      <c r="I64" s="947"/>
      <c r="J64" s="747"/>
      <c r="K64" s="748"/>
      <c r="L64" s="738"/>
      <c r="M64" s="722"/>
      <c r="N64" s="722"/>
    </row>
    <row r="65" spans="1:14" s="1455" customFormat="1" ht="18" customHeight="1" x14ac:dyDescent="0.3">
      <c r="A65" s="721">
        <v>56</v>
      </c>
      <c r="B65" s="1445"/>
      <c r="C65" s="1446"/>
      <c r="D65" s="1478" t="s">
        <v>308</v>
      </c>
      <c r="E65" s="1448"/>
      <c r="F65" s="1449"/>
      <c r="G65" s="1763"/>
      <c r="H65" s="1450"/>
      <c r="I65" s="1451"/>
      <c r="J65" s="1452">
        <v>2232</v>
      </c>
      <c r="K65" s="1962">
        <f t="shared" si="0"/>
        <v>2232</v>
      </c>
      <c r="L65" s="1454"/>
    </row>
    <row r="66" spans="1:14" s="1455" customFormat="1" ht="18" customHeight="1" x14ac:dyDescent="0.3">
      <c r="A66" s="721">
        <v>57</v>
      </c>
      <c r="B66" s="1445"/>
      <c r="C66" s="1446"/>
      <c r="D66" s="1480" t="s">
        <v>1158</v>
      </c>
      <c r="E66" s="1448"/>
      <c r="F66" s="1449"/>
      <c r="G66" s="1763"/>
      <c r="H66" s="1450"/>
      <c r="I66" s="1451"/>
      <c r="J66" s="1474">
        <v>1958</v>
      </c>
      <c r="K66" s="1475">
        <f t="shared" si="0"/>
        <v>1958</v>
      </c>
      <c r="L66" s="1454"/>
    </row>
    <row r="67" spans="1:14" s="1466" customFormat="1" ht="18" customHeight="1" x14ac:dyDescent="0.3">
      <c r="A67" s="721">
        <v>58</v>
      </c>
      <c r="B67" s="1456"/>
      <c r="C67" s="1457"/>
      <c r="D67" s="1479" t="s">
        <v>947</v>
      </c>
      <c r="E67" s="1459"/>
      <c r="F67" s="1460"/>
      <c r="G67" s="1761"/>
      <c r="H67" s="1461"/>
      <c r="I67" s="1462"/>
      <c r="J67" s="1463"/>
      <c r="K67" s="1464">
        <f t="shared" si="0"/>
        <v>0</v>
      </c>
      <c r="L67" s="1465"/>
    </row>
    <row r="68" spans="1:14" s="1477" customFormat="1" ht="18" customHeight="1" x14ac:dyDescent="0.3">
      <c r="A68" s="721">
        <v>59</v>
      </c>
      <c r="B68" s="1467"/>
      <c r="C68" s="1468"/>
      <c r="D68" s="1480" t="s">
        <v>1250</v>
      </c>
      <c r="E68" s="1470"/>
      <c r="F68" s="1471"/>
      <c r="G68" s="1762"/>
      <c r="H68" s="1472"/>
      <c r="I68" s="1473"/>
      <c r="J68" s="1474">
        <f>SUM(J66:J67)</f>
        <v>1958</v>
      </c>
      <c r="K68" s="1475">
        <f t="shared" si="0"/>
        <v>1958</v>
      </c>
      <c r="L68" s="1476"/>
    </row>
    <row r="69" spans="1:14" ht="22.5" customHeight="1" x14ac:dyDescent="0.35">
      <c r="A69" s="721">
        <v>60</v>
      </c>
      <c r="B69" s="734"/>
      <c r="C69" s="739"/>
      <c r="D69" s="1030" t="s">
        <v>265</v>
      </c>
      <c r="E69" s="736"/>
      <c r="F69" s="737"/>
      <c r="G69" s="1760"/>
      <c r="H69" s="976" t="s">
        <v>23</v>
      </c>
      <c r="I69" s="947"/>
      <c r="J69" s="747"/>
      <c r="K69" s="748"/>
      <c r="L69" s="738"/>
      <c r="M69" s="740"/>
      <c r="N69" s="722"/>
    </row>
    <row r="70" spans="1:14" ht="22.5" customHeight="1" x14ac:dyDescent="0.3">
      <c r="A70" s="721">
        <v>61</v>
      </c>
      <c r="B70" s="734"/>
      <c r="C70" s="735"/>
      <c r="D70" s="1031" t="s">
        <v>724</v>
      </c>
      <c r="E70" s="736"/>
      <c r="F70" s="737"/>
      <c r="G70" s="1760"/>
      <c r="H70" s="976"/>
      <c r="I70" s="947"/>
      <c r="J70" s="747"/>
      <c r="K70" s="748"/>
      <c r="L70" s="738"/>
      <c r="M70" s="740"/>
      <c r="N70" s="722"/>
    </row>
    <row r="71" spans="1:14" ht="22.5" customHeight="1" x14ac:dyDescent="0.3">
      <c r="A71" s="721">
        <v>62</v>
      </c>
      <c r="B71" s="734"/>
      <c r="C71" s="735">
        <v>12</v>
      </c>
      <c r="D71" s="1029" t="s">
        <v>725</v>
      </c>
      <c r="E71" s="736">
        <f>F71+G71+K75+L72</f>
        <v>3476</v>
      </c>
      <c r="F71" s="737"/>
      <c r="G71" s="1760"/>
      <c r="H71" s="976"/>
      <c r="I71" s="947"/>
      <c r="J71" s="747"/>
      <c r="K71" s="748"/>
      <c r="L71" s="738"/>
    </row>
    <row r="72" spans="1:14" s="1455" customFormat="1" ht="18" customHeight="1" x14ac:dyDescent="0.3">
      <c r="A72" s="721">
        <v>63</v>
      </c>
      <c r="B72" s="1445"/>
      <c r="C72" s="1446"/>
      <c r="D72" s="1478" t="s">
        <v>308</v>
      </c>
      <c r="E72" s="1448"/>
      <c r="F72" s="1449"/>
      <c r="G72" s="1763"/>
      <c r="H72" s="1450"/>
      <c r="I72" s="1451"/>
      <c r="J72" s="1452">
        <v>3500</v>
      </c>
      <c r="K72" s="1962">
        <f t="shared" ref="K72:K75" si="7">SUM(I72:J72)</f>
        <v>3500</v>
      </c>
      <c r="L72" s="1454"/>
    </row>
    <row r="73" spans="1:14" s="1455" customFormat="1" ht="18" customHeight="1" x14ac:dyDescent="0.3">
      <c r="A73" s="721">
        <v>64</v>
      </c>
      <c r="B73" s="1445"/>
      <c r="C73" s="1446"/>
      <c r="D73" s="1480" t="s">
        <v>1158</v>
      </c>
      <c r="E73" s="1448"/>
      <c r="F73" s="1449"/>
      <c r="G73" s="1763"/>
      <c r="H73" s="1450"/>
      <c r="I73" s="1451"/>
      <c r="J73" s="1474">
        <v>3476</v>
      </c>
      <c r="K73" s="1475">
        <f t="shared" si="7"/>
        <v>3476</v>
      </c>
      <c r="L73" s="1454"/>
    </row>
    <row r="74" spans="1:14" s="1466" customFormat="1" ht="18" customHeight="1" x14ac:dyDescent="0.3">
      <c r="A74" s="721">
        <v>65</v>
      </c>
      <c r="B74" s="1456"/>
      <c r="C74" s="1457"/>
      <c r="D74" s="1479" t="s">
        <v>969</v>
      </c>
      <c r="E74" s="1459"/>
      <c r="F74" s="1460"/>
      <c r="G74" s="1761"/>
      <c r="H74" s="1461"/>
      <c r="I74" s="1462"/>
      <c r="J74" s="1463"/>
      <c r="K74" s="1464">
        <f t="shared" si="7"/>
        <v>0</v>
      </c>
      <c r="L74" s="1465"/>
    </row>
    <row r="75" spans="1:14" s="1477" customFormat="1" ht="18" customHeight="1" x14ac:dyDescent="0.3">
      <c r="A75" s="721">
        <v>66</v>
      </c>
      <c r="B75" s="1467"/>
      <c r="C75" s="1468"/>
      <c r="D75" s="1480" t="s">
        <v>1250</v>
      </c>
      <c r="E75" s="1470"/>
      <c r="F75" s="1471"/>
      <c r="G75" s="1762"/>
      <c r="H75" s="1472"/>
      <c r="I75" s="1473"/>
      <c r="J75" s="1474">
        <f>SUM(J73:J74)</f>
        <v>3476</v>
      </c>
      <c r="K75" s="1475">
        <f t="shared" si="7"/>
        <v>3476</v>
      </c>
      <c r="L75" s="1476"/>
    </row>
    <row r="76" spans="1:14" ht="22.5" customHeight="1" x14ac:dyDescent="0.3">
      <c r="A76" s="721">
        <v>67</v>
      </c>
      <c r="B76" s="734"/>
      <c r="C76" s="739"/>
      <c r="D76" s="1031" t="s">
        <v>726</v>
      </c>
      <c r="E76" s="736"/>
      <c r="F76" s="737"/>
      <c r="G76" s="1760"/>
      <c r="H76" s="976"/>
      <c r="I76" s="947"/>
      <c r="J76" s="747"/>
      <c r="K76" s="748"/>
      <c r="L76" s="738"/>
    </row>
    <row r="77" spans="1:14" ht="22.5" customHeight="1" x14ac:dyDescent="0.3">
      <c r="A77" s="721">
        <v>68</v>
      </c>
      <c r="B77" s="734"/>
      <c r="C77" s="735">
        <v>13</v>
      </c>
      <c r="D77" s="1029" t="s">
        <v>725</v>
      </c>
      <c r="E77" s="736">
        <f>F77+G77+K81+L78</f>
        <v>9385</v>
      </c>
      <c r="F77" s="737"/>
      <c r="G77" s="1760"/>
      <c r="H77" s="976"/>
      <c r="I77" s="947"/>
      <c r="J77" s="747"/>
      <c r="K77" s="748"/>
      <c r="L77" s="738"/>
    </row>
    <row r="78" spans="1:14" s="1455" customFormat="1" ht="18" customHeight="1" x14ac:dyDescent="0.3">
      <c r="A78" s="721">
        <v>69</v>
      </c>
      <c r="B78" s="1445"/>
      <c r="C78" s="1446"/>
      <c r="D78" s="1478" t="s">
        <v>308</v>
      </c>
      <c r="E78" s="1448"/>
      <c r="F78" s="1449"/>
      <c r="G78" s="1763"/>
      <c r="H78" s="1450"/>
      <c r="I78" s="1451"/>
      <c r="J78" s="1452">
        <v>9400</v>
      </c>
      <c r="K78" s="1962">
        <f t="shared" si="0"/>
        <v>9400</v>
      </c>
      <c r="L78" s="1454"/>
    </row>
    <row r="79" spans="1:14" s="1455" customFormat="1" ht="18" customHeight="1" x14ac:dyDescent="0.3">
      <c r="A79" s="721">
        <v>70</v>
      </c>
      <c r="B79" s="1445"/>
      <c r="C79" s="1446"/>
      <c r="D79" s="1480" t="s">
        <v>1158</v>
      </c>
      <c r="E79" s="1448"/>
      <c r="F79" s="1449"/>
      <c r="G79" s="1763"/>
      <c r="H79" s="1450"/>
      <c r="I79" s="1451"/>
      <c r="J79" s="1474">
        <v>9385</v>
      </c>
      <c r="K79" s="1475">
        <f t="shared" si="0"/>
        <v>9385</v>
      </c>
      <c r="L79" s="1454"/>
    </row>
    <row r="80" spans="1:14" s="1466" customFormat="1" ht="18" customHeight="1" x14ac:dyDescent="0.3">
      <c r="A80" s="721">
        <v>71</v>
      </c>
      <c r="B80" s="1456"/>
      <c r="C80" s="1457"/>
      <c r="D80" s="1479" t="s">
        <v>969</v>
      </c>
      <c r="E80" s="1459"/>
      <c r="F80" s="1460"/>
      <c r="G80" s="1761"/>
      <c r="H80" s="1461"/>
      <c r="I80" s="1462"/>
      <c r="J80" s="1463"/>
      <c r="K80" s="1464">
        <f t="shared" si="0"/>
        <v>0</v>
      </c>
      <c r="L80" s="1465"/>
    </row>
    <row r="81" spans="1:22" s="1477" customFormat="1" ht="18" customHeight="1" x14ac:dyDescent="0.3">
      <c r="A81" s="721">
        <v>72</v>
      </c>
      <c r="B81" s="1467"/>
      <c r="C81" s="1468"/>
      <c r="D81" s="1480" t="s">
        <v>1250</v>
      </c>
      <c r="E81" s="1470"/>
      <c r="F81" s="1471"/>
      <c r="G81" s="1762"/>
      <c r="H81" s="1472"/>
      <c r="I81" s="1473"/>
      <c r="J81" s="1474">
        <f>SUM(J79:J80)</f>
        <v>9385</v>
      </c>
      <c r="K81" s="1475">
        <f t="shared" si="0"/>
        <v>9385</v>
      </c>
      <c r="L81" s="1476"/>
    </row>
    <row r="82" spans="1:22" ht="22.5" customHeight="1" x14ac:dyDescent="0.35">
      <c r="A82" s="721">
        <v>73</v>
      </c>
      <c r="B82" s="734"/>
      <c r="C82" s="739"/>
      <c r="D82" s="1030" t="s">
        <v>727</v>
      </c>
      <c r="E82" s="736"/>
      <c r="F82" s="737"/>
      <c r="G82" s="1760"/>
      <c r="H82" s="976" t="s">
        <v>23</v>
      </c>
      <c r="I82" s="947"/>
      <c r="J82" s="747"/>
      <c r="K82" s="748"/>
      <c r="L82" s="738"/>
      <c r="M82" s="741"/>
    </row>
    <row r="83" spans="1:22" ht="22.5" customHeight="1" x14ac:dyDescent="0.3">
      <c r="A83" s="721">
        <v>74</v>
      </c>
      <c r="B83" s="734"/>
      <c r="C83" s="739"/>
      <c r="D83" s="1031" t="s">
        <v>468</v>
      </c>
      <c r="E83" s="736"/>
      <c r="F83" s="737"/>
      <c r="G83" s="1760"/>
      <c r="H83" s="976"/>
      <c r="I83" s="947"/>
      <c r="J83" s="747"/>
      <c r="K83" s="748"/>
      <c r="L83" s="738"/>
    </row>
    <row r="84" spans="1:22" ht="22.5" customHeight="1" x14ac:dyDescent="0.3">
      <c r="A84" s="721">
        <v>75</v>
      </c>
      <c r="B84" s="734"/>
      <c r="C84" s="735">
        <v>14</v>
      </c>
      <c r="D84" s="1029" t="s">
        <v>728</v>
      </c>
      <c r="E84" s="736">
        <f>F84+G84+K88+L85</f>
        <v>1976</v>
      </c>
      <c r="F84" s="737"/>
      <c r="G84" s="1760">
        <v>1231</v>
      </c>
      <c r="H84" s="976"/>
      <c r="I84" s="947"/>
      <c r="J84" s="747"/>
      <c r="K84" s="748"/>
      <c r="L84" s="738"/>
    </row>
    <row r="85" spans="1:22" s="1455" customFormat="1" ht="18" customHeight="1" x14ac:dyDescent="0.3">
      <c r="A85" s="721">
        <v>76</v>
      </c>
      <c r="B85" s="1445"/>
      <c r="C85" s="1446"/>
      <c r="D85" s="1478" t="s">
        <v>308</v>
      </c>
      <c r="E85" s="1448"/>
      <c r="F85" s="1449"/>
      <c r="G85" s="1763"/>
      <c r="H85" s="1450"/>
      <c r="I85" s="1451"/>
      <c r="J85" s="1452">
        <v>769</v>
      </c>
      <c r="K85" s="1962">
        <f t="shared" ref="K85:K88" si="8">SUM(I85:J85)</f>
        <v>769</v>
      </c>
      <c r="L85" s="1454"/>
    </row>
    <row r="86" spans="1:22" s="1455" customFormat="1" ht="18" customHeight="1" x14ac:dyDescent="0.3">
      <c r="A86" s="721">
        <v>77</v>
      </c>
      <c r="B86" s="1445"/>
      <c r="C86" s="1446"/>
      <c r="D86" s="1480" t="s">
        <v>1158</v>
      </c>
      <c r="E86" s="1448"/>
      <c r="F86" s="1449"/>
      <c r="G86" s="1763"/>
      <c r="H86" s="1450"/>
      <c r="I86" s="1451"/>
      <c r="J86" s="1474">
        <v>745</v>
      </c>
      <c r="K86" s="1475">
        <f t="shared" si="8"/>
        <v>745</v>
      </c>
      <c r="L86" s="1454"/>
    </row>
    <row r="87" spans="1:22" s="1466" customFormat="1" ht="18" customHeight="1" x14ac:dyDescent="0.3">
      <c r="A87" s="721">
        <v>78</v>
      </c>
      <c r="B87" s="1456"/>
      <c r="C87" s="1457"/>
      <c r="D87" s="1479" t="s">
        <v>969</v>
      </c>
      <c r="E87" s="1459"/>
      <c r="F87" s="1460"/>
      <c r="G87" s="1761"/>
      <c r="H87" s="1461"/>
      <c r="I87" s="1462"/>
      <c r="J87" s="1463"/>
      <c r="K87" s="1464">
        <f t="shared" si="8"/>
        <v>0</v>
      </c>
      <c r="L87" s="1465"/>
    </row>
    <row r="88" spans="1:22" s="1477" customFormat="1" ht="18" customHeight="1" x14ac:dyDescent="0.3">
      <c r="A88" s="721">
        <v>79</v>
      </c>
      <c r="B88" s="1467"/>
      <c r="C88" s="1468"/>
      <c r="D88" s="1480" t="s">
        <v>1250</v>
      </c>
      <c r="E88" s="1470"/>
      <c r="F88" s="1471"/>
      <c r="G88" s="1762"/>
      <c r="H88" s="1472"/>
      <c r="I88" s="1473"/>
      <c r="J88" s="1474">
        <f>SUM(J86:J87)</f>
        <v>745</v>
      </c>
      <c r="K88" s="1475">
        <f t="shared" si="8"/>
        <v>745</v>
      </c>
      <c r="L88" s="1476"/>
    </row>
    <row r="89" spans="1:22" ht="22.5" customHeight="1" x14ac:dyDescent="0.3">
      <c r="A89" s="721">
        <v>80</v>
      </c>
      <c r="B89" s="734"/>
      <c r="C89" s="735">
        <v>15</v>
      </c>
      <c r="D89" s="1029" t="s">
        <v>729</v>
      </c>
      <c r="E89" s="736">
        <f>F89+G89+K93+L90</f>
        <v>4691</v>
      </c>
      <c r="F89" s="737"/>
      <c r="G89" s="1760">
        <v>4551</v>
      </c>
      <c r="H89" s="976"/>
      <c r="I89" s="947"/>
      <c r="J89" s="747"/>
      <c r="K89" s="748"/>
      <c r="L89" s="738"/>
    </row>
    <row r="90" spans="1:22" s="1455" customFormat="1" ht="18" customHeight="1" x14ac:dyDescent="0.3">
      <c r="A90" s="721">
        <v>81</v>
      </c>
      <c r="B90" s="1445"/>
      <c r="C90" s="1446"/>
      <c r="D90" s="1478" t="s">
        <v>308</v>
      </c>
      <c r="E90" s="1448"/>
      <c r="F90" s="1449"/>
      <c r="G90" s="1763"/>
      <c r="H90" s="1450"/>
      <c r="I90" s="1451"/>
      <c r="J90" s="1452">
        <v>249</v>
      </c>
      <c r="K90" s="1962">
        <f t="shared" si="0"/>
        <v>249</v>
      </c>
      <c r="L90" s="1454"/>
    </row>
    <row r="91" spans="1:22" s="1455" customFormat="1" ht="18" customHeight="1" x14ac:dyDescent="0.3">
      <c r="A91" s="721">
        <v>82</v>
      </c>
      <c r="B91" s="1445"/>
      <c r="C91" s="1446"/>
      <c r="D91" s="1480" t="s">
        <v>1158</v>
      </c>
      <c r="E91" s="1448"/>
      <c r="F91" s="1449"/>
      <c r="G91" s="1763"/>
      <c r="H91" s="1450"/>
      <c r="I91" s="1451"/>
      <c r="J91" s="1474">
        <v>140</v>
      </c>
      <c r="K91" s="1475">
        <f t="shared" si="0"/>
        <v>140</v>
      </c>
      <c r="L91" s="1454"/>
    </row>
    <row r="92" spans="1:22" s="1466" customFormat="1" ht="18" customHeight="1" x14ac:dyDescent="0.3">
      <c r="A92" s="721">
        <v>83</v>
      </c>
      <c r="B92" s="1456"/>
      <c r="C92" s="1457"/>
      <c r="D92" s="1479" t="s">
        <v>969</v>
      </c>
      <c r="E92" s="1459"/>
      <c r="F92" s="1460"/>
      <c r="G92" s="1761"/>
      <c r="H92" s="1461"/>
      <c r="I92" s="1462"/>
      <c r="J92" s="1463"/>
      <c r="K92" s="1464">
        <f t="shared" si="0"/>
        <v>0</v>
      </c>
      <c r="L92" s="1465"/>
    </row>
    <row r="93" spans="1:22" s="1477" customFormat="1" ht="18" customHeight="1" x14ac:dyDescent="0.3">
      <c r="A93" s="721">
        <v>84</v>
      </c>
      <c r="B93" s="1467"/>
      <c r="C93" s="1468"/>
      <c r="D93" s="1480" t="s">
        <v>1250</v>
      </c>
      <c r="E93" s="1470"/>
      <c r="F93" s="1471"/>
      <c r="G93" s="1762"/>
      <c r="H93" s="1472"/>
      <c r="I93" s="1473"/>
      <c r="J93" s="1474">
        <f>SUM(J91:J92)</f>
        <v>140</v>
      </c>
      <c r="K93" s="2074">
        <f t="shared" si="0"/>
        <v>140</v>
      </c>
      <c r="L93" s="1476"/>
    </row>
    <row r="94" spans="1:22" ht="22.5" customHeight="1" x14ac:dyDescent="0.35">
      <c r="A94" s="721">
        <v>85</v>
      </c>
      <c r="B94" s="734"/>
      <c r="C94" s="739"/>
      <c r="D94" s="1032" t="s">
        <v>730</v>
      </c>
      <c r="E94" s="736"/>
      <c r="F94" s="737"/>
      <c r="G94" s="1760"/>
      <c r="H94" s="976" t="s">
        <v>23</v>
      </c>
      <c r="I94" s="947"/>
      <c r="J94" s="747"/>
      <c r="K94" s="748"/>
      <c r="L94" s="738"/>
      <c r="M94" s="722"/>
      <c r="N94" s="722"/>
      <c r="O94" s="722"/>
      <c r="P94" s="722"/>
      <c r="Q94" s="722"/>
      <c r="R94" s="722"/>
      <c r="S94" s="722"/>
      <c r="T94" s="722"/>
      <c r="U94" s="722"/>
      <c r="V94" s="722"/>
    </row>
    <row r="95" spans="1:22" ht="22.5" customHeight="1" x14ac:dyDescent="0.3">
      <c r="A95" s="721">
        <v>86</v>
      </c>
      <c r="B95" s="734"/>
      <c r="C95" s="735"/>
      <c r="D95" s="1033" t="s">
        <v>731</v>
      </c>
      <c r="E95" s="736"/>
      <c r="F95" s="737"/>
      <c r="G95" s="1760"/>
      <c r="H95" s="976"/>
      <c r="I95" s="947"/>
      <c r="J95" s="747"/>
      <c r="K95" s="748"/>
      <c r="L95" s="738"/>
    </row>
    <row r="96" spans="1:22" ht="22.5" customHeight="1" x14ac:dyDescent="0.3">
      <c r="A96" s="721">
        <v>87</v>
      </c>
      <c r="B96" s="734"/>
      <c r="C96" s="735">
        <v>16</v>
      </c>
      <c r="D96" s="1029" t="s">
        <v>732</v>
      </c>
      <c r="E96" s="736">
        <f>F96+G96+K100+L97</f>
        <v>1163</v>
      </c>
      <c r="F96" s="737"/>
      <c r="G96" s="1760">
        <v>1125</v>
      </c>
      <c r="H96" s="976"/>
      <c r="I96" s="947"/>
      <c r="J96" s="747"/>
      <c r="K96" s="748"/>
      <c r="L96" s="738"/>
    </row>
    <row r="97" spans="1:12" s="1455" customFormat="1" ht="18" customHeight="1" x14ac:dyDescent="0.3">
      <c r="A97" s="721">
        <v>88</v>
      </c>
      <c r="B97" s="1445"/>
      <c r="C97" s="1446"/>
      <c r="D97" s="1478" t="s">
        <v>308</v>
      </c>
      <c r="E97" s="1448"/>
      <c r="F97" s="1449"/>
      <c r="G97" s="1763"/>
      <c r="H97" s="1450"/>
      <c r="I97" s="1451"/>
      <c r="J97" s="1452">
        <v>75</v>
      </c>
      <c r="K97" s="1962">
        <f t="shared" ref="K97:K100" si="9">SUM(I97:J97)</f>
        <v>75</v>
      </c>
      <c r="L97" s="1454"/>
    </row>
    <row r="98" spans="1:12" s="1455" customFormat="1" ht="18" customHeight="1" x14ac:dyDescent="0.3">
      <c r="A98" s="721">
        <v>89</v>
      </c>
      <c r="B98" s="1445"/>
      <c r="C98" s="1446"/>
      <c r="D98" s="1480" t="s">
        <v>1158</v>
      </c>
      <c r="E98" s="1448"/>
      <c r="F98" s="1449"/>
      <c r="G98" s="1763"/>
      <c r="H98" s="1450"/>
      <c r="I98" s="1451"/>
      <c r="J98" s="1474">
        <v>38</v>
      </c>
      <c r="K98" s="1475">
        <f t="shared" si="9"/>
        <v>38</v>
      </c>
      <c r="L98" s="1454"/>
    </row>
    <row r="99" spans="1:12" s="1466" customFormat="1" ht="18" customHeight="1" x14ac:dyDescent="0.3">
      <c r="A99" s="721">
        <v>90</v>
      </c>
      <c r="B99" s="1456"/>
      <c r="C99" s="1457"/>
      <c r="D99" s="1479" t="s">
        <v>969</v>
      </c>
      <c r="E99" s="1459"/>
      <c r="F99" s="1460"/>
      <c r="G99" s="1761"/>
      <c r="H99" s="1461"/>
      <c r="I99" s="1462"/>
      <c r="J99" s="1463"/>
      <c r="K99" s="1464">
        <f t="shared" si="9"/>
        <v>0</v>
      </c>
      <c r="L99" s="1465"/>
    </row>
    <row r="100" spans="1:12" s="1477" customFormat="1" ht="18" customHeight="1" x14ac:dyDescent="0.3">
      <c r="A100" s="721">
        <v>91</v>
      </c>
      <c r="B100" s="1467"/>
      <c r="C100" s="1468"/>
      <c r="D100" s="1480" t="s">
        <v>1250</v>
      </c>
      <c r="E100" s="1470"/>
      <c r="F100" s="1471"/>
      <c r="G100" s="1762"/>
      <c r="H100" s="1472"/>
      <c r="I100" s="1473"/>
      <c r="J100" s="1474">
        <f>SUM(J98:J99)</f>
        <v>38</v>
      </c>
      <c r="K100" s="1475">
        <f t="shared" si="9"/>
        <v>38</v>
      </c>
      <c r="L100" s="1476"/>
    </row>
    <row r="101" spans="1:12" ht="22.5" customHeight="1" x14ac:dyDescent="0.3">
      <c r="A101" s="721">
        <v>92</v>
      </c>
      <c r="B101" s="734"/>
      <c r="C101" s="735">
        <v>17</v>
      </c>
      <c r="D101" s="1029" t="s">
        <v>733</v>
      </c>
      <c r="E101" s="736">
        <f>F101+G101+K105+L102</f>
        <v>0</v>
      </c>
      <c r="F101" s="737"/>
      <c r="G101" s="1760"/>
      <c r="H101" s="976"/>
      <c r="I101" s="947"/>
      <c r="J101" s="747"/>
      <c r="K101" s="748"/>
      <c r="L101" s="738"/>
    </row>
    <row r="102" spans="1:12" s="1455" customFormat="1" ht="18" customHeight="1" x14ac:dyDescent="0.3">
      <c r="A102" s="721">
        <v>93</v>
      </c>
      <c r="B102" s="1445"/>
      <c r="C102" s="1446"/>
      <c r="D102" s="1478" t="s">
        <v>308</v>
      </c>
      <c r="E102" s="1448"/>
      <c r="F102" s="1449"/>
      <c r="G102" s="1763"/>
      <c r="H102" s="1450"/>
      <c r="I102" s="1451"/>
      <c r="J102" s="1452">
        <v>5000</v>
      </c>
      <c r="K102" s="1962">
        <f t="shared" si="0"/>
        <v>5000</v>
      </c>
      <c r="L102" s="1454"/>
    </row>
    <row r="103" spans="1:12" s="1455" customFormat="1" ht="18" customHeight="1" x14ac:dyDescent="0.3">
      <c r="A103" s="721">
        <v>94</v>
      </c>
      <c r="B103" s="1445"/>
      <c r="C103" s="1446"/>
      <c r="D103" s="1480" t="s">
        <v>1158</v>
      </c>
      <c r="E103" s="1448"/>
      <c r="F103" s="1449"/>
      <c r="G103" s="1763"/>
      <c r="H103" s="1450"/>
      <c r="I103" s="1451"/>
      <c r="J103" s="1474">
        <v>0</v>
      </c>
      <c r="K103" s="1475">
        <f t="shared" si="0"/>
        <v>0</v>
      </c>
      <c r="L103" s="1454"/>
    </row>
    <row r="104" spans="1:12" s="1466" customFormat="1" ht="18" customHeight="1" x14ac:dyDescent="0.3">
      <c r="A104" s="721">
        <v>95</v>
      </c>
      <c r="B104" s="1456"/>
      <c r="C104" s="1457"/>
      <c r="D104" s="1479" t="s">
        <v>969</v>
      </c>
      <c r="E104" s="1459"/>
      <c r="F104" s="1460"/>
      <c r="G104" s="1761"/>
      <c r="H104" s="1461"/>
      <c r="I104" s="1462"/>
      <c r="J104" s="1463"/>
      <c r="K104" s="1464">
        <f t="shared" si="0"/>
        <v>0</v>
      </c>
      <c r="L104" s="1465"/>
    </row>
    <row r="105" spans="1:12" s="1477" customFormat="1" ht="18" customHeight="1" x14ac:dyDescent="0.3">
      <c r="A105" s="721">
        <v>96</v>
      </c>
      <c r="B105" s="1467"/>
      <c r="C105" s="1468"/>
      <c r="D105" s="1480" t="s">
        <v>1250</v>
      </c>
      <c r="E105" s="1470"/>
      <c r="F105" s="1471"/>
      <c r="G105" s="1762"/>
      <c r="H105" s="1472"/>
      <c r="I105" s="1473"/>
      <c r="J105" s="1474">
        <f>SUM(J103:J104)</f>
        <v>0</v>
      </c>
      <c r="K105" s="1475">
        <f t="shared" si="0"/>
        <v>0</v>
      </c>
      <c r="L105" s="1476"/>
    </row>
    <row r="106" spans="1:12" ht="22.5" customHeight="1" x14ac:dyDescent="0.35">
      <c r="A106" s="721">
        <v>97</v>
      </c>
      <c r="B106" s="734"/>
      <c r="C106" s="735"/>
      <c r="D106" s="1034" t="s">
        <v>734</v>
      </c>
      <c r="E106" s="736"/>
      <c r="F106" s="737"/>
      <c r="G106" s="1760"/>
      <c r="H106" s="976" t="s">
        <v>23</v>
      </c>
      <c r="I106" s="947"/>
      <c r="J106" s="747"/>
      <c r="K106" s="748"/>
      <c r="L106" s="738"/>
    </row>
    <row r="107" spans="1:12" ht="22.5" customHeight="1" x14ac:dyDescent="0.3">
      <c r="A107" s="721">
        <v>98</v>
      </c>
      <c r="B107" s="734"/>
      <c r="C107" s="739"/>
      <c r="D107" s="1031" t="s">
        <v>472</v>
      </c>
      <c r="E107" s="736"/>
      <c r="F107" s="737"/>
      <c r="G107" s="1760"/>
      <c r="H107" s="976"/>
      <c r="I107" s="947"/>
      <c r="J107" s="747"/>
      <c r="K107" s="748"/>
      <c r="L107" s="738"/>
    </row>
    <row r="108" spans="1:12" ht="22.5" customHeight="1" x14ac:dyDescent="0.3">
      <c r="A108" s="721">
        <v>99</v>
      </c>
      <c r="B108" s="734"/>
      <c r="C108" s="735">
        <v>18</v>
      </c>
      <c r="D108" s="1029" t="s">
        <v>735</v>
      </c>
      <c r="E108" s="736">
        <f>F108+G108+K112+L109</f>
        <v>9200</v>
      </c>
      <c r="F108" s="736"/>
      <c r="G108" s="1760"/>
      <c r="H108" s="976"/>
      <c r="I108" s="948"/>
      <c r="J108" s="736"/>
      <c r="K108" s="749"/>
      <c r="L108" s="738"/>
    </row>
    <row r="109" spans="1:12" s="1455" customFormat="1" ht="18" customHeight="1" x14ac:dyDescent="0.3">
      <c r="A109" s="721">
        <v>100</v>
      </c>
      <c r="B109" s="1445"/>
      <c r="C109" s="1446"/>
      <c r="D109" s="1478" t="s">
        <v>308</v>
      </c>
      <c r="E109" s="1448"/>
      <c r="F109" s="1449"/>
      <c r="G109" s="1763"/>
      <c r="H109" s="1450"/>
      <c r="I109" s="1451"/>
      <c r="J109" s="1452">
        <v>9200</v>
      </c>
      <c r="K109" s="1962">
        <f t="shared" ref="K109:K112" si="10">SUM(I109:J109)</f>
        <v>9200</v>
      </c>
      <c r="L109" s="1454"/>
    </row>
    <row r="110" spans="1:12" s="1455" customFormat="1" ht="18" customHeight="1" x14ac:dyDescent="0.3">
      <c r="A110" s="721">
        <v>101</v>
      </c>
      <c r="B110" s="1445"/>
      <c r="C110" s="1446"/>
      <c r="D110" s="1480" t="s">
        <v>1158</v>
      </c>
      <c r="E110" s="1448"/>
      <c r="F110" s="1449"/>
      <c r="G110" s="1763"/>
      <c r="H110" s="1450"/>
      <c r="I110" s="1451"/>
      <c r="J110" s="1474">
        <v>9200</v>
      </c>
      <c r="K110" s="1475">
        <f t="shared" si="10"/>
        <v>9200</v>
      </c>
      <c r="L110" s="1454"/>
    </row>
    <row r="111" spans="1:12" s="1466" customFormat="1" ht="18" customHeight="1" x14ac:dyDescent="0.3">
      <c r="A111" s="721">
        <v>102</v>
      </c>
      <c r="B111" s="1456"/>
      <c r="C111" s="1457"/>
      <c r="D111" s="1479" t="s">
        <v>947</v>
      </c>
      <c r="E111" s="1459"/>
      <c r="F111" s="1460"/>
      <c r="G111" s="1761"/>
      <c r="H111" s="1461"/>
      <c r="I111" s="1462"/>
      <c r="J111" s="1463"/>
      <c r="K111" s="1464">
        <f t="shared" si="10"/>
        <v>0</v>
      </c>
      <c r="L111" s="1465"/>
    </row>
    <row r="112" spans="1:12" s="1477" customFormat="1" ht="18" customHeight="1" x14ac:dyDescent="0.3">
      <c r="A112" s="721">
        <v>103</v>
      </c>
      <c r="B112" s="1467"/>
      <c r="C112" s="1468"/>
      <c r="D112" s="1480" t="s">
        <v>1250</v>
      </c>
      <c r="E112" s="1470"/>
      <c r="F112" s="1471"/>
      <c r="G112" s="1762"/>
      <c r="H112" s="1472"/>
      <c r="I112" s="1473"/>
      <c r="J112" s="1474">
        <f>SUM(J110:J111)</f>
        <v>9200</v>
      </c>
      <c r="K112" s="1475">
        <f t="shared" si="10"/>
        <v>9200</v>
      </c>
      <c r="L112" s="1476"/>
    </row>
    <row r="113" spans="1:12" ht="22.5" customHeight="1" x14ac:dyDescent="0.35">
      <c r="A113" s="721">
        <v>104</v>
      </c>
      <c r="B113" s="734"/>
      <c r="C113" s="735"/>
      <c r="D113" s="2371" t="s">
        <v>525</v>
      </c>
      <c r="E113" s="2372"/>
      <c r="F113" s="2373"/>
      <c r="G113" s="1760"/>
      <c r="H113" s="976" t="s">
        <v>23</v>
      </c>
      <c r="I113" s="948"/>
      <c r="J113" s="736"/>
      <c r="K113" s="749"/>
      <c r="L113" s="738"/>
    </row>
    <row r="114" spans="1:12" ht="22.5" customHeight="1" x14ac:dyDescent="0.3">
      <c r="A114" s="721">
        <v>105</v>
      </c>
      <c r="B114" s="734"/>
      <c r="C114" s="739"/>
      <c r="D114" s="1031" t="s">
        <v>736</v>
      </c>
      <c r="E114" s="736"/>
      <c r="F114" s="736"/>
      <c r="G114" s="1760"/>
      <c r="H114" s="976"/>
      <c r="I114" s="948"/>
      <c r="J114" s="736"/>
      <c r="K114" s="749"/>
      <c r="L114" s="738"/>
    </row>
    <row r="115" spans="1:12" ht="22.5" customHeight="1" x14ac:dyDescent="0.3">
      <c r="A115" s="721">
        <v>106</v>
      </c>
      <c r="B115" s="734"/>
      <c r="C115" s="735">
        <v>19</v>
      </c>
      <c r="D115" s="1029" t="s">
        <v>737</v>
      </c>
      <c r="E115" s="736">
        <f>F115+G115+K119+L116</f>
        <v>2470</v>
      </c>
      <c r="F115" s="736"/>
      <c r="G115" s="1760">
        <v>2394</v>
      </c>
      <c r="H115" s="976"/>
      <c r="I115" s="948"/>
      <c r="J115" s="736"/>
      <c r="K115" s="749"/>
      <c r="L115" s="738"/>
    </row>
    <row r="116" spans="1:12" s="1455" customFormat="1" ht="18" customHeight="1" x14ac:dyDescent="0.3">
      <c r="A116" s="721">
        <v>107</v>
      </c>
      <c r="B116" s="1445"/>
      <c r="C116" s="1446"/>
      <c r="D116" s="1478" t="s">
        <v>308</v>
      </c>
      <c r="E116" s="1448"/>
      <c r="F116" s="1449"/>
      <c r="G116" s="1763"/>
      <c r="H116" s="1450"/>
      <c r="I116" s="1451"/>
      <c r="J116" s="1452">
        <v>106</v>
      </c>
      <c r="K116" s="1962">
        <f t="shared" ref="K116:K119" si="11">SUM(I116:J116)</f>
        <v>106</v>
      </c>
      <c r="L116" s="1454"/>
    </row>
    <row r="117" spans="1:12" s="1455" customFormat="1" ht="18" customHeight="1" x14ac:dyDescent="0.3">
      <c r="A117" s="721">
        <v>108</v>
      </c>
      <c r="B117" s="1445"/>
      <c r="C117" s="1446"/>
      <c r="D117" s="1480" t="s">
        <v>1158</v>
      </c>
      <c r="E117" s="1448"/>
      <c r="F117" s="1449"/>
      <c r="G117" s="1763"/>
      <c r="H117" s="1450"/>
      <c r="I117" s="1451"/>
      <c r="J117" s="1474">
        <v>76</v>
      </c>
      <c r="K117" s="1475">
        <f t="shared" si="11"/>
        <v>76</v>
      </c>
      <c r="L117" s="1454"/>
    </row>
    <row r="118" spans="1:12" s="1466" customFormat="1" ht="18" customHeight="1" x14ac:dyDescent="0.3">
      <c r="A118" s="721">
        <v>109</v>
      </c>
      <c r="B118" s="1456"/>
      <c r="C118" s="1457"/>
      <c r="D118" s="1479" t="s">
        <v>969</v>
      </c>
      <c r="E118" s="1459"/>
      <c r="F118" s="1460"/>
      <c r="G118" s="1761"/>
      <c r="H118" s="1461"/>
      <c r="I118" s="1462"/>
      <c r="J118" s="1463"/>
      <c r="K118" s="1464">
        <f t="shared" si="11"/>
        <v>0</v>
      </c>
      <c r="L118" s="1465"/>
    </row>
    <row r="119" spans="1:12" s="1477" customFormat="1" ht="18" customHeight="1" x14ac:dyDescent="0.3">
      <c r="A119" s="721">
        <v>110</v>
      </c>
      <c r="B119" s="1467"/>
      <c r="C119" s="1468"/>
      <c r="D119" s="1480" t="s">
        <v>1250</v>
      </c>
      <c r="E119" s="1470"/>
      <c r="F119" s="1471"/>
      <c r="G119" s="1762"/>
      <c r="H119" s="1472"/>
      <c r="I119" s="1473"/>
      <c r="J119" s="1474">
        <f>SUM(J117:J118)</f>
        <v>76</v>
      </c>
      <c r="K119" s="1475">
        <f t="shared" si="11"/>
        <v>76</v>
      </c>
      <c r="L119" s="1476"/>
    </row>
    <row r="120" spans="1:12" ht="22.5" customHeight="1" x14ac:dyDescent="0.35">
      <c r="A120" s="721">
        <v>111</v>
      </c>
      <c r="B120" s="734"/>
      <c r="C120" s="735"/>
      <c r="D120" s="1032" t="s">
        <v>25</v>
      </c>
      <c r="E120" s="736"/>
      <c r="F120" s="736"/>
      <c r="G120" s="1760"/>
      <c r="H120" s="976" t="s">
        <v>23</v>
      </c>
      <c r="I120" s="948"/>
      <c r="J120" s="736"/>
      <c r="K120" s="749"/>
      <c r="L120" s="738"/>
    </row>
    <row r="121" spans="1:12" ht="22.5" customHeight="1" x14ac:dyDescent="0.3">
      <c r="A121" s="721">
        <v>112</v>
      </c>
      <c r="B121" s="734"/>
      <c r="C121" s="735">
        <v>20</v>
      </c>
      <c r="D121" s="1029" t="s">
        <v>931</v>
      </c>
      <c r="E121" s="736">
        <f>F121+G121+K125+L122</f>
        <v>8396</v>
      </c>
      <c r="F121" s="737"/>
      <c r="G121" s="1760"/>
      <c r="H121" s="977"/>
      <c r="I121" s="948"/>
      <c r="J121" s="736"/>
      <c r="K121" s="749"/>
      <c r="L121" s="738"/>
    </row>
    <row r="122" spans="1:12" s="1455" customFormat="1" ht="18" customHeight="1" x14ac:dyDescent="0.3">
      <c r="A122" s="721">
        <v>113</v>
      </c>
      <c r="B122" s="1445"/>
      <c r="C122" s="1446"/>
      <c r="D122" s="1478" t="s">
        <v>308</v>
      </c>
      <c r="E122" s="1448"/>
      <c r="F122" s="1449"/>
      <c r="G122" s="1763"/>
      <c r="H122" s="1450"/>
      <c r="I122" s="1451"/>
      <c r="J122" s="1452">
        <v>8020</v>
      </c>
      <c r="K122" s="1962">
        <f t="shared" ref="K122:K128" si="12">SUM(I122:J122)</f>
        <v>8020</v>
      </c>
      <c r="L122" s="1454"/>
    </row>
    <row r="123" spans="1:12" s="1455" customFormat="1" ht="18" customHeight="1" x14ac:dyDescent="0.3">
      <c r="A123" s="721">
        <v>114</v>
      </c>
      <c r="B123" s="1445"/>
      <c r="C123" s="1446"/>
      <c r="D123" s="1480" t="s">
        <v>1158</v>
      </c>
      <c r="E123" s="1448"/>
      <c r="F123" s="1449"/>
      <c r="G123" s="1763"/>
      <c r="H123" s="1450"/>
      <c r="I123" s="1451"/>
      <c r="J123" s="1474">
        <v>8396</v>
      </c>
      <c r="K123" s="1475">
        <f t="shared" si="12"/>
        <v>8396</v>
      </c>
      <c r="L123" s="1454"/>
    </row>
    <row r="124" spans="1:12" s="1466" customFormat="1" ht="18" customHeight="1" x14ac:dyDescent="0.3">
      <c r="A124" s="721">
        <v>115</v>
      </c>
      <c r="B124" s="1456"/>
      <c r="C124" s="1457"/>
      <c r="D124" s="1479" t="s">
        <v>969</v>
      </c>
      <c r="E124" s="1459"/>
      <c r="F124" s="1460"/>
      <c r="G124" s="1761"/>
      <c r="H124" s="1461"/>
      <c r="I124" s="1462"/>
      <c r="J124" s="1463"/>
      <c r="K124" s="1464">
        <f t="shared" si="12"/>
        <v>0</v>
      </c>
      <c r="L124" s="1465"/>
    </row>
    <row r="125" spans="1:12" s="1477" customFormat="1" ht="18" customHeight="1" x14ac:dyDescent="0.3">
      <c r="A125" s="721">
        <v>116</v>
      </c>
      <c r="B125" s="1467"/>
      <c r="C125" s="1468"/>
      <c r="D125" s="1480" t="s">
        <v>1250</v>
      </c>
      <c r="E125" s="1470"/>
      <c r="F125" s="1471"/>
      <c r="G125" s="1762"/>
      <c r="H125" s="1472"/>
      <c r="I125" s="1473"/>
      <c r="J125" s="1474">
        <f>SUM(J123:J124)</f>
        <v>8396</v>
      </c>
      <c r="K125" s="1475">
        <f t="shared" si="12"/>
        <v>8396</v>
      </c>
      <c r="L125" s="1476"/>
    </row>
    <row r="126" spans="1:12" s="1477" customFormat="1" ht="22.5" customHeight="1" x14ac:dyDescent="0.3">
      <c r="A126" s="721">
        <v>117</v>
      </c>
      <c r="B126" s="1467"/>
      <c r="C126" s="735">
        <v>21</v>
      </c>
      <c r="D126" s="1029" t="s">
        <v>738</v>
      </c>
      <c r="E126" s="736">
        <f>F126+G126+K130+L127</f>
        <v>0</v>
      </c>
      <c r="F126" s="1471"/>
      <c r="G126" s="1762"/>
      <c r="H126" s="1472"/>
      <c r="I126" s="1473"/>
      <c r="J126" s="1474"/>
      <c r="K126" s="1475"/>
      <c r="L126" s="1476"/>
    </row>
    <row r="127" spans="1:12" s="1477" customFormat="1" ht="18" customHeight="1" x14ac:dyDescent="0.3">
      <c r="A127" s="721">
        <v>118</v>
      </c>
      <c r="B127" s="1467"/>
      <c r="C127" s="1468"/>
      <c r="D127" s="1478" t="s">
        <v>308</v>
      </c>
      <c r="E127" s="1470"/>
      <c r="F127" s="1471"/>
      <c r="G127" s="1762"/>
      <c r="H127" s="1472"/>
      <c r="I127" s="1473"/>
      <c r="J127" s="1452">
        <v>1500</v>
      </c>
      <c r="K127" s="1962">
        <f t="shared" si="12"/>
        <v>1500</v>
      </c>
      <c r="L127" s="1476"/>
    </row>
    <row r="128" spans="1:12" s="1477" customFormat="1" ht="18" customHeight="1" x14ac:dyDescent="0.3">
      <c r="A128" s="721">
        <v>119</v>
      </c>
      <c r="B128" s="1467"/>
      <c r="C128" s="1468"/>
      <c r="D128" s="1480" t="s">
        <v>1158</v>
      </c>
      <c r="E128" s="1470"/>
      <c r="F128" s="1471"/>
      <c r="G128" s="1762"/>
      <c r="H128" s="1472"/>
      <c r="I128" s="1473"/>
      <c r="J128" s="1474">
        <v>0</v>
      </c>
      <c r="K128" s="1475">
        <f t="shared" si="12"/>
        <v>0</v>
      </c>
      <c r="L128" s="1476"/>
    </row>
    <row r="129" spans="1:252" s="1477" customFormat="1" ht="18" customHeight="1" x14ac:dyDescent="0.3">
      <c r="A129" s="721">
        <v>120</v>
      </c>
      <c r="B129" s="1467"/>
      <c r="C129" s="1468"/>
      <c r="D129" s="1479" t="s">
        <v>969</v>
      </c>
      <c r="E129" s="1470"/>
      <c r="F129" s="1471"/>
      <c r="G129" s="1762"/>
      <c r="H129" s="1472"/>
      <c r="I129" s="1473"/>
      <c r="J129" s="1474"/>
      <c r="K129" s="1475"/>
      <c r="L129" s="1476"/>
    </row>
    <row r="130" spans="1:252" s="1477" customFormat="1" ht="18" customHeight="1" x14ac:dyDescent="0.3">
      <c r="A130" s="721">
        <v>121</v>
      </c>
      <c r="B130" s="1467"/>
      <c r="C130" s="1468"/>
      <c r="D130" s="1480" t="s">
        <v>1250</v>
      </c>
      <c r="E130" s="1470"/>
      <c r="F130" s="1471"/>
      <c r="G130" s="1762"/>
      <c r="H130" s="1472"/>
      <c r="I130" s="1473"/>
      <c r="J130" s="1937">
        <f>SUM(J128:J129)</f>
        <v>0</v>
      </c>
      <c r="K130" s="1474">
        <f>SUM(K128:K129)</f>
        <v>0</v>
      </c>
      <c r="L130" s="1476"/>
    </row>
    <row r="131" spans="1:252" ht="22.5" customHeight="1" x14ac:dyDescent="0.35">
      <c r="A131" s="721">
        <v>122</v>
      </c>
      <c r="B131" s="734"/>
      <c r="C131" s="735">
        <v>22</v>
      </c>
      <c r="D131" s="1032" t="s">
        <v>1091</v>
      </c>
      <c r="E131" s="736">
        <f>F131+G131+K134</f>
        <v>5000</v>
      </c>
      <c r="F131" s="737"/>
      <c r="G131" s="1760"/>
      <c r="H131" s="977"/>
      <c r="I131" s="948"/>
      <c r="J131" s="736"/>
      <c r="K131" s="749"/>
      <c r="L131" s="738"/>
    </row>
    <row r="132" spans="1:252" ht="20.100000000000001" customHeight="1" x14ac:dyDescent="0.3">
      <c r="A132" s="721">
        <v>123</v>
      </c>
      <c r="B132" s="734"/>
      <c r="C132" s="735"/>
      <c r="D132" s="1480" t="s">
        <v>1158</v>
      </c>
      <c r="E132" s="736"/>
      <c r="F132" s="737"/>
      <c r="G132" s="1760"/>
      <c r="H132" s="977"/>
      <c r="I132" s="948"/>
      <c r="J132" s="1770">
        <v>5000</v>
      </c>
      <c r="K132" s="1475">
        <f t="shared" ref="K132" si="13">SUM(I132:J132)</f>
        <v>5000</v>
      </c>
      <c r="L132" s="738"/>
    </row>
    <row r="133" spans="1:252" s="1466" customFormat="1" ht="18" customHeight="1" x14ac:dyDescent="0.3">
      <c r="A133" s="721">
        <v>124</v>
      </c>
      <c r="B133" s="1456"/>
      <c r="C133" s="1457"/>
      <c r="D133" s="1479" t="s">
        <v>969</v>
      </c>
      <c r="E133" s="1459"/>
      <c r="F133" s="1460"/>
      <c r="G133" s="1761"/>
      <c r="H133" s="1461"/>
      <c r="I133" s="1462"/>
      <c r="J133" s="1463"/>
      <c r="K133" s="1945">
        <f t="shared" ref="K133:K134" si="14">SUM(I133:J133)</f>
        <v>0</v>
      </c>
      <c r="L133" s="1465"/>
    </row>
    <row r="134" spans="1:252" s="1477" customFormat="1" ht="18" customHeight="1" thickBot="1" x14ac:dyDescent="0.35">
      <c r="A134" s="721">
        <v>125</v>
      </c>
      <c r="B134" s="1467"/>
      <c r="C134" s="1468"/>
      <c r="D134" s="1480" t="s">
        <v>1250</v>
      </c>
      <c r="E134" s="1470"/>
      <c r="F134" s="1471"/>
      <c r="G134" s="1762"/>
      <c r="H134" s="1472"/>
      <c r="I134" s="1473"/>
      <c r="J134" s="1474">
        <f>SUM(J132:J133)</f>
        <v>5000</v>
      </c>
      <c r="K134" s="1475">
        <f t="shared" si="14"/>
        <v>5000</v>
      </c>
      <c r="L134" s="1476"/>
    </row>
    <row r="135" spans="1:252" ht="20.100000000000001" customHeight="1" x14ac:dyDescent="0.3">
      <c r="A135" s="721">
        <v>126</v>
      </c>
      <c r="B135" s="2366" t="s">
        <v>13</v>
      </c>
      <c r="C135" s="2367"/>
      <c r="D135" s="2367"/>
      <c r="E135" s="2367"/>
      <c r="F135" s="2367"/>
      <c r="G135" s="2368"/>
      <c r="H135" s="1481"/>
      <c r="I135" s="1482"/>
      <c r="J135" s="1482"/>
      <c r="K135" s="1483"/>
      <c r="L135" s="1484"/>
    </row>
    <row r="136" spans="1:252" s="1455" customFormat="1" ht="18" customHeight="1" x14ac:dyDescent="0.3">
      <c r="A136" s="721">
        <v>127</v>
      </c>
      <c r="B136" s="1445"/>
      <c r="C136" s="1446"/>
      <c r="D136" s="1447" t="s">
        <v>308</v>
      </c>
      <c r="E136" s="1448"/>
      <c r="F136" s="1449"/>
      <c r="G136" s="1763"/>
      <c r="H136" s="1450"/>
      <c r="I136" s="1812">
        <f>SUM(I12,I17,I22,I27,I32,I37,I42,I47,I53,I59,I65,I72,I78,I85,I90,I97,I102,I109,I116,I122,)</f>
        <v>300</v>
      </c>
      <c r="J136" s="1452">
        <f>SUM(J12,J17,J22,J27,J32,J37,J42,J47,J53,J59,J65,J72,J78,J85,J90,J97,J102,J109,J116,J122,J127)</f>
        <v>319939</v>
      </c>
      <c r="K136" s="1453">
        <f t="shared" ref="K136:K139" si="15">SUM(I136:J136)</f>
        <v>320239</v>
      </c>
      <c r="L136" s="1454"/>
    </row>
    <row r="137" spans="1:252" s="1455" customFormat="1" ht="18" customHeight="1" x14ac:dyDescent="0.3">
      <c r="A137" s="721">
        <v>128</v>
      </c>
      <c r="B137" s="1445"/>
      <c r="C137" s="1446"/>
      <c r="D137" s="1811" t="s">
        <v>1158</v>
      </c>
      <c r="E137" s="1448"/>
      <c r="F137" s="1449"/>
      <c r="G137" s="1763"/>
      <c r="H137" s="1450"/>
      <c r="I137" s="1473">
        <f>SUM(I13,I18,I23,I28,I33,I38,I43,I48,I54,I60,I66,I73,I79,I86,I91,I98,I103,I110,I117,I123,I128,I132)</f>
        <v>18</v>
      </c>
      <c r="J137" s="1473">
        <f>SUM(J13,J18,J23,J28,J33,J38,J43,J48,J54,J60,J66,J73,J79,J86,J91,J98,J103,J110,J117,J123,J128,J132)</f>
        <v>157619</v>
      </c>
      <c r="K137" s="1475">
        <f>SUM(I137:J137)</f>
        <v>157637</v>
      </c>
      <c r="L137" s="1454"/>
    </row>
    <row r="138" spans="1:252" s="1466" customFormat="1" ht="18" customHeight="1" x14ac:dyDescent="0.3">
      <c r="A138" s="721">
        <v>129</v>
      </c>
      <c r="B138" s="1456"/>
      <c r="C138" s="1457"/>
      <c r="D138" s="1458" t="s">
        <v>947</v>
      </c>
      <c r="E138" s="1459"/>
      <c r="F138" s="1460"/>
      <c r="G138" s="1761"/>
      <c r="H138" s="1461"/>
      <c r="I138" s="1462">
        <f>SUM(I14,I19,I24,I29,I34,I39,I44,I49,I55,I61,I67,I74,I80,I87,I92,I99,I104,I111,I118,I124,I133)</f>
        <v>0</v>
      </c>
      <c r="J138" s="1463">
        <f>SUM(J14,J19,J24,J29,J34,J39,J44,J49,J55,J61,J67,J74,J80,J87,J92,J99,J104,J111,J118,J124,J133)</f>
        <v>0</v>
      </c>
      <c r="K138" s="1945">
        <f>SUM(I138:J138)</f>
        <v>0</v>
      </c>
      <c r="L138" s="1465"/>
    </row>
    <row r="139" spans="1:252" s="1477" customFormat="1" ht="18" customHeight="1" thickBot="1" x14ac:dyDescent="0.35">
      <c r="A139" s="721">
        <v>130</v>
      </c>
      <c r="B139" s="1485"/>
      <c r="C139" s="1486"/>
      <c r="D139" s="1487" t="s">
        <v>1250</v>
      </c>
      <c r="E139" s="1488"/>
      <c r="F139" s="1489"/>
      <c r="G139" s="1765"/>
      <c r="H139" s="1490"/>
      <c r="I139" s="1491">
        <f>SUM(I137:I138)</f>
        <v>18</v>
      </c>
      <c r="J139" s="1492">
        <f>SUM(J137:J138)</f>
        <v>157619</v>
      </c>
      <c r="K139" s="1493">
        <f t="shared" si="15"/>
        <v>157637</v>
      </c>
      <c r="L139" s="1494"/>
    </row>
    <row r="140" spans="1:252" ht="18" customHeight="1" x14ac:dyDescent="0.3">
      <c r="B140" s="1495" t="s">
        <v>27</v>
      </c>
      <c r="C140" s="1495"/>
      <c r="D140" s="1495"/>
      <c r="E140" s="717"/>
      <c r="F140" s="718"/>
      <c r="G140" s="717"/>
      <c r="H140" s="1496"/>
      <c r="I140" s="717"/>
      <c r="J140" s="717"/>
      <c r="K140" s="717"/>
    </row>
    <row r="141" spans="1:252" ht="18" customHeight="1" x14ac:dyDescent="0.3">
      <c r="B141" s="1495" t="s">
        <v>28</v>
      </c>
      <c r="C141" s="1495"/>
      <c r="D141" s="1495"/>
      <c r="E141" s="1497"/>
      <c r="F141" s="718"/>
      <c r="G141" s="717"/>
      <c r="H141" s="1496"/>
      <c r="I141" s="717"/>
      <c r="J141" s="717"/>
      <c r="K141" s="717"/>
    </row>
    <row r="142" spans="1:252" ht="18" customHeight="1" x14ac:dyDescent="0.3">
      <c r="B142" s="1495" t="s">
        <v>29</v>
      </c>
      <c r="C142" s="1495"/>
      <c r="D142" s="1495"/>
      <c r="E142" s="1497"/>
      <c r="F142" s="718"/>
      <c r="G142" s="717"/>
      <c r="H142" s="1496"/>
      <c r="I142" s="717"/>
      <c r="J142" s="717"/>
      <c r="K142" s="717"/>
    </row>
    <row r="143" spans="1:252" s="709" customFormat="1" x14ac:dyDescent="0.3">
      <c r="A143" s="720"/>
      <c r="B143" s="711"/>
      <c r="C143" s="712"/>
      <c r="D143" s="713"/>
      <c r="H143" s="714"/>
      <c r="L143" s="719"/>
      <c r="M143" s="710"/>
      <c r="N143" s="710"/>
      <c r="O143" s="710"/>
      <c r="P143" s="710"/>
      <c r="Q143" s="710"/>
      <c r="R143" s="710"/>
      <c r="S143" s="710"/>
      <c r="T143" s="710"/>
      <c r="U143" s="710"/>
      <c r="V143" s="710"/>
      <c r="W143" s="710"/>
      <c r="X143" s="710"/>
      <c r="Y143" s="710"/>
      <c r="Z143" s="710"/>
      <c r="AA143" s="710"/>
      <c r="AB143" s="710"/>
      <c r="AC143" s="710"/>
      <c r="AD143" s="710"/>
      <c r="AE143" s="710"/>
      <c r="AF143" s="710"/>
      <c r="AG143" s="710"/>
      <c r="AH143" s="710"/>
      <c r="AI143" s="710"/>
      <c r="AJ143" s="710"/>
      <c r="AK143" s="710"/>
      <c r="AL143" s="710"/>
      <c r="AM143" s="710"/>
      <c r="AN143" s="710"/>
      <c r="AO143" s="710"/>
      <c r="AP143" s="710"/>
      <c r="AQ143" s="710"/>
      <c r="AR143" s="710"/>
      <c r="AS143" s="710"/>
      <c r="AT143" s="710"/>
      <c r="AU143" s="710"/>
      <c r="AV143" s="710"/>
      <c r="AW143" s="710"/>
      <c r="AX143" s="710"/>
      <c r="AY143" s="710"/>
      <c r="AZ143" s="710"/>
      <c r="BA143" s="710"/>
      <c r="BB143" s="710"/>
      <c r="BC143" s="710"/>
      <c r="BD143" s="710"/>
      <c r="BE143" s="710"/>
      <c r="BF143" s="710"/>
      <c r="BG143" s="710"/>
      <c r="BH143" s="710"/>
      <c r="BI143" s="710"/>
      <c r="BJ143" s="710"/>
      <c r="BK143" s="710"/>
      <c r="BL143" s="710"/>
      <c r="BM143" s="710"/>
      <c r="BN143" s="710"/>
      <c r="BO143" s="710"/>
      <c r="BP143" s="710"/>
      <c r="BQ143" s="710"/>
      <c r="BR143" s="710"/>
      <c r="BS143" s="710"/>
      <c r="BT143" s="710"/>
      <c r="BU143" s="710"/>
      <c r="BV143" s="710"/>
      <c r="BW143" s="710"/>
      <c r="BX143" s="710"/>
      <c r="BY143" s="710"/>
      <c r="BZ143" s="710"/>
      <c r="CA143" s="710"/>
      <c r="CB143" s="710"/>
      <c r="CC143" s="710"/>
      <c r="CD143" s="710"/>
      <c r="CE143" s="710"/>
      <c r="CF143" s="710"/>
      <c r="CG143" s="710"/>
      <c r="CH143" s="710"/>
      <c r="CI143" s="710"/>
      <c r="CJ143" s="710"/>
      <c r="CK143" s="710"/>
      <c r="CL143" s="710"/>
      <c r="CM143" s="710"/>
      <c r="CN143" s="710"/>
      <c r="CO143" s="710"/>
      <c r="CP143" s="710"/>
      <c r="CQ143" s="710"/>
      <c r="CR143" s="710"/>
      <c r="CS143" s="710"/>
      <c r="CT143" s="710"/>
      <c r="CU143" s="710"/>
      <c r="CV143" s="710"/>
      <c r="CW143" s="710"/>
      <c r="CX143" s="710"/>
      <c r="CY143" s="710"/>
      <c r="CZ143" s="710"/>
      <c r="DA143" s="710"/>
      <c r="DB143" s="710"/>
      <c r="DC143" s="710"/>
      <c r="DD143" s="710"/>
      <c r="DE143" s="710"/>
      <c r="DF143" s="710"/>
      <c r="DG143" s="710"/>
      <c r="DH143" s="710"/>
      <c r="DI143" s="710"/>
      <c r="DJ143" s="710"/>
      <c r="DK143" s="710"/>
      <c r="DL143" s="710"/>
      <c r="DM143" s="710"/>
      <c r="DN143" s="710"/>
      <c r="DO143" s="710"/>
      <c r="DP143" s="710"/>
      <c r="DQ143" s="710"/>
      <c r="DR143" s="710"/>
      <c r="DS143" s="710"/>
      <c r="DT143" s="710"/>
      <c r="DU143" s="710"/>
      <c r="DV143" s="710"/>
      <c r="DW143" s="710"/>
      <c r="DX143" s="710"/>
      <c r="DY143" s="710"/>
      <c r="DZ143" s="710"/>
      <c r="EA143" s="710"/>
      <c r="EB143" s="710"/>
      <c r="EC143" s="710"/>
      <c r="ED143" s="710"/>
      <c r="EE143" s="710"/>
      <c r="EF143" s="710"/>
      <c r="EG143" s="710"/>
      <c r="EH143" s="710"/>
      <c r="EI143" s="710"/>
      <c r="EJ143" s="710"/>
      <c r="EK143" s="710"/>
      <c r="EL143" s="710"/>
      <c r="EM143" s="710"/>
      <c r="EN143" s="710"/>
      <c r="EO143" s="710"/>
      <c r="EP143" s="710"/>
      <c r="EQ143" s="710"/>
      <c r="ER143" s="710"/>
      <c r="ES143" s="710"/>
      <c r="ET143" s="710"/>
      <c r="EU143" s="710"/>
      <c r="EV143" s="710"/>
      <c r="EW143" s="710"/>
      <c r="EX143" s="710"/>
      <c r="EY143" s="710"/>
      <c r="EZ143" s="710"/>
      <c r="FA143" s="710"/>
      <c r="FB143" s="710"/>
      <c r="FC143" s="710"/>
      <c r="FD143" s="710"/>
      <c r="FE143" s="710"/>
      <c r="FF143" s="710"/>
      <c r="FG143" s="710"/>
      <c r="FH143" s="710"/>
      <c r="FI143" s="710"/>
      <c r="FJ143" s="710"/>
      <c r="FK143" s="710"/>
      <c r="FL143" s="710"/>
      <c r="FM143" s="710"/>
      <c r="FN143" s="710"/>
      <c r="FO143" s="710"/>
      <c r="FP143" s="710"/>
      <c r="FQ143" s="710"/>
      <c r="FR143" s="710"/>
      <c r="FS143" s="710"/>
      <c r="FT143" s="710"/>
      <c r="FU143" s="710"/>
      <c r="FV143" s="710"/>
      <c r="FW143" s="710"/>
      <c r="FX143" s="710"/>
      <c r="FY143" s="710"/>
      <c r="FZ143" s="710"/>
      <c r="GA143" s="710"/>
      <c r="GB143" s="710"/>
      <c r="GC143" s="710"/>
      <c r="GD143" s="710"/>
      <c r="GE143" s="710"/>
      <c r="GF143" s="710"/>
      <c r="GG143" s="710"/>
      <c r="GH143" s="710"/>
      <c r="GI143" s="710"/>
      <c r="GJ143" s="710"/>
      <c r="GK143" s="710"/>
      <c r="GL143" s="710"/>
      <c r="GM143" s="710"/>
      <c r="GN143" s="710"/>
      <c r="GO143" s="710"/>
      <c r="GP143" s="710"/>
      <c r="GQ143" s="710"/>
      <c r="GR143" s="710"/>
      <c r="GS143" s="710"/>
      <c r="GT143" s="710"/>
      <c r="GU143" s="710"/>
      <c r="GV143" s="710"/>
      <c r="GW143" s="710"/>
      <c r="GX143" s="710"/>
      <c r="GY143" s="710"/>
      <c r="GZ143" s="710"/>
      <c r="HA143" s="710"/>
      <c r="HB143" s="710"/>
      <c r="HC143" s="710"/>
      <c r="HD143" s="710"/>
      <c r="HE143" s="710"/>
      <c r="HF143" s="710"/>
      <c r="HG143" s="710"/>
      <c r="HH143" s="710"/>
      <c r="HI143" s="710"/>
      <c r="HJ143" s="710"/>
      <c r="HK143" s="710"/>
      <c r="HL143" s="710"/>
      <c r="HM143" s="710"/>
      <c r="HN143" s="710"/>
      <c r="HO143" s="710"/>
      <c r="HP143" s="710"/>
      <c r="HQ143" s="710"/>
      <c r="HR143" s="710"/>
      <c r="HS143" s="710"/>
      <c r="HT143" s="710"/>
      <c r="HU143" s="710"/>
      <c r="HV143" s="710"/>
      <c r="HW143" s="710"/>
      <c r="HX143" s="710"/>
      <c r="HY143" s="710"/>
      <c r="HZ143" s="710"/>
      <c r="IA143" s="710"/>
      <c r="IB143" s="710"/>
      <c r="IC143" s="710"/>
      <c r="ID143" s="710"/>
      <c r="IE143" s="710"/>
      <c r="IF143" s="710"/>
      <c r="IG143" s="710"/>
      <c r="IH143" s="710"/>
      <c r="II143" s="710"/>
      <c r="IJ143" s="710"/>
      <c r="IK143" s="710"/>
      <c r="IL143" s="710"/>
      <c r="IM143" s="710"/>
      <c r="IN143" s="710"/>
      <c r="IO143" s="710"/>
      <c r="IP143" s="710"/>
      <c r="IQ143" s="710"/>
      <c r="IR143" s="710"/>
    </row>
  </sheetData>
  <mergeCells count="16">
    <mergeCell ref="B1:M1"/>
    <mergeCell ref="B2:M2"/>
    <mergeCell ref="B135:G135"/>
    <mergeCell ref="B3:L3"/>
    <mergeCell ref="B4:L4"/>
    <mergeCell ref="B7:B9"/>
    <mergeCell ref="C7:C9"/>
    <mergeCell ref="D7:D9"/>
    <mergeCell ref="E7:E9"/>
    <mergeCell ref="F7:F9"/>
    <mergeCell ref="G7:G9"/>
    <mergeCell ref="H7:H9"/>
    <mergeCell ref="I7:K7"/>
    <mergeCell ref="L7:L9"/>
    <mergeCell ref="K8:K9"/>
    <mergeCell ref="D113:F113"/>
  </mergeCells>
  <printOptions horizontalCentered="1"/>
  <pageMargins left="0.19685039370078741" right="0.19685039370078741" top="0.59055118110236227" bottom="0.59055118110236227" header="0.51181102362204722" footer="0.51181102362204722"/>
  <pageSetup paperSize="9" scale="59" fitToHeight="0" orientation="portrait" r:id="rId1"/>
  <headerFooter>
    <oddFooter>&amp;C- &amp;P -</oddFooter>
  </headerFoot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JA214"/>
  <sheetViews>
    <sheetView view="pageBreakPreview" zoomScale="85" zoomScaleNormal="100" zoomScaleSheetLayoutView="85" workbookViewId="0">
      <selection activeCell="B1" sqref="B1:M1"/>
    </sheetView>
  </sheetViews>
  <sheetFormatPr defaultColWidth="9.140625" defaultRowHeight="17.25" x14ac:dyDescent="0.35"/>
  <cols>
    <col min="1" max="1" width="4.5703125" style="750" customWidth="1"/>
    <col min="2" max="3" width="5.7109375" style="888" customWidth="1"/>
    <col min="4" max="4" width="62.7109375" style="418" customWidth="1"/>
    <col min="5" max="5" width="12.7109375" style="1023" customWidth="1"/>
    <col min="6" max="7" width="10.7109375" style="887" customWidth="1"/>
    <col min="8" max="8" width="6.7109375" style="753" customWidth="1"/>
    <col min="9" max="14" width="14.85546875" style="887" customWidth="1"/>
    <col min="15" max="15" width="15.7109375" style="774" customWidth="1"/>
    <col min="16" max="16" width="13.85546875" style="887" customWidth="1"/>
    <col min="17" max="16384" width="9.140625" style="418"/>
  </cols>
  <sheetData>
    <row r="1" spans="1:261" x14ac:dyDescent="0.35">
      <c r="A1" s="1970"/>
      <c r="B1" s="2332" t="s">
        <v>1369</v>
      </c>
      <c r="C1" s="2332"/>
      <c r="D1" s="2332"/>
      <c r="E1" s="2332"/>
      <c r="F1" s="2332"/>
      <c r="G1" s="2332"/>
      <c r="H1" s="2332"/>
      <c r="I1" s="2332"/>
      <c r="J1" s="2332"/>
      <c r="K1" s="2332"/>
      <c r="L1" s="2332"/>
      <c r="M1" s="2332"/>
    </row>
    <row r="2" spans="1:261" ht="18" customHeight="1" x14ac:dyDescent="0.35">
      <c r="A2" s="1970"/>
      <c r="B2" s="2333" t="s">
        <v>1213</v>
      </c>
      <c r="C2" s="2333"/>
      <c r="D2" s="2333"/>
      <c r="E2" s="2333"/>
      <c r="F2" s="2333"/>
      <c r="G2" s="2333"/>
      <c r="H2" s="2333"/>
      <c r="I2" s="2333"/>
      <c r="J2" s="2333"/>
      <c r="K2" s="2333"/>
      <c r="L2" s="2333"/>
      <c r="M2" s="2333"/>
      <c r="Q2" s="752"/>
      <c r="R2" s="752"/>
      <c r="S2" s="752"/>
      <c r="T2" s="752"/>
      <c r="U2" s="752"/>
      <c r="V2" s="752"/>
      <c r="W2" s="752"/>
      <c r="X2" s="752"/>
      <c r="Y2" s="752"/>
      <c r="Z2" s="752"/>
      <c r="AA2" s="752"/>
      <c r="AB2" s="752"/>
      <c r="AC2" s="752"/>
      <c r="AD2" s="752"/>
      <c r="AE2" s="752"/>
      <c r="AF2" s="752"/>
      <c r="AG2" s="752"/>
      <c r="AH2" s="752"/>
      <c r="AI2" s="752"/>
      <c r="AJ2" s="752"/>
      <c r="AK2" s="752"/>
      <c r="AL2" s="752"/>
      <c r="AM2" s="752"/>
      <c r="AN2" s="752"/>
      <c r="AO2" s="752"/>
      <c r="AP2" s="752"/>
      <c r="AQ2" s="752"/>
      <c r="AR2" s="752"/>
      <c r="AS2" s="752"/>
      <c r="AT2" s="752"/>
      <c r="AU2" s="752"/>
      <c r="AV2" s="752"/>
      <c r="AW2" s="752"/>
      <c r="AX2" s="752"/>
      <c r="AY2" s="752"/>
      <c r="AZ2" s="752"/>
      <c r="BA2" s="752"/>
      <c r="BB2" s="752"/>
      <c r="BC2" s="752"/>
      <c r="BD2" s="752"/>
      <c r="BE2" s="752"/>
      <c r="BF2" s="752"/>
      <c r="BG2" s="752"/>
      <c r="BH2" s="752"/>
      <c r="BI2" s="752"/>
      <c r="BJ2" s="752"/>
      <c r="BK2" s="752"/>
      <c r="BL2" s="752"/>
      <c r="BM2" s="752"/>
      <c r="BN2" s="752"/>
      <c r="BO2" s="752"/>
      <c r="BP2" s="752"/>
      <c r="BQ2" s="752"/>
      <c r="BR2" s="752"/>
      <c r="BS2" s="752"/>
      <c r="BT2" s="752"/>
      <c r="BU2" s="752"/>
      <c r="BV2" s="752"/>
      <c r="BW2" s="752"/>
      <c r="BX2" s="752"/>
      <c r="BY2" s="752"/>
      <c r="BZ2" s="752"/>
      <c r="CA2" s="752"/>
      <c r="CB2" s="752"/>
      <c r="CC2" s="752"/>
      <c r="CD2" s="752"/>
      <c r="CE2" s="752"/>
      <c r="CF2" s="752"/>
      <c r="CG2" s="752"/>
      <c r="CH2" s="752"/>
      <c r="CI2" s="752"/>
      <c r="CJ2" s="752"/>
      <c r="CK2" s="752"/>
      <c r="CL2" s="752"/>
      <c r="CM2" s="752"/>
      <c r="CN2" s="752"/>
      <c r="CO2" s="752"/>
      <c r="CP2" s="752"/>
      <c r="CQ2" s="752"/>
      <c r="CR2" s="752"/>
      <c r="CS2" s="752"/>
      <c r="CT2" s="752"/>
      <c r="CU2" s="752"/>
      <c r="CV2" s="752"/>
      <c r="CW2" s="752"/>
      <c r="CX2" s="752"/>
      <c r="CY2" s="752"/>
      <c r="CZ2" s="752"/>
      <c r="DA2" s="752"/>
      <c r="DB2" s="752"/>
      <c r="DC2" s="752"/>
      <c r="DD2" s="752"/>
      <c r="DE2" s="752"/>
      <c r="DF2" s="752"/>
      <c r="DG2" s="752"/>
      <c r="DH2" s="752"/>
      <c r="DI2" s="752"/>
      <c r="DJ2" s="752"/>
      <c r="DK2" s="752"/>
      <c r="DL2" s="752"/>
      <c r="DM2" s="752"/>
      <c r="DN2" s="752"/>
      <c r="DO2" s="752"/>
      <c r="DP2" s="752"/>
      <c r="DQ2" s="752"/>
      <c r="DR2" s="752"/>
      <c r="DS2" s="752"/>
      <c r="DT2" s="752"/>
      <c r="DU2" s="752"/>
      <c r="DV2" s="752"/>
      <c r="DW2" s="752"/>
      <c r="DX2" s="752"/>
      <c r="DY2" s="752"/>
      <c r="DZ2" s="752"/>
      <c r="EA2" s="752"/>
      <c r="EB2" s="752"/>
      <c r="EC2" s="752"/>
      <c r="ED2" s="752"/>
      <c r="EE2" s="752"/>
      <c r="EF2" s="752"/>
      <c r="EG2" s="752"/>
      <c r="EH2" s="752"/>
      <c r="EI2" s="752"/>
      <c r="EJ2" s="752"/>
      <c r="EK2" s="752"/>
      <c r="EL2" s="752"/>
      <c r="EM2" s="752"/>
      <c r="EN2" s="752"/>
      <c r="EO2" s="752"/>
      <c r="EP2" s="752"/>
      <c r="EQ2" s="752"/>
      <c r="ER2" s="752"/>
      <c r="ES2" s="752"/>
      <c r="ET2" s="752"/>
      <c r="EU2" s="752"/>
      <c r="EV2" s="752"/>
      <c r="EW2" s="752"/>
      <c r="EX2" s="752"/>
      <c r="EY2" s="752"/>
      <c r="EZ2" s="752"/>
      <c r="FA2" s="752"/>
      <c r="FB2" s="752"/>
      <c r="FC2" s="752"/>
      <c r="FD2" s="752"/>
      <c r="FE2" s="752"/>
      <c r="FF2" s="752"/>
      <c r="FG2" s="752"/>
      <c r="FH2" s="752"/>
      <c r="FI2" s="752"/>
      <c r="FJ2" s="752"/>
      <c r="FK2" s="752"/>
      <c r="FL2" s="752"/>
      <c r="FM2" s="752"/>
      <c r="FN2" s="752"/>
      <c r="FO2" s="752"/>
      <c r="FP2" s="752"/>
      <c r="FQ2" s="752"/>
      <c r="FR2" s="752"/>
      <c r="FS2" s="752"/>
      <c r="FT2" s="752"/>
      <c r="FU2" s="752"/>
      <c r="FV2" s="752"/>
      <c r="FW2" s="752"/>
      <c r="FX2" s="752"/>
      <c r="FY2" s="752"/>
      <c r="FZ2" s="752"/>
      <c r="GA2" s="752"/>
      <c r="GB2" s="752"/>
      <c r="GC2" s="752"/>
      <c r="GD2" s="752"/>
      <c r="GE2" s="752"/>
      <c r="GF2" s="752"/>
      <c r="GG2" s="752"/>
      <c r="GH2" s="752"/>
      <c r="GI2" s="752"/>
      <c r="GJ2" s="752"/>
      <c r="GK2" s="752"/>
      <c r="GL2" s="752"/>
      <c r="GM2" s="752"/>
      <c r="GN2" s="752"/>
      <c r="GO2" s="752"/>
      <c r="GP2" s="752"/>
      <c r="GQ2" s="752"/>
      <c r="GR2" s="752"/>
      <c r="GS2" s="752"/>
      <c r="GT2" s="752"/>
      <c r="GU2" s="752"/>
      <c r="GV2" s="752"/>
      <c r="GW2" s="752"/>
      <c r="GX2" s="752"/>
      <c r="GY2" s="752"/>
      <c r="GZ2" s="752"/>
      <c r="HA2" s="752"/>
      <c r="HB2" s="752"/>
      <c r="HC2" s="752"/>
      <c r="HD2" s="752"/>
      <c r="HE2" s="752"/>
      <c r="HF2" s="752"/>
      <c r="HG2" s="752"/>
      <c r="HH2" s="752"/>
      <c r="HI2" s="752"/>
      <c r="HJ2" s="752"/>
      <c r="HK2" s="752"/>
      <c r="HL2" s="752"/>
      <c r="HM2" s="752"/>
      <c r="HN2" s="752"/>
      <c r="HO2" s="752"/>
      <c r="HP2" s="752"/>
      <c r="HQ2" s="752"/>
      <c r="HR2" s="752"/>
      <c r="HS2" s="752"/>
      <c r="HT2" s="752"/>
      <c r="HU2" s="752"/>
      <c r="HV2" s="752"/>
      <c r="HW2" s="752"/>
      <c r="HX2" s="752"/>
      <c r="HY2" s="752"/>
      <c r="HZ2" s="752"/>
      <c r="IA2" s="752"/>
      <c r="IB2" s="752"/>
      <c r="IC2" s="752"/>
      <c r="ID2" s="752"/>
      <c r="IE2" s="752"/>
      <c r="IF2" s="752"/>
      <c r="IG2" s="752"/>
      <c r="IH2" s="752"/>
      <c r="II2" s="752"/>
      <c r="IJ2" s="752"/>
      <c r="IK2" s="752"/>
      <c r="IL2" s="752"/>
      <c r="IM2" s="752"/>
      <c r="IN2" s="752"/>
      <c r="IO2" s="752"/>
      <c r="IP2" s="752"/>
    </row>
    <row r="3" spans="1:261" ht="18" customHeight="1" x14ac:dyDescent="0.3">
      <c r="A3" s="1970"/>
      <c r="B3" s="1967"/>
      <c r="C3" s="1967"/>
      <c r="D3" s="1967"/>
      <c r="E3" s="1967"/>
      <c r="F3" s="1967"/>
      <c r="G3" s="1967"/>
      <c r="H3" s="1967"/>
      <c r="I3" s="1967"/>
      <c r="J3" s="1967"/>
      <c r="K3" s="1967"/>
      <c r="L3" s="1967"/>
      <c r="M3" s="1967"/>
      <c r="N3" s="1967"/>
      <c r="O3" s="1967"/>
      <c r="P3" s="1967"/>
      <c r="Q3" s="752"/>
      <c r="R3" s="752"/>
      <c r="S3" s="752"/>
      <c r="T3" s="752"/>
      <c r="U3" s="752"/>
      <c r="V3" s="752"/>
      <c r="W3" s="752"/>
      <c r="X3" s="752"/>
      <c r="Y3" s="752"/>
      <c r="Z3" s="752"/>
      <c r="AA3" s="752"/>
      <c r="AB3" s="752"/>
      <c r="AC3" s="752"/>
      <c r="AD3" s="752"/>
      <c r="AE3" s="752"/>
      <c r="AF3" s="752"/>
      <c r="AG3" s="752"/>
      <c r="AH3" s="752"/>
      <c r="AI3" s="752"/>
      <c r="AJ3" s="752"/>
      <c r="AK3" s="752"/>
      <c r="AL3" s="752"/>
      <c r="AM3" s="752"/>
      <c r="AN3" s="752"/>
      <c r="AO3" s="752"/>
      <c r="AP3" s="752"/>
      <c r="AQ3" s="752"/>
      <c r="AR3" s="752"/>
      <c r="AS3" s="752"/>
      <c r="AT3" s="752"/>
      <c r="AU3" s="752"/>
      <c r="AV3" s="752"/>
      <c r="AW3" s="752"/>
      <c r="AX3" s="752"/>
      <c r="AY3" s="752"/>
      <c r="AZ3" s="752"/>
      <c r="BA3" s="752"/>
      <c r="BB3" s="752"/>
      <c r="BC3" s="752"/>
      <c r="BD3" s="752"/>
      <c r="BE3" s="752"/>
      <c r="BF3" s="752"/>
      <c r="BG3" s="752"/>
      <c r="BH3" s="752"/>
      <c r="BI3" s="752"/>
      <c r="BJ3" s="752"/>
      <c r="BK3" s="752"/>
      <c r="BL3" s="752"/>
      <c r="BM3" s="752"/>
      <c r="BN3" s="752"/>
      <c r="BO3" s="752"/>
      <c r="BP3" s="752"/>
      <c r="BQ3" s="752"/>
      <c r="BR3" s="752"/>
      <c r="BS3" s="752"/>
      <c r="BT3" s="752"/>
      <c r="BU3" s="752"/>
      <c r="BV3" s="752"/>
      <c r="BW3" s="752"/>
      <c r="BX3" s="752"/>
      <c r="BY3" s="752"/>
      <c r="BZ3" s="752"/>
      <c r="CA3" s="752"/>
      <c r="CB3" s="752"/>
      <c r="CC3" s="752"/>
      <c r="CD3" s="752"/>
      <c r="CE3" s="752"/>
      <c r="CF3" s="752"/>
      <c r="CG3" s="752"/>
      <c r="CH3" s="752"/>
      <c r="CI3" s="752"/>
      <c r="CJ3" s="752"/>
      <c r="CK3" s="752"/>
      <c r="CL3" s="752"/>
      <c r="CM3" s="752"/>
      <c r="CN3" s="752"/>
      <c r="CO3" s="752"/>
      <c r="CP3" s="752"/>
      <c r="CQ3" s="752"/>
      <c r="CR3" s="752"/>
      <c r="CS3" s="752"/>
      <c r="CT3" s="752"/>
      <c r="CU3" s="752"/>
      <c r="CV3" s="752"/>
      <c r="CW3" s="752"/>
      <c r="CX3" s="752"/>
      <c r="CY3" s="752"/>
      <c r="CZ3" s="752"/>
      <c r="DA3" s="752"/>
      <c r="DB3" s="752"/>
      <c r="DC3" s="752"/>
      <c r="DD3" s="752"/>
      <c r="DE3" s="752"/>
      <c r="DF3" s="752"/>
      <c r="DG3" s="752"/>
      <c r="DH3" s="752"/>
      <c r="DI3" s="752"/>
      <c r="DJ3" s="752"/>
      <c r="DK3" s="752"/>
      <c r="DL3" s="752"/>
      <c r="DM3" s="752"/>
      <c r="DN3" s="752"/>
      <c r="DO3" s="752"/>
      <c r="DP3" s="752"/>
      <c r="DQ3" s="752"/>
      <c r="DR3" s="752"/>
      <c r="DS3" s="752"/>
      <c r="DT3" s="752"/>
      <c r="DU3" s="752"/>
      <c r="DV3" s="752"/>
      <c r="DW3" s="752"/>
      <c r="DX3" s="752"/>
      <c r="DY3" s="752"/>
      <c r="DZ3" s="752"/>
      <c r="EA3" s="752"/>
      <c r="EB3" s="752"/>
      <c r="EC3" s="752"/>
      <c r="ED3" s="752"/>
      <c r="EE3" s="752"/>
      <c r="EF3" s="752"/>
      <c r="EG3" s="752"/>
      <c r="EH3" s="752"/>
      <c r="EI3" s="752"/>
      <c r="EJ3" s="752"/>
      <c r="EK3" s="752"/>
      <c r="EL3" s="752"/>
      <c r="EM3" s="752"/>
      <c r="EN3" s="752"/>
      <c r="EO3" s="752"/>
      <c r="EP3" s="752"/>
      <c r="EQ3" s="752"/>
      <c r="ER3" s="752"/>
      <c r="ES3" s="752"/>
      <c r="ET3" s="752"/>
      <c r="EU3" s="752"/>
      <c r="EV3" s="752"/>
      <c r="EW3" s="752"/>
      <c r="EX3" s="752"/>
      <c r="EY3" s="752"/>
      <c r="EZ3" s="752"/>
      <c r="FA3" s="752"/>
      <c r="FB3" s="752"/>
      <c r="FC3" s="752"/>
      <c r="FD3" s="752"/>
      <c r="FE3" s="752"/>
      <c r="FF3" s="752"/>
      <c r="FG3" s="752"/>
      <c r="FH3" s="752"/>
      <c r="FI3" s="752"/>
      <c r="FJ3" s="752"/>
      <c r="FK3" s="752"/>
      <c r="FL3" s="752"/>
      <c r="FM3" s="752"/>
      <c r="FN3" s="752"/>
      <c r="FO3" s="752"/>
      <c r="FP3" s="752"/>
      <c r="FQ3" s="752"/>
      <c r="FR3" s="752"/>
      <c r="FS3" s="752"/>
      <c r="FT3" s="752"/>
      <c r="FU3" s="752"/>
      <c r="FV3" s="752"/>
      <c r="FW3" s="752"/>
      <c r="FX3" s="752"/>
      <c r="FY3" s="752"/>
      <c r="FZ3" s="752"/>
      <c r="GA3" s="752"/>
      <c r="GB3" s="752"/>
      <c r="GC3" s="752"/>
      <c r="GD3" s="752"/>
      <c r="GE3" s="752"/>
      <c r="GF3" s="752"/>
      <c r="GG3" s="752"/>
      <c r="GH3" s="752"/>
      <c r="GI3" s="752"/>
      <c r="GJ3" s="752"/>
      <c r="GK3" s="752"/>
      <c r="GL3" s="752"/>
      <c r="GM3" s="752"/>
      <c r="GN3" s="752"/>
      <c r="GO3" s="752"/>
      <c r="GP3" s="752"/>
      <c r="GQ3" s="752"/>
      <c r="GR3" s="752"/>
      <c r="GS3" s="752"/>
      <c r="GT3" s="752"/>
      <c r="GU3" s="752"/>
      <c r="GV3" s="752"/>
      <c r="GW3" s="752"/>
      <c r="GX3" s="752"/>
      <c r="GY3" s="752"/>
      <c r="GZ3" s="752"/>
      <c r="HA3" s="752"/>
      <c r="HB3" s="752"/>
      <c r="HC3" s="752"/>
      <c r="HD3" s="752"/>
      <c r="HE3" s="752"/>
      <c r="HF3" s="752"/>
      <c r="HG3" s="752"/>
      <c r="HH3" s="752"/>
      <c r="HI3" s="752"/>
      <c r="HJ3" s="752"/>
      <c r="HK3" s="752"/>
      <c r="HL3" s="752"/>
      <c r="HM3" s="752"/>
      <c r="HN3" s="752"/>
      <c r="HO3" s="752"/>
      <c r="HP3" s="752"/>
      <c r="HQ3" s="752"/>
      <c r="HR3" s="752"/>
      <c r="HS3" s="752"/>
      <c r="HT3" s="752"/>
      <c r="HU3" s="752"/>
      <c r="HV3" s="752"/>
      <c r="HW3" s="752"/>
      <c r="HX3" s="752"/>
      <c r="HY3" s="752"/>
      <c r="HZ3" s="752"/>
      <c r="IA3" s="752"/>
      <c r="IB3" s="752"/>
      <c r="IC3" s="752"/>
      <c r="ID3" s="752"/>
      <c r="IE3" s="752"/>
      <c r="IF3" s="752"/>
      <c r="IG3" s="752"/>
      <c r="IH3" s="752"/>
      <c r="II3" s="752"/>
      <c r="IJ3" s="752"/>
      <c r="IK3" s="752"/>
      <c r="IL3" s="752"/>
      <c r="IM3" s="752"/>
      <c r="IN3" s="752"/>
      <c r="IO3" s="752"/>
      <c r="IP3" s="752"/>
    </row>
    <row r="4" spans="1:261" ht="24.75" customHeight="1" x14ac:dyDescent="0.35">
      <c r="A4" s="2337" t="s">
        <v>14</v>
      </c>
      <c r="B4" s="2337"/>
      <c r="C4" s="2337"/>
      <c r="D4" s="2337"/>
      <c r="E4" s="2337"/>
      <c r="F4" s="2337"/>
      <c r="G4" s="2337"/>
      <c r="H4" s="2337"/>
      <c r="I4" s="2337"/>
      <c r="J4" s="2337"/>
      <c r="K4" s="2337"/>
      <c r="L4" s="2337"/>
      <c r="M4" s="2337"/>
      <c r="N4" s="2337"/>
      <c r="O4" s="2337"/>
      <c r="P4" s="2337"/>
    </row>
    <row r="5" spans="1:261" ht="24.75" customHeight="1" x14ac:dyDescent="0.35">
      <c r="A5" s="2381" t="s">
        <v>1140</v>
      </c>
      <c r="B5" s="2381"/>
      <c r="C5" s="2381"/>
      <c r="D5" s="2381"/>
      <c r="E5" s="2381"/>
      <c r="F5" s="2381"/>
      <c r="G5" s="2381"/>
      <c r="H5" s="2381"/>
      <c r="I5" s="2381"/>
      <c r="J5" s="2381"/>
      <c r="K5" s="2381"/>
      <c r="L5" s="2381"/>
      <c r="M5" s="2381"/>
      <c r="N5" s="2381"/>
      <c r="O5" s="2381"/>
      <c r="P5" s="2381"/>
    </row>
    <row r="6" spans="1:261" s="968" customFormat="1" ht="18" customHeight="1" x14ac:dyDescent="0.3">
      <c r="A6" s="750"/>
      <c r="B6" s="750"/>
      <c r="C6" s="750"/>
      <c r="E6" s="709"/>
      <c r="F6" s="709"/>
      <c r="G6" s="709"/>
      <c r="H6" s="969"/>
      <c r="I6" s="709"/>
      <c r="J6" s="709"/>
      <c r="K6" s="709"/>
      <c r="L6" s="709"/>
      <c r="M6" s="709"/>
      <c r="N6" s="709"/>
      <c r="O6" s="970"/>
      <c r="P6" s="715" t="s">
        <v>0</v>
      </c>
    </row>
    <row r="7" spans="1:261" s="974" customFormat="1" ht="18" customHeight="1" thickBot="1" x14ac:dyDescent="0.35">
      <c r="A7" s="971"/>
      <c r="B7" s="972" t="s">
        <v>1</v>
      </c>
      <c r="C7" s="973" t="s">
        <v>3</v>
      </c>
      <c r="D7" s="973" t="s">
        <v>2</v>
      </c>
      <c r="E7" s="973" t="s">
        <v>4</v>
      </c>
      <c r="F7" s="973" t="s">
        <v>5</v>
      </c>
      <c r="G7" s="973" t="s">
        <v>15</v>
      </c>
      <c r="H7" s="973" t="s">
        <v>16</v>
      </c>
      <c r="I7" s="973" t="s">
        <v>17</v>
      </c>
      <c r="J7" s="973" t="s">
        <v>36</v>
      </c>
      <c r="K7" s="973" t="s">
        <v>30</v>
      </c>
      <c r="L7" s="973" t="s">
        <v>23</v>
      </c>
      <c r="M7" s="973" t="s">
        <v>37</v>
      </c>
      <c r="N7" s="973" t="s">
        <v>38</v>
      </c>
      <c r="O7" s="973" t="s">
        <v>160</v>
      </c>
      <c r="P7" s="973" t="s">
        <v>161</v>
      </c>
      <c r="Q7" s="971"/>
      <c r="R7" s="971"/>
      <c r="S7" s="971"/>
      <c r="T7" s="971"/>
      <c r="U7" s="971"/>
      <c r="V7" s="971"/>
      <c r="W7" s="971"/>
      <c r="X7" s="971"/>
      <c r="Y7" s="971"/>
      <c r="Z7" s="971"/>
      <c r="AA7" s="971"/>
      <c r="AB7" s="971"/>
      <c r="AC7" s="971"/>
      <c r="AD7" s="971"/>
      <c r="AE7" s="971"/>
      <c r="AF7" s="971"/>
      <c r="AG7" s="971"/>
      <c r="AH7" s="971"/>
      <c r="AI7" s="971"/>
      <c r="AJ7" s="971"/>
      <c r="AK7" s="971"/>
      <c r="AL7" s="971"/>
      <c r="AM7" s="971"/>
      <c r="AN7" s="971"/>
      <c r="AO7" s="971"/>
      <c r="AP7" s="971"/>
      <c r="AQ7" s="971"/>
      <c r="AR7" s="971"/>
      <c r="AS7" s="971"/>
      <c r="AT7" s="971"/>
      <c r="AU7" s="971"/>
      <c r="AV7" s="971"/>
      <c r="AW7" s="971"/>
      <c r="AX7" s="971"/>
      <c r="AY7" s="971"/>
      <c r="AZ7" s="971"/>
      <c r="BA7" s="971"/>
      <c r="BB7" s="971"/>
      <c r="BC7" s="971"/>
      <c r="BD7" s="971"/>
      <c r="BE7" s="971"/>
      <c r="BF7" s="971"/>
      <c r="BG7" s="971"/>
      <c r="BH7" s="971"/>
      <c r="BI7" s="971"/>
      <c r="BJ7" s="971"/>
      <c r="BK7" s="971"/>
      <c r="BL7" s="971"/>
      <c r="BM7" s="971"/>
      <c r="BN7" s="971"/>
      <c r="BO7" s="971"/>
      <c r="BP7" s="971"/>
      <c r="BQ7" s="971"/>
      <c r="BR7" s="971"/>
      <c r="BS7" s="971"/>
      <c r="BT7" s="971"/>
      <c r="BU7" s="971"/>
      <c r="BV7" s="971"/>
      <c r="BW7" s="971"/>
      <c r="BX7" s="971"/>
      <c r="BY7" s="971"/>
      <c r="BZ7" s="971"/>
      <c r="CA7" s="971"/>
      <c r="CB7" s="971"/>
      <c r="CC7" s="971"/>
      <c r="CD7" s="971"/>
      <c r="CE7" s="971"/>
      <c r="CF7" s="971"/>
      <c r="CG7" s="971"/>
      <c r="CH7" s="971"/>
      <c r="CI7" s="971"/>
      <c r="CJ7" s="971"/>
      <c r="CK7" s="971"/>
      <c r="CL7" s="971"/>
      <c r="CM7" s="971"/>
      <c r="CN7" s="971"/>
      <c r="CO7" s="971"/>
      <c r="CP7" s="971"/>
      <c r="CQ7" s="971"/>
      <c r="CR7" s="971"/>
      <c r="CS7" s="971"/>
      <c r="CT7" s="971"/>
      <c r="CU7" s="971"/>
      <c r="CV7" s="971"/>
      <c r="CW7" s="971"/>
      <c r="CX7" s="971"/>
      <c r="CY7" s="971"/>
      <c r="CZ7" s="971"/>
      <c r="DA7" s="971"/>
      <c r="DB7" s="971"/>
      <c r="DC7" s="971"/>
      <c r="DD7" s="971"/>
      <c r="DE7" s="971"/>
      <c r="DF7" s="971"/>
      <c r="DG7" s="971"/>
      <c r="DH7" s="971"/>
      <c r="DI7" s="971"/>
      <c r="DJ7" s="971"/>
      <c r="DK7" s="971"/>
      <c r="DL7" s="971"/>
      <c r="DM7" s="971"/>
      <c r="DN7" s="971"/>
      <c r="DO7" s="971"/>
      <c r="DP7" s="971"/>
      <c r="DQ7" s="971"/>
      <c r="DR7" s="971"/>
      <c r="DS7" s="971"/>
      <c r="DT7" s="971"/>
      <c r="DU7" s="971"/>
      <c r="DV7" s="971"/>
      <c r="DW7" s="971"/>
      <c r="DX7" s="971"/>
      <c r="DY7" s="971"/>
      <c r="DZ7" s="971"/>
      <c r="EA7" s="971"/>
      <c r="EB7" s="971"/>
      <c r="EC7" s="971"/>
      <c r="ED7" s="971"/>
      <c r="EE7" s="971"/>
      <c r="EF7" s="971"/>
      <c r="EG7" s="971"/>
      <c r="EH7" s="971"/>
      <c r="EI7" s="971"/>
      <c r="EJ7" s="971"/>
      <c r="EK7" s="971"/>
      <c r="EL7" s="971"/>
      <c r="EM7" s="971"/>
      <c r="EN7" s="971"/>
      <c r="EO7" s="971"/>
      <c r="EP7" s="971"/>
      <c r="EQ7" s="971"/>
      <c r="ER7" s="971"/>
      <c r="ES7" s="971"/>
      <c r="ET7" s="971"/>
      <c r="EU7" s="971"/>
      <c r="EV7" s="971"/>
      <c r="EW7" s="971"/>
      <c r="EX7" s="971"/>
      <c r="EY7" s="971"/>
      <c r="EZ7" s="971"/>
      <c r="FA7" s="971"/>
      <c r="FB7" s="971"/>
      <c r="FC7" s="971"/>
      <c r="FD7" s="971"/>
      <c r="FE7" s="971"/>
      <c r="FF7" s="971"/>
      <c r="FG7" s="971"/>
      <c r="FH7" s="971"/>
      <c r="FI7" s="971"/>
      <c r="FJ7" s="971"/>
      <c r="FK7" s="971"/>
      <c r="FL7" s="971"/>
      <c r="FM7" s="971"/>
      <c r="FN7" s="971"/>
      <c r="FO7" s="971"/>
      <c r="FP7" s="971"/>
      <c r="FQ7" s="971"/>
      <c r="FR7" s="971"/>
      <c r="FS7" s="971"/>
      <c r="FT7" s="971"/>
      <c r="FU7" s="971"/>
      <c r="FV7" s="971"/>
      <c r="FW7" s="971"/>
      <c r="FX7" s="971"/>
      <c r="FY7" s="971"/>
      <c r="FZ7" s="971"/>
      <c r="GA7" s="971"/>
      <c r="GB7" s="971"/>
      <c r="GC7" s="971"/>
      <c r="GD7" s="971"/>
      <c r="GE7" s="971"/>
      <c r="GF7" s="971"/>
      <c r="GG7" s="971"/>
      <c r="GH7" s="971"/>
      <c r="GI7" s="971"/>
      <c r="GJ7" s="971"/>
      <c r="GK7" s="971"/>
      <c r="GL7" s="971"/>
      <c r="GM7" s="971"/>
      <c r="GN7" s="971"/>
      <c r="GO7" s="971"/>
      <c r="GP7" s="971"/>
      <c r="GQ7" s="971"/>
      <c r="GR7" s="971"/>
      <c r="GS7" s="971"/>
      <c r="GT7" s="971"/>
      <c r="GU7" s="971"/>
      <c r="GV7" s="971"/>
      <c r="GW7" s="971"/>
      <c r="GX7" s="971"/>
      <c r="GY7" s="971"/>
      <c r="GZ7" s="971"/>
      <c r="HA7" s="971"/>
      <c r="HB7" s="971"/>
      <c r="HC7" s="971"/>
      <c r="HD7" s="971"/>
      <c r="HE7" s="971"/>
      <c r="HF7" s="971"/>
      <c r="HG7" s="971"/>
      <c r="HH7" s="971"/>
      <c r="HI7" s="971"/>
      <c r="HJ7" s="971"/>
      <c r="HK7" s="971"/>
      <c r="HL7" s="971"/>
      <c r="HM7" s="971"/>
      <c r="HN7" s="971"/>
      <c r="HO7" s="971"/>
      <c r="HP7" s="971"/>
      <c r="HQ7" s="971"/>
      <c r="HR7" s="971"/>
      <c r="HS7" s="971"/>
      <c r="HT7" s="971"/>
      <c r="HU7" s="971"/>
      <c r="HV7" s="971"/>
      <c r="HW7" s="971"/>
      <c r="HX7" s="971"/>
      <c r="HY7" s="971"/>
      <c r="HZ7" s="971"/>
      <c r="IA7" s="971"/>
      <c r="IB7" s="971"/>
      <c r="IC7" s="971"/>
      <c r="ID7" s="971"/>
      <c r="IE7" s="971"/>
      <c r="IF7" s="971"/>
      <c r="IG7" s="971"/>
      <c r="IH7" s="971"/>
      <c r="II7" s="971"/>
      <c r="IJ7" s="971"/>
      <c r="IK7" s="971"/>
      <c r="IL7" s="971"/>
      <c r="IM7" s="971"/>
      <c r="IN7" s="971"/>
      <c r="IO7" s="971"/>
      <c r="IP7" s="971"/>
    </row>
    <row r="8" spans="1:261" ht="22.5" customHeight="1" x14ac:dyDescent="0.3">
      <c r="B8" s="2375" t="s">
        <v>18</v>
      </c>
      <c r="C8" s="2409" t="s">
        <v>19</v>
      </c>
      <c r="D8" s="2382" t="s">
        <v>6</v>
      </c>
      <c r="E8" s="2378" t="s">
        <v>644</v>
      </c>
      <c r="F8" s="2378" t="s">
        <v>650</v>
      </c>
      <c r="G8" s="2385" t="s">
        <v>1001</v>
      </c>
      <c r="H8" s="2354" t="s">
        <v>20</v>
      </c>
      <c r="I8" s="2388" t="s">
        <v>631</v>
      </c>
      <c r="J8" s="2378"/>
      <c r="K8" s="2378"/>
      <c r="L8" s="2378"/>
      <c r="M8" s="2378"/>
      <c r="N8" s="2378"/>
      <c r="O8" s="2389"/>
      <c r="P8" s="2390" t="s">
        <v>640</v>
      </c>
      <c r="Q8" s="2374"/>
      <c r="R8" s="2374"/>
    </row>
    <row r="9" spans="1:261" ht="33" customHeight="1" x14ac:dyDescent="0.3">
      <c r="B9" s="2376"/>
      <c r="C9" s="2410"/>
      <c r="D9" s="2383"/>
      <c r="E9" s="2379"/>
      <c r="F9" s="2379"/>
      <c r="G9" s="2386"/>
      <c r="H9" s="2355"/>
      <c r="I9" s="2393" t="s">
        <v>646</v>
      </c>
      <c r="J9" s="2394"/>
      <c r="K9" s="2395"/>
      <c r="L9" s="2395"/>
      <c r="M9" s="2396" t="s">
        <v>163</v>
      </c>
      <c r="N9" s="2396"/>
      <c r="O9" s="2397" t="s">
        <v>129</v>
      </c>
      <c r="P9" s="2391"/>
    </row>
    <row r="10" spans="1:261" ht="53.25" customHeight="1" thickBot="1" x14ac:dyDescent="0.35">
      <c r="B10" s="2377"/>
      <c r="C10" s="2411"/>
      <c r="D10" s="2384"/>
      <c r="E10" s="2380"/>
      <c r="F10" s="2380"/>
      <c r="G10" s="2387"/>
      <c r="H10" s="2356"/>
      <c r="I10" s="993" t="s">
        <v>40</v>
      </c>
      <c r="J10" s="754" t="s">
        <v>641</v>
      </c>
      <c r="K10" s="755" t="s">
        <v>42</v>
      </c>
      <c r="L10" s="755" t="s">
        <v>643</v>
      </c>
      <c r="M10" s="754" t="s">
        <v>229</v>
      </c>
      <c r="N10" s="754" t="s">
        <v>164</v>
      </c>
      <c r="O10" s="2398"/>
      <c r="P10" s="2392"/>
    </row>
    <row r="11" spans="1:261" s="758" customFormat="1" ht="22.5" customHeight="1" x14ac:dyDescent="0.35">
      <c r="A11" s="773">
        <v>1</v>
      </c>
      <c r="B11" s="756">
        <v>18</v>
      </c>
      <c r="C11" s="768" t="s">
        <v>14</v>
      </c>
      <c r="D11" s="981"/>
      <c r="E11" s="427"/>
      <c r="F11" s="425"/>
      <c r="G11" s="426"/>
      <c r="H11" s="998"/>
      <c r="I11" s="1014"/>
      <c r="J11" s="1015"/>
      <c r="K11" s="1015"/>
      <c r="L11" s="1015"/>
      <c r="M11" s="1015"/>
      <c r="N11" s="1015"/>
      <c r="O11" s="1016"/>
      <c r="P11" s="760"/>
      <c r="Q11" s="418"/>
      <c r="R11" s="418"/>
      <c r="S11" s="418"/>
      <c r="T11" s="418"/>
      <c r="U11" s="418"/>
      <c r="V11" s="418"/>
      <c r="W11" s="418"/>
      <c r="X11" s="418"/>
      <c r="Y11" s="418"/>
      <c r="Z11" s="418"/>
      <c r="AA11" s="418"/>
      <c r="AB11" s="418"/>
      <c r="AC11" s="418"/>
      <c r="AD11" s="418"/>
      <c r="AE11" s="418"/>
      <c r="AF11" s="418"/>
      <c r="AG11" s="418"/>
      <c r="AH11" s="418"/>
      <c r="AI11" s="418"/>
      <c r="AJ11" s="418"/>
      <c r="AK11" s="418"/>
      <c r="AL11" s="418"/>
      <c r="AM11" s="418"/>
      <c r="AN11" s="418"/>
      <c r="AO11" s="418"/>
      <c r="AP11" s="418"/>
      <c r="AQ11" s="418"/>
      <c r="AR11" s="418"/>
      <c r="AS11" s="418"/>
      <c r="AT11" s="418"/>
      <c r="AU11" s="418"/>
      <c r="AV11" s="418"/>
      <c r="AW11" s="418"/>
      <c r="AX11" s="418"/>
      <c r="AY11" s="418"/>
      <c r="AZ11" s="418"/>
      <c r="BA11" s="418"/>
      <c r="BB11" s="418"/>
      <c r="BC11" s="418"/>
      <c r="BD11" s="418"/>
      <c r="BE11" s="418"/>
      <c r="BF11" s="418"/>
      <c r="BG11" s="418"/>
      <c r="BH11" s="418"/>
      <c r="BI11" s="418"/>
      <c r="BJ11" s="418"/>
      <c r="BK11" s="418"/>
      <c r="BL11" s="418"/>
      <c r="BM11" s="418"/>
      <c r="BN11" s="418"/>
      <c r="BO11" s="418"/>
      <c r="BP11" s="418"/>
      <c r="BQ11" s="418"/>
      <c r="BR11" s="418"/>
      <c r="BS11" s="418"/>
      <c r="BT11" s="418"/>
      <c r="BU11" s="418"/>
      <c r="BV11" s="418"/>
      <c r="BW11" s="418"/>
      <c r="BX11" s="418"/>
      <c r="BY11" s="418"/>
      <c r="BZ11" s="418"/>
      <c r="CA11" s="418"/>
      <c r="CB11" s="418"/>
      <c r="CC11" s="418"/>
      <c r="CD11" s="418"/>
      <c r="CE11" s="418"/>
      <c r="CF11" s="418"/>
      <c r="CG11" s="418"/>
      <c r="CH11" s="418"/>
      <c r="CI11" s="418"/>
      <c r="CJ11" s="418"/>
      <c r="CK11" s="418"/>
      <c r="CL11" s="418"/>
      <c r="CM11" s="418"/>
      <c r="CN11" s="418"/>
      <c r="CO11" s="418"/>
      <c r="CP11" s="418"/>
      <c r="CQ11" s="418"/>
      <c r="CR11" s="418"/>
      <c r="CS11" s="418"/>
      <c r="CT11" s="418"/>
      <c r="CU11" s="418"/>
      <c r="CV11" s="418"/>
      <c r="CW11" s="418"/>
      <c r="CX11" s="418"/>
      <c r="CY11" s="418"/>
      <c r="CZ11" s="418"/>
      <c r="DA11" s="418"/>
      <c r="DB11" s="418"/>
      <c r="DC11" s="418"/>
      <c r="DD11" s="418"/>
      <c r="DE11" s="418"/>
      <c r="DF11" s="418"/>
      <c r="DG11" s="418"/>
      <c r="DH11" s="418"/>
      <c r="DI11" s="418"/>
      <c r="DJ11" s="418"/>
      <c r="DK11" s="418"/>
      <c r="DL11" s="418"/>
      <c r="DM11" s="418"/>
      <c r="DN11" s="418"/>
      <c r="DO11" s="418"/>
      <c r="DP11" s="418"/>
      <c r="DQ11" s="418"/>
      <c r="DR11" s="418"/>
      <c r="DS11" s="418"/>
      <c r="DT11" s="418"/>
      <c r="DU11" s="418"/>
      <c r="DV11" s="418"/>
      <c r="DW11" s="418"/>
      <c r="DX11" s="418"/>
      <c r="DY11" s="418"/>
      <c r="DZ11" s="418"/>
      <c r="EA11" s="418"/>
      <c r="EB11" s="418"/>
      <c r="EC11" s="418"/>
      <c r="ED11" s="418"/>
      <c r="EE11" s="418"/>
      <c r="EF11" s="418"/>
      <c r="EG11" s="418"/>
      <c r="EH11" s="418"/>
      <c r="EI11" s="418"/>
      <c r="EJ11" s="418"/>
      <c r="EK11" s="418"/>
      <c r="EL11" s="418"/>
      <c r="EM11" s="418"/>
      <c r="EN11" s="418"/>
      <c r="EO11" s="418"/>
      <c r="EP11" s="418"/>
      <c r="EQ11" s="418"/>
      <c r="ER11" s="418"/>
      <c r="ES11" s="418"/>
      <c r="ET11" s="418"/>
      <c r="EU11" s="418"/>
      <c r="EV11" s="418"/>
      <c r="EW11" s="418"/>
      <c r="EX11" s="418"/>
      <c r="EY11" s="418"/>
      <c r="EZ11" s="418"/>
      <c r="FA11" s="418"/>
      <c r="FB11" s="418"/>
      <c r="FC11" s="418"/>
      <c r="FD11" s="418"/>
      <c r="FE11" s="418"/>
      <c r="FF11" s="418"/>
      <c r="FG11" s="418"/>
      <c r="FH11" s="418"/>
      <c r="FI11" s="418"/>
      <c r="FJ11" s="418"/>
      <c r="FK11" s="418"/>
      <c r="FL11" s="418"/>
      <c r="FM11" s="418"/>
      <c r="FN11" s="418"/>
      <c r="FO11" s="418"/>
      <c r="FP11" s="418"/>
      <c r="FQ11" s="418"/>
      <c r="FR11" s="418"/>
      <c r="FS11" s="418"/>
      <c r="FT11" s="418"/>
      <c r="FU11" s="418"/>
      <c r="FV11" s="418"/>
      <c r="FW11" s="418"/>
      <c r="FX11" s="418"/>
      <c r="FY11" s="418"/>
      <c r="FZ11" s="418"/>
      <c r="GA11" s="418"/>
      <c r="GB11" s="418"/>
      <c r="GC11" s="418"/>
      <c r="GD11" s="418"/>
      <c r="GE11" s="418"/>
      <c r="GF11" s="418"/>
      <c r="GG11" s="418"/>
      <c r="GH11" s="418"/>
      <c r="GI11" s="418"/>
      <c r="GJ11" s="418"/>
      <c r="GK11" s="418"/>
      <c r="GL11" s="418"/>
      <c r="GM11" s="418"/>
      <c r="GN11" s="418"/>
      <c r="GO11" s="418"/>
      <c r="GP11" s="418"/>
      <c r="GQ11" s="418"/>
      <c r="GR11" s="418"/>
      <c r="GS11" s="418"/>
      <c r="GT11" s="418"/>
      <c r="GU11" s="418"/>
      <c r="GV11" s="418"/>
      <c r="GW11" s="418"/>
      <c r="GX11" s="418"/>
      <c r="GY11" s="418"/>
      <c r="GZ11" s="418"/>
      <c r="HA11" s="418"/>
      <c r="HB11" s="418"/>
      <c r="HC11" s="418"/>
      <c r="HD11" s="418"/>
      <c r="HE11" s="418"/>
      <c r="HF11" s="418"/>
      <c r="HG11" s="418"/>
      <c r="HH11" s="418"/>
      <c r="HI11" s="418"/>
      <c r="HJ11" s="418"/>
      <c r="HK11" s="418"/>
      <c r="HL11" s="418"/>
      <c r="HM11" s="418"/>
      <c r="HN11" s="418"/>
      <c r="HO11" s="418"/>
      <c r="HP11" s="418"/>
      <c r="HQ11" s="418"/>
      <c r="HR11" s="418"/>
      <c r="HS11" s="418"/>
      <c r="HT11" s="418"/>
      <c r="HU11" s="418"/>
      <c r="HV11" s="418"/>
      <c r="HW11" s="418"/>
      <c r="HX11" s="418"/>
      <c r="HY11" s="418"/>
      <c r="HZ11" s="418"/>
      <c r="IA11" s="418"/>
      <c r="IB11" s="418"/>
      <c r="IC11" s="418"/>
      <c r="ID11" s="418"/>
      <c r="IE11" s="418"/>
      <c r="IF11" s="418"/>
      <c r="IG11" s="418"/>
      <c r="IH11" s="418"/>
      <c r="II11" s="418"/>
      <c r="IJ11" s="418"/>
      <c r="IK11" s="418"/>
      <c r="IL11" s="418"/>
      <c r="IM11" s="418"/>
      <c r="IN11" s="418"/>
      <c r="IO11" s="418"/>
      <c r="IP11" s="418"/>
      <c r="IQ11" s="418"/>
      <c r="IR11" s="418"/>
      <c r="IS11" s="418"/>
      <c r="IT11" s="418"/>
      <c r="IU11" s="418"/>
      <c r="IV11" s="418"/>
      <c r="IW11" s="418"/>
      <c r="IX11" s="418"/>
      <c r="IY11" s="418"/>
      <c r="IZ11" s="418"/>
      <c r="JA11" s="418"/>
    </row>
    <row r="12" spans="1:261" s="758" customFormat="1" ht="22.5" customHeight="1" x14ac:dyDescent="0.35">
      <c r="A12" s="773">
        <v>2</v>
      </c>
      <c r="B12" s="766"/>
      <c r="C12" s="464">
        <v>1</v>
      </c>
      <c r="D12" s="761" t="s">
        <v>605</v>
      </c>
      <c r="E12" s="430"/>
      <c r="F12" s="762"/>
      <c r="G12" s="431"/>
      <c r="H12" s="999" t="s">
        <v>24</v>
      </c>
      <c r="I12" s="1017"/>
      <c r="J12" s="1013"/>
      <c r="K12" s="1013"/>
      <c r="L12" s="1013"/>
      <c r="M12" s="1013"/>
      <c r="N12" s="1013"/>
      <c r="O12" s="982"/>
      <c r="P12" s="763"/>
      <c r="Q12" s="418"/>
      <c r="R12" s="418"/>
      <c r="S12" s="418"/>
      <c r="T12" s="418"/>
      <c r="U12" s="418"/>
      <c r="V12" s="418"/>
      <c r="W12" s="418"/>
      <c r="X12" s="418"/>
      <c r="Y12" s="418"/>
      <c r="Z12" s="418"/>
      <c r="AA12" s="418"/>
      <c r="AB12" s="418"/>
      <c r="AC12" s="418"/>
      <c r="AD12" s="418"/>
      <c r="AE12" s="418"/>
      <c r="AF12" s="418"/>
      <c r="AG12" s="418"/>
      <c r="AH12" s="418"/>
      <c r="AI12" s="418"/>
      <c r="AJ12" s="418"/>
      <c r="AK12" s="418"/>
      <c r="AL12" s="418"/>
      <c r="AM12" s="418"/>
      <c r="AN12" s="418"/>
      <c r="AO12" s="418"/>
      <c r="AP12" s="418"/>
      <c r="AQ12" s="418"/>
      <c r="AR12" s="418"/>
      <c r="AS12" s="418"/>
      <c r="AT12" s="418"/>
      <c r="AU12" s="418"/>
      <c r="AV12" s="418"/>
      <c r="AW12" s="418"/>
      <c r="AX12" s="418"/>
      <c r="AY12" s="418"/>
      <c r="AZ12" s="418"/>
      <c r="BA12" s="418"/>
      <c r="BB12" s="418"/>
      <c r="BC12" s="418"/>
      <c r="BD12" s="418"/>
      <c r="BE12" s="418"/>
      <c r="BF12" s="418"/>
      <c r="BG12" s="418"/>
      <c r="BH12" s="418"/>
      <c r="BI12" s="418"/>
      <c r="BJ12" s="418"/>
      <c r="BK12" s="418"/>
      <c r="BL12" s="418"/>
      <c r="BM12" s="418"/>
      <c r="BN12" s="418"/>
      <c r="BO12" s="418"/>
      <c r="BP12" s="418"/>
      <c r="BQ12" s="418"/>
      <c r="BR12" s="418"/>
      <c r="BS12" s="418"/>
      <c r="BT12" s="418"/>
      <c r="BU12" s="418"/>
      <c r="BV12" s="418"/>
      <c r="BW12" s="418"/>
      <c r="BX12" s="418"/>
      <c r="BY12" s="418"/>
      <c r="BZ12" s="418"/>
      <c r="CA12" s="418"/>
      <c r="CB12" s="418"/>
      <c r="CC12" s="418"/>
      <c r="CD12" s="418"/>
      <c r="CE12" s="418"/>
      <c r="CF12" s="418"/>
      <c r="CG12" s="418"/>
      <c r="CH12" s="418"/>
      <c r="CI12" s="418"/>
      <c r="CJ12" s="418"/>
      <c r="CK12" s="418"/>
      <c r="CL12" s="418"/>
      <c r="CM12" s="418"/>
      <c r="CN12" s="418"/>
      <c r="CO12" s="418"/>
      <c r="CP12" s="418"/>
      <c r="CQ12" s="418"/>
      <c r="CR12" s="418"/>
      <c r="CS12" s="418"/>
      <c r="CT12" s="418"/>
      <c r="CU12" s="418"/>
      <c r="CV12" s="418"/>
      <c r="CW12" s="418"/>
      <c r="CX12" s="418"/>
      <c r="CY12" s="418"/>
      <c r="CZ12" s="418"/>
      <c r="DA12" s="418"/>
      <c r="DB12" s="418"/>
      <c r="DC12" s="418"/>
      <c r="DD12" s="418"/>
      <c r="DE12" s="418"/>
      <c r="DF12" s="418"/>
      <c r="DG12" s="418"/>
      <c r="DH12" s="418"/>
      <c r="DI12" s="418"/>
      <c r="DJ12" s="418"/>
      <c r="DK12" s="418"/>
      <c r="DL12" s="418"/>
      <c r="DM12" s="418"/>
      <c r="DN12" s="418"/>
      <c r="DO12" s="418"/>
      <c r="DP12" s="418"/>
      <c r="DQ12" s="418"/>
      <c r="DR12" s="418"/>
      <c r="DS12" s="418"/>
      <c r="DT12" s="418"/>
      <c r="DU12" s="418"/>
      <c r="DV12" s="418"/>
      <c r="DW12" s="418"/>
      <c r="DX12" s="418"/>
      <c r="DY12" s="418"/>
      <c r="DZ12" s="418"/>
      <c r="EA12" s="418"/>
      <c r="EB12" s="418"/>
      <c r="EC12" s="418"/>
      <c r="ED12" s="418"/>
      <c r="EE12" s="418"/>
      <c r="EF12" s="418"/>
      <c r="EG12" s="418"/>
      <c r="EH12" s="418"/>
      <c r="EI12" s="418"/>
      <c r="EJ12" s="418"/>
      <c r="EK12" s="418"/>
      <c r="EL12" s="418"/>
      <c r="EM12" s="418"/>
      <c r="EN12" s="418"/>
      <c r="EO12" s="418"/>
      <c r="EP12" s="418"/>
      <c r="EQ12" s="418"/>
      <c r="ER12" s="418"/>
      <c r="ES12" s="418"/>
      <c r="ET12" s="418"/>
      <c r="EU12" s="418"/>
      <c r="EV12" s="418"/>
      <c r="EW12" s="418"/>
      <c r="EX12" s="418"/>
      <c r="EY12" s="418"/>
      <c r="EZ12" s="418"/>
      <c r="FA12" s="418"/>
      <c r="FB12" s="418"/>
      <c r="FC12" s="418"/>
      <c r="FD12" s="418"/>
      <c r="FE12" s="418"/>
      <c r="FF12" s="418"/>
      <c r="FG12" s="418"/>
      <c r="FH12" s="418"/>
      <c r="FI12" s="418"/>
      <c r="FJ12" s="418"/>
      <c r="FK12" s="418"/>
      <c r="FL12" s="418"/>
      <c r="FM12" s="418"/>
      <c r="FN12" s="418"/>
      <c r="FO12" s="418"/>
      <c r="FP12" s="418"/>
      <c r="FQ12" s="418"/>
      <c r="FR12" s="418"/>
      <c r="FS12" s="418"/>
      <c r="FT12" s="418"/>
      <c r="FU12" s="418"/>
      <c r="FV12" s="418"/>
      <c r="FW12" s="418"/>
      <c r="FX12" s="418"/>
      <c r="FY12" s="418"/>
      <c r="FZ12" s="418"/>
      <c r="GA12" s="418"/>
      <c r="GB12" s="418"/>
      <c r="GC12" s="418"/>
      <c r="GD12" s="418"/>
      <c r="GE12" s="418"/>
      <c r="GF12" s="418"/>
      <c r="GG12" s="418"/>
      <c r="GH12" s="418"/>
      <c r="GI12" s="418"/>
      <c r="GJ12" s="418"/>
      <c r="GK12" s="418"/>
      <c r="GL12" s="418"/>
      <c r="GM12" s="418"/>
      <c r="GN12" s="418"/>
      <c r="GO12" s="418"/>
      <c r="GP12" s="418"/>
      <c r="GQ12" s="418"/>
      <c r="GR12" s="418"/>
      <c r="GS12" s="418"/>
      <c r="GT12" s="418"/>
      <c r="GU12" s="418"/>
      <c r="GV12" s="418"/>
      <c r="GW12" s="418"/>
      <c r="GX12" s="418"/>
      <c r="GY12" s="418"/>
      <c r="GZ12" s="418"/>
      <c r="HA12" s="418"/>
      <c r="HB12" s="418"/>
      <c r="HC12" s="418"/>
      <c r="HD12" s="418"/>
      <c r="HE12" s="418"/>
      <c r="HF12" s="418"/>
      <c r="HG12" s="418"/>
      <c r="HH12" s="418"/>
      <c r="HI12" s="418"/>
      <c r="HJ12" s="418"/>
      <c r="HK12" s="418"/>
      <c r="HL12" s="418"/>
      <c r="HM12" s="418"/>
      <c r="HN12" s="418"/>
      <c r="HO12" s="418"/>
      <c r="HP12" s="418"/>
      <c r="HQ12" s="418"/>
      <c r="HR12" s="418"/>
      <c r="HS12" s="418"/>
      <c r="HT12" s="418"/>
      <c r="HU12" s="418"/>
      <c r="HV12" s="418"/>
      <c r="HW12" s="418"/>
      <c r="HX12" s="418"/>
      <c r="HY12" s="418"/>
      <c r="HZ12" s="418"/>
      <c r="IA12" s="418"/>
      <c r="IB12" s="418"/>
      <c r="IC12" s="418"/>
      <c r="ID12" s="418"/>
      <c r="IE12" s="418"/>
      <c r="IF12" s="418"/>
      <c r="IG12" s="418"/>
      <c r="IH12" s="418"/>
      <c r="II12" s="418"/>
      <c r="IJ12" s="418"/>
      <c r="IK12" s="418"/>
      <c r="IL12" s="418"/>
      <c r="IM12" s="418"/>
      <c r="IN12" s="418"/>
      <c r="IO12" s="418"/>
      <c r="IP12" s="418"/>
      <c r="IQ12" s="418"/>
      <c r="IR12" s="418"/>
      <c r="IS12" s="418"/>
      <c r="IT12" s="418"/>
      <c r="IU12" s="418"/>
      <c r="IV12" s="418"/>
      <c r="IW12" s="418"/>
      <c r="IX12" s="418"/>
      <c r="IY12" s="418"/>
      <c r="IZ12" s="418"/>
      <c r="JA12" s="418"/>
    </row>
    <row r="13" spans="1:261" s="991" customFormat="1" ht="18" customHeight="1" x14ac:dyDescent="0.35">
      <c r="A13" s="773">
        <v>3</v>
      </c>
      <c r="B13" s="983"/>
      <c r="C13" s="984"/>
      <c r="D13" s="985" t="s">
        <v>308</v>
      </c>
      <c r="E13" s="430">
        <f>F13+G13+O16+P16</f>
        <v>1119735</v>
      </c>
      <c r="F13" s="762"/>
      <c r="G13" s="431">
        <v>237</v>
      </c>
      <c r="H13" s="999"/>
      <c r="I13" s="996"/>
      <c r="J13" s="989"/>
      <c r="K13" s="1013">
        <v>1398</v>
      </c>
      <c r="L13" s="989"/>
      <c r="M13" s="1013">
        <f>201554+916546</f>
        <v>1118100</v>
      </c>
      <c r="N13" s="989"/>
      <c r="O13" s="982">
        <f>SUM(I13:N13)</f>
        <v>1119498</v>
      </c>
      <c r="P13" s="990"/>
    </row>
    <row r="14" spans="1:261" s="991" customFormat="1" ht="18" customHeight="1" x14ac:dyDescent="0.35">
      <c r="A14" s="773">
        <v>4</v>
      </c>
      <c r="B14" s="983"/>
      <c r="C14" s="984"/>
      <c r="D14" s="576" t="s">
        <v>1158</v>
      </c>
      <c r="E14" s="430"/>
      <c r="F14" s="762"/>
      <c r="G14" s="431"/>
      <c r="H14" s="999"/>
      <c r="I14" s="996"/>
      <c r="J14" s="989"/>
      <c r="K14" s="759">
        <v>1698</v>
      </c>
      <c r="L14" s="1524"/>
      <c r="M14" s="759">
        <v>1117800</v>
      </c>
      <c r="N14" s="989"/>
      <c r="O14" s="767">
        <f>SUM(I14:N14)</f>
        <v>1119498</v>
      </c>
      <c r="P14" s="990"/>
    </row>
    <row r="15" spans="1:261" s="991" customFormat="1" ht="18" customHeight="1" x14ac:dyDescent="0.35">
      <c r="A15" s="773">
        <v>5</v>
      </c>
      <c r="B15" s="983"/>
      <c r="C15" s="984"/>
      <c r="D15" s="1318" t="s">
        <v>969</v>
      </c>
      <c r="E15" s="430"/>
      <c r="F15" s="762"/>
      <c r="G15" s="431"/>
      <c r="H15" s="999"/>
      <c r="I15" s="1525"/>
      <c r="J15" s="1524"/>
      <c r="K15" s="759"/>
      <c r="L15" s="1524"/>
      <c r="M15" s="759"/>
      <c r="N15" s="1524"/>
      <c r="O15" s="1599">
        <f>SUM(I15:N15)</f>
        <v>0</v>
      </c>
      <c r="P15" s="990"/>
    </row>
    <row r="16" spans="1:261" s="991" customFormat="1" ht="18" customHeight="1" x14ac:dyDescent="0.35">
      <c r="A16" s="773">
        <v>6</v>
      </c>
      <c r="B16" s="983"/>
      <c r="C16" s="984"/>
      <c r="D16" s="576" t="s">
        <v>1250</v>
      </c>
      <c r="E16" s="430"/>
      <c r="F16" s="762"/>
      <c r="G16" s="431"/>
      <c r="H16" s="999"/>
      <c r="I16" s="1525"/>
      <c r="J16" s="1524"/>
      <c r="K16" s="759">
        <f>SUM(K14:K15)</f>
        <v>1698</v>
      </c>
      <c r="L16" s="759"/>
      <c r="M16" s="759">
        <f t="shared" ref="M16" si="0">SUM(M14:M15)</f>
        <v>1117800</v>
      </c>
      <c r="N16" s="1524"/>
      <c r="O16" s="767">
        <f>SUM(I16:N16)</f>
        <v>1119498</v>
      </c>
      <c r="P16" s="990"/>
    </row>
    <row r="17" spans="1:261" s="758" customFormat="1" ht="22.5" customHeight="1" x14ac:dyDescent="0.35">
      <c r="A17" s="773">
        <v>7</v>
      </c>
      <c r="B17" s="766"/>
      <c r="C17" s="464">
        <v>2</v>
      </c>
      <c r="D17" s="769" t="s">
        <v>503</v>
      </c>
      <c r="E17" s="430"/>
      <c r="F17" s="762"/>
      <c r="G17" s="431"/>
      <c r="H17" s="999" t="s">
        <v>24</v>
      </c>
      <c r="I17" s="1017"/>
      <c r="J17" s="1013"/>
      <c r="K17" s="1013"/>
      <c r="L17" s="1013"/>
      <c r="M17" s="1013"/>
      <c r="N17" s="1013"/>
      <c r="O17" s="982"/>
      <c r="P17" s="763"/>
      <c r="Q17" s="418"/>
      <c r="R17" s="418"/>
      <c r="S17" s="418"/>
      <c r="T17" s="418"/>
      <c r="U17" s="418"/>
      <c r="V17" s="418"/>
      <c r="W17" s="418"/>
      <c r="X17" s="418"/>
      <c r="Y17" s="418"/>
      <c r="Z17" s="418"/>
      <c r="AA17" s="418"/>
      <c r="AB17" s="418"/>
      <c r="AC17" s="418"/>
      <c r="AD17" s="418"/>
      <c r="AE17" s="418"/>
      <c r="AF17" s="418"/>
      <c r="AG17" s="418"/>
      <c r="AH17" s="418"/>
      <c r="AI17" s="418"/>
      <c r="AJ17" s="418"/>
      <c r="AK17" s="418"/>
      <c r="AL17" s="418"/>
      <c r="AM17" s="418"/>
      <c r="AN17" s="418"/>
      <c r="AO17" s="418"/>
      <c r="AP17" s="418"/>
      <c r="AQ17" s="418"/>
      <c r="AR17" s="418"/>
      <c r="AS17" s="418"/>
      <c r="AT17" s="418"/>
      <c r="AU17" s="418"/>
      <c r="AV17" s="418"/>
      <c r="AW17" s="418"/>
      <c r="AX17" s="418"/>
      <c r="AY17" s="418"/>
      <c r="AZ17" s="418"/>
      <c r="BA17" s="418"/>
      <c r="BB17" s="418"/>
      <c r="BC17" s="418"/>
      <c r="BD17" s="418"/>
      <c r="BE17" s="418"/>
      <c r="BF17" s="418"/>
      <c r="BG17" s="418"/>
      <c r="BH17" s="418"/>
      <c r="BI17" s="418"/>
      <c r="BJ17" s="418"/>
      <c r="BK17" s="418"/>
      <c r="BL17" s="418"/>
      <c r="BM17" s="418"/>
      <c r="BN17" s="418"/>
      <c r="BO17" s="418"/>
      <c r="BP17" s="418"/>
      <c r="BQ17" s="418"/>
      <c r="BR17" s="418"/>
      <c r="BS17" s="418"/>
      <c r="BT17" s="418"/>
      <c r="BU17" s="418"/>
      <c r="BV17" s="418"/>
      <c r="BW17" s="418"/>
      <c r="BX17" s="418"/>
      <c r="BY17" s="418"/>
      <c r="BZ17" s="418"/>
      <c r="CA17" s="418"/>
      <c r="CB17" s="418"/>
      <c r="CC17" s="418"/>
      <c r="CD17" s="418"/>
      <c r="CE17" s="418"/>
      <c r="CF17" s="418"/>
      <c r="CG17" s="418"/>
      <c r="CH17" s="418"/>
      <c r="CI17" s="418"/>
      <c r="CJ17" s="418"/>
      <c r="CK17" s="418"/>
      <c r="CL17" s="418"/>
      <c r="CM17" s="418"/>
      <c r="CN17" s="418"/>
      <c r="CO17" s="418"/>
      <c r="CP17" s="418"/>
      <c r="CQ17" s="418"/>
      <c r="CR17" s="418"/>
      <c r="CS17" s="418"/>
      <c r="CT17" s="418"/>
      <c r="CU17" s="418"/>
      <c r="CV17" s="418"/>
      <c r="CW17" s="418"/>
      <c r="CX17" s="418"/>
      <c r="CY17" s="418"/>
      <c r="CZ17" s="418"/>
      <c r="DA17" s="418"/>
      <c r="DB17" s="418"/>
      <c r="DC17" s="418"/>
      <c r="DD17" s="418"/>
      <c r="DE17" s="418"/>
      <c r="DF17" s="418"/>
      <c r="DG17" s="418"/>
      <c r="DH17" s="418"/>
      <c r="DI17" s="418"/>
      <c r="DJ17" s="418"/>
      <c r="DK17" s="418"/>
      <c r="DL17" s="418"/>
      <c r="DM17" s="418"/>
      <c r="DN17" s="418"/>
      <c r="DO17" s="418"/>
      <c r="DP17" s="418"/>
      <c r="DQ17" s="418"/>
      <c r="DR17" s="418"/>
      <c r="DS17" s="418"/>
      <c r="DT17" s="418"/>
      <c r="DU17" s="418"/>
      <c r="DV17" s="418"/>
      <c r="DW17" s="418"/>
      <c r="DX17" s="418"/>
      <c r="DY17" s="418"/>
      <c r="DZ17" s="418"/>
      <c r="EA17" s="418"/>
      <c r="EB17" s="418"/>
      <c r="EC17" s="418"/>
      <c r="ED17" s="418"/>
      <c r="EE17" s="418"/>
      <c r="EF17" s="418"/>
      <c r="EG17" s="418"/>
      <c r="EH17" s="418"/>
      <c r="EI17" s="418"/>
      <c r="EJ17" s="418"/>
      <c r="EK17" s="418"/>
      <c r="EL17" s="418"/>
      <c r="EM17" s="418"/>
      <c r="EN17" s="418"/>
      <c r="EO17" s="418"/>
      <c r="EP17" s="418"/>
      <c r="EQ17" s="418"/>
      <c r="ER17" s="418"/>
      <c r="ES17" s="418"/>
      <c r="ET17" s="418"/>
      <c r="EU17" s="418"/>
      <c r="EV17" s="418"/>
      <c r="EW17" s="418"/>
      <c r="EX17" s="418"/>
      <c r="EY17" s="418"/>
      <c r="EZ17" s="418"/>
      <c r="FA17" s="418"/>
      <c r="FB17" s="418"/>
      <c r="FC17" s="418"/>
      <c r="FD17" s="418"/>
      <c r="FE17" s="418"/>
      <c r="FF17" s="418"/>
      <c r="FG17" s="418"/>
      <c r="FH17" s="418"/>
      <c r="FI17" s="418"/>
      <c r="FJ17" s="418"/>
      <c r="FK17" s="418"/>
      <c r="FL17" s="418"/>
      <c r="FM17" s="418"/>
      <c r="FN17" s="418"/>
      <c r="FO17" s="418"/>
      <c r="FP17" s="418"/>
      <c r="FQ17" s="418"/>
      <c r="FR17" s="418"/>
      <c r="FS17" s="418"/>
      <c r="FT17" s="418"/>
      <c r="FU17" s="418"/>
      <c r="FV17" s="418"/>
      <c r="FW17" s="418"/>
      <c r="FX17" s="418"/>
      <c r="FY17" s="418"/>
      <c r="FZ17" s="418"/>
      <c r="GA17" s="418"/>
      <c r="GB17" s="418"/>
      <c r="GC17" s="418"/>
      <c r="GD17" s="418"/>
      <c r="GE17" s="418"/>
      <c r="GF17" s="418"/>
      <c r="GG17" s="418"/>
      <c r="GH17" s="418"/>
      <c r="GI17" s="418"/>
      <c r="GJ17" s="418"/>
      <c r="GK17" s="418"/>
      <c r="GL17" s="418"/>
      <c r="GM17" s="418"/>
      <c r="GN17" s="418"/>
      <c r="GO17" s="418"/>
      <c r="GP17" s="418"/>
      <c r="GQ17" s="418"/>
      <c r="GR17" s="418"/>
      <c r="GS17" s="418"/>
      <c r="GT17" s="418"/>
      <c r="GU17" s="418"/>
      <c r="GV17" s="418"/>
      <c r="GW17" s="418"/>
      <c r="GX17" s="418"/>
      <c r="GY17" s="418"/>
      <c r="GZ17" s="418"/>
      <c r="HA17" s="418"/>
      <c r="HB17" s="418"/>
      <c r="HC17" s="418"/>
      <c r="HD17" s="418"/>
      <c r="HE17" s="418"/>
      <c r="HF17" s="418"/>
      <c r="HG17" s="418"/>
      <c r="HH17" s="418"/>
      <c r="HI17" s="418"/>
      <c r="HJ17" s="418"/>
      <c r="HK17" s="418"/>
      <c r="HL17" s="418"/>
      <c r="HM17" s="418"/>
      <c r="HN17" s="418"/>
      <c r="HO17" s="418"/>
      <c r="HP17" s="418"/>
      <c r="HQ17" s="418"/>
      <c r="HR17" s="418"/>
      <c r="HS17" s="418"/>
      <c r="HT17" s="418"/>
      <c r="HU17" s="418"/>
      <c r="HV17" s="418"/>
      <c r="HW17" s="418"/>
      <c r="HX17" s="418"/>
      <c r="HY17" s="418"/>
      <c r="HZ17" s="418"/>
      <c r="IA17" s="418"/>
      <c r="IB17" s="418"/>
      <c r="IC17" s="418"/>
      <c r="ID17" s="418"/>
      <c r="IE17" s="418"/>
      <c r="IF17" s="418"/>
      <c r="IG17" s="418"/>
      <c r="IH17" s="418"/>
      <c r="II17" s="418"/>
      <c r="IJ17" s="418"/>
      <c r="IK17" s="418"/>
      <c r="IL17" s="418"/>
      <c r="IM17" s="418"/>
      <c r="IN17" s="418"/>
      <c r="IO17" s="418"/>
      <c r="IP17" s="418"/>
      <c r="IQ17" s="418"/>
      <c r="IR17" s="418"/>
      <c r="IS17" s="418"/>
      <c r="IT17" s="418"/>
      <c r="IU17" s="418"/>
      <c r="IV17" s="418"/>
      <c r="IW17" s="418"/>
      <c r="IX17" s="418"/>
      <c r="IY17" s="418"/>
      <c r="IZ17" s="418"/>
      <c r="JA17" s="418"/>
    </row>
    <row r="18" spans="1:261" s="991" customFormat="1" ht="18" customHeight="1" x14ac:dyDescent="0.35">
      <c r="A18" s="773">
        <v>8</v>
      </c>
      <c r="B18" s="983"/>
      <c r="C18" s="984"/>
      <c r="D18" s="985" t="s">
        <v>308</v>
      </c>
      <c r="E18" s="430">
        <f>F18+G18+O21+P21</f>
        <v>25975</v>
      </c>
      <c r="F18" s="762">
        <f>6208+6205</f>
        <v>12413</v>
      </c>
      <c r="G18" s="431">
        <f>2345+10041</f>
        <v>12386</v>
      </c>
      <c r="H18" s="999"/>
      <c r="I18" s="1017">
        <v>73</v>
      </c>
      <c r="J18" s="1013">
        <v>73</v>
      </c>
      <c r="K18" s="1013">
        <v>509</v>
      </c>
      <c r="L18" s="989"/>
      <c r="M18" s="989"/>
      <c r="N18" s="989"/>
      <c r="O18" s="982">
        <f>SUM(I18:N18)</f>
        <v>655</v>
      </c>
      <c r="P18" s="990"/>
    </row>
    <row r="19" spans="1:261" s="991" customFormat="1" ht="18" customHeight="1" x14ac:dyDescent="0.35">
      <c r="A19" s="773">
        <v>9</v>
      </c>
      <c r="B19" s="983"/>
      <c r="C19" s="984"/>
      <c r="D19" s="576" t="s">
        <v>1158</v>
      </c>
      <c r="E19" s="430"/>
      <c r="F19" s="762"/>
      <c r="G19" s="431"/>
      <c r="H19" s="999"/>
      <c r="I19" s="995">
        <v>74</v>
      </c>
      <c r="J19" s="759">
        <v>40</v>
      </c>
      <c r="K19" s="759">
        <v>302</v>
      </c>
      <c r="L19" s="759">
        <v>760</v>
      </c>
      <c r="M19" s="989"/>
      <c r="N19" s="989"/>
      <c r="O19" s="767">
        <f>SUM(I19:N19)</f>
        <v>1176</v>
      </c>
      <c r="P19" s="990"/>
    </row>
    <row r="20" spans="1:261" s="991" customFormat="1" ht="18" customHeight="1" x14ac:dyDescent="0.35">
      <c r="A20" s="773">
        <v>10</v>
      </c>
      <c r="B20" s="983"/>
      <c r="C20" s="984"/>
      <c r="D20" s="1318" t="s">
        <v>969</v>
      </c>
      <c r="E20" s="430"/>
      <c r="F20" s="762"/>
      <c r="G20" s="431"/>
      <c r="H20" s="999"/>
      <c r="I20" s="995"/>
      <c r="J20" s="759"/>
      <c r="K20" s="759"/>
      <c r="L20" s="1771"/>
      <c r="M20" s="1524"/>
      <c r="N20" s="1524"/>
      <c r="O20" s="1599">
        <f>SUM(I20:N20)</f>
        <v>0</v>
      </c>
      <c r="P20" s="990"/>
    </row>
    <row r="21" spans="1:261" s="991" customFormat="1" ht="18" customHeight="1" x14ac:dyDescent="0.35">
      <c r="A21" s="773">
        <v>11</v>
      </c>
      <c r="B21" s="983"/>
      <c r="C21" s="984"/>
      <c r="D21" s="576" t="s">
        <v>1250</v>
      </c>
      <c r="E21" s="430"/>
      <c r="F21" s="762"/>
      <c r="G21" s="431"/>
      <c r="H21" s="999"/>
      <c r="I21" s="995">
        <f>SUM(I19:I20)</f>
        <v>74</v>
      </c>
      <c r="J21" s="995">
        <f t="shared" ref="J21:K21" si="1">SUM(J19:J20)</f>
        <v>40</v>
      </c>
      <c r="K21" s="995">
        <f t="shared" si="1"/>
        <v>302</v>
      </c>
      <c r="L21" s="759">
        <f>SUM(L19:L20)</f>
        <v>760</v>
      </c>
      <c r="M21" s="1524"/>
      <c r="N21" s="1524"/>
      <c r="O21" s="767">
        <f>SUM(I21:N21)</f>
        <v>1176</v>
      </c>
      <c r="P21" s="990"/>
    </row>
    <row r="22" spans="1:261" s="758" customFormat="1" ht="36" customHeight="1" x14ac:dyDescent="0.35">
      <c r="A22" s="773">
        <v>12</v>
      </c>
      <c r="B22" s="766"/>
      <c r="C22" s="420">
        <v>3</v>
      </c>
      <c r="D22" s="1020" t="s">
        <v>672</v>
      </c>
      <c r="E22" s="430"/>
      <c r="F22" s="762"/>
      <c r="G22" s="431"/>
      <c r="H22" s="1025" t="s">
        <v>24</v>
      </c>
      <c r="I22" s="1017"/>
      <c r="J22" s="1013"/>
      <c r="K22" s="1013"/>
      <c r="L22" s="1013"/>
      <c r="M22" s="1013"/>
      <c r="N22" s="1013"/>
      <c r="O22" s="982"/>
      <c r="P22" s="763"/>
      <c r="Q22" s="418"/>
      <c r="R22" s="418"/>
      <c r="S22" s="418"/>
      <c r="T22" s="418"/>
      <c r="U22" s="418"/>
      <c r="V22" s="418"/>
      <c r="W22" s="418"/>
      <c r="X22" s="418"/>
      <c r="Y22" s="418"/>
      <c r="Z22" s="418"/>
      <c r="AA22" s="418"/>
      <c r="AB22" s="418"/>
      <c r="AC22" s="418"/>
      <c r="AD22" s="418"/>
      <c r="AE22" s="418"/>
      <c r="AF22" s="418"/>
      <c r="AG22" s="418"/>
      <c r="AH22" s="418"/>
      <c r="AI22" s="418"/>
      <c r="AJ22" s="418"/>
      <c r="AK22" s="418"/>
      <c r="AL22" s="418"/>
      <c r="AM22" s="418"/>
      <c r="AN22" s="418"/>
      <c r="AO22" s="418"/>
      <c r="AP22" s="418"/>
      <c r="AQ22" s="418"/>
      <c r="AR22" s="418"/>
      <c r="AS22" s="418"/>
      <c r="AT22" s="418"/>
      <c r="AU22" s="418"/>
      <c r="AV22" s="418"/>
      <c r="AW22" s="418"/>
      <c r="AX22" s="418"/>
      <c r="AY22" s="418"/>
      <c r="AZ22" s="418"/>
      <c r="BA22" s="418"/>
      <c r="BB22" s="418"/>
      <c r="BC22" s="418"/>
      <c r="BD22" s="418"/>
      <c r="BE22" s="418"/>
      <c r="BF22" s="418"/>
      <c r="BG22" s="418"/>
      <c r="BH22" s="418"/>
      <c r="BI22" s="418"/>
      <c r="BJ22" s="418"/>
      <c r="BK22" s="418"/>
      <c r="BL22" s="418"/>
      <c r="BM22" s="418"/>
      <c r="BN22" s="418"/>
      <c r="BO22" s="418"/>
      <c r="BP22" s="418"/>
      <c r="BQ22" s="418"/>
      <c r="BR22" s="418"/>
      <c r="BS22" s="418"/>
      <c r="BT22" s="418"/>
      <c r="BU22" s="418"/>
      <c r="BV22" s="418"/>
      <c r="BW22" s="418"/>
      <c r="BX22" s="418"/>
      <c r="BY22" s="418"/>
      <c r="BZ22" s="418"/>
      <c r="CA22" s="418"/>
      <c r="CB22" s="418"/>
      <c r="CC22" s="418"/>
      <c r="CD22" s="418"/>
      <c r="CE22" s="418"/>
      <c r="CF22" s="418"/>
      <c r="CG22" s="418"/>
      <c r="CH22" s="418"/>
      <c r="CI22" s="418"/>
      <c r="CJ22" s="418"/>
      <c r="CK22" s="418"/>
      <c r="CL22" s="418"/>
      <c r="CM22" s="418"/>
      <c r="CN22" s="418"/>
      <c r="CO22" s="418"/>
      <c r="CP22" s="418"/>
      <c r="CQ22" s="418"/>
      <c r="CR22" s="418"/>
      <c r="CS22" s="418"/>
      <c r="CT22" s="418"/>
      <c r="CU22" s="418"/>
      <c r="CV22" s="418"/>
      <c r="CW22" s="418"/>
      <c r="CX22" s="418"/>
      <c r="CY22" s="418"/>
      <c r="CZ22" s="418"/>
      <c r="DA22" s="418"/>
      <c r="DB22" s="418"/>
      <c r="DC22" s="418"/>
      <c r="DD22" s="418"/>
      <c r="DE22" s="418"/>
      <c r="DF22" s="418"/>
      <c r="DG22" s="418"/>
      <c r="DH22" s="418"/>
      <c r="DI22" s="418"/>
      <c r="DJ22" s="418"/>
      <c r="DK22" s="418"/>
      <c r="DL22" s="418"/>
      <c r="DM22" s="418"/>
      <c r="DN22" s="418"/>
      <c r="DO22" s="418"/>
      <c r="DP22" s="418"/>
      <c r="DQ22" s="418"/>
      <c r="DR22" s="418"/>
      <c r="DS22" s="418"/>
      <c r="DT22" s="418"/>
      <c r="DU22" s="418"/>
      <c r="DV22" s="418"/>
      <c r="DW22" s="418"/>
      <c r="DX22" s="418"/>
      <c r="DY22" s="418"/>
      <c r="DZ22" s="418"/>
      <c r="EA22" s="418"/>
      <c r="EB22" s="418"/>
      <c r="EC22" s="418"/>
      <c r="ED22" s="418"/>
      <c r="EE22" s="418"/>
      <c r="EF22" s="418"/>
      <c r="EG22" s="418"/>
      <c r="EH22" s="418"/>
      <c r="EI22" s="418"/>
      <c r="EJ22" s="418"/>
      <c r="EK22" s="418"/>
      <c r="EL22" s="418"/>
      <c r="EM22" s="418"/>
      <c r="EN22" s="418"/>
      <c r="EO22" s="418"/>
      <c r="EP22" s="418"/>
      <c r="EQ22" s="418"/>
      <c r="ER22" s="418"/>
      <c r="ES22" s="418"/>
      <c r="ET22" s="418"/>
      <c r="EU22" s="418"/>
      <c r="EV22" s="418"/>
      <c r="EW22" s="418"/>
      <c r="EX22" s="418"/>
      <c r="EY22" s="418"/>
      <c r="EZ22" s="418"/>
      <c r="FA22" s="418"/>
      <c r="FB22" s="418"/>
      <c r="FC22" s="418"/>
      <c r="FD22" s="418"/>
      <c r="FE22" s="418"/>
      <c r="FF22" s="418"/>
      <c r="FG22" s="418"/>
      <c r="FH22" s="418"/>
      <c r="FI22" s="418"/>
      <c r="FJ22" s="418"/>
      <c r="FK22" s="418"/>
      <c r="FL22" s="418"/>
      <c r="FM22" s="418"/>
      <c r="FN22" s="418"/>
      <c r="FO22" s="418"/>
      <c r="FP22" s="418"/>
      <c r="FQ22" s="418"/>
      <c r="FR22" s="418"/>
      <c r="FS22" s="418"/>
      <c r="FT22" s="418"/>
      <c r="FU22" s="418"/>
      <c r="FV22" s="418"/>
      <c r="FW22" s="418"/>
      <c r="FX22" s="418"/>
      <c r="FY22" s="418"/>
      <c r="FZ22" s="418"/>
      <c r="GA22" s="418"/>
      <c r="GB22" s="418"/>
      <c r="GC22" s="418"/>
      <c r="GD22" s="418"/>
      <c r="GE22" s="418"/>
      <c r="GF22" s="418"/>
      <c r="GG22" s="418"/>
      <c r="GH22" s="418"/>
      <c r="GI22" s="418"/>
      <c r="GJ22" s="418"/>
      <c r="GK22" s="418"/>
      <c r="GL22" s="418"/>
      <c r="GM22" s="418"/>
      <c r="GN22" s="418"/>
      <c r="GO22" s="418"/>
      <c r="GP22" s="418"/>
      <c r="GQ22" s="418"/>
      <c r="GR22" s="418"/>
      <c r="GS22" s="418"/>
      <c r="GT22" s="418"/>
      <c r="GU22" s="418"/>
      <c r="GV22" s="418"/>
      <c r="GW22" s="418"/>
      <c r="GX22" s="418"/>
      <c r="GY22" s="418"/>
      <c r="GZ22" s="418"/>
      <c r="HA22" s="418"/>
      <c r="HB22" s="418"/>
      <c r="HC22" s="418"/>
      <c r="HD22" s="418"/>
      <c r="HE22" s="418"/>
      <c r="HF22" s="418"/>
      <c r="HG22" s="418"/>
      <c r="HH22" s="418"/>
      <c r="HI22" s="418"/>
      <c r="HJ22" s="418"/>
      <c r="HK22" s="418"/>
      <c r="HL22" s="418"/>
      <c r="HM22" s="418"/>
      <c r="HN22" s="418"/>
      <c r="HO22" s="418"/>
      <c r="HP22" s="418"/>
      <c r="HQ22" s="418"/>
      <c r="HR22" s="418"/>
      <c r="HS22" s="418"/>
      <c r="HT22" s="418"/>
      <c r="HU22" s="418"/>
      <c r="HV22" s="418"/>
      <c r="HW22" s="418"/>
      <c r="HX22" s="418"/>
      <c r="HY22" s="418"/>
      <c r="HZ22" s="418"/>
      <c r="IA22" s="418"/>
      <c r="IB22" s="418"/>
      <c r="IC22" s="418"/>
      <c r="ID22" s="418"/>
      <c r="IE22" s="418"/>
      <c r="IF22" s="418"/>
      <c r="IG22" s="418"/>
      <c r="IH22" s="418"/>
      <c r="II22" s="418"/>
      <c r="IJ22" s="418"/>
      <c r="IK22" s="418"/>
      <c r="IL22" s="418"/>
      <c r="IM22" s="418"/>
      <c r="IN22" s="418"/>
      <c r="IO22" s="418"/>
      <c r="IP22" s="418"/>
      <c r="IQ22" s="418"/>
      <c r="IR22" s="418"/>
      <c r="IS22" s="418"/>
      <c r="IT22" s="418"/>
      <c r="IU22" s="418"/>
      <c r="IV22" s="418"/>
      <c r="IW22" s="418"/>
      <c r="IX22" s="418"/>
      <c r="IY22" s="418"/>
      <c r="IZ22" s="418"/>
      <c r="JA22" s="418"/>
    </row>
    <row r="23" spans="1:261" s="991" customFormat="1" ht="18" customHeight="1" x14ac:dyDescent="0.35">
      <c r="A23" s="773">
        <v>13</v>
      </c>
      <c r="B23" s="983"/>
      <c r="C23" s="984"/>
      <c r="D23" s="985" t="s">
        <v>308</v>
      </c>
      <c r="E23" s="430">
        <f>F23+G23+O26+P26</f>
        <v>282576</v>
      </c>
      <c r="F23" s="762">
        <v>6699</v>
      </c>
      <c r="G23" s="431"/>
      <c r="H23" s="999"/>
      <c r="I23" s="996"/>
      <c r="J23" s="989"/>
      <c r="K23" s="1013">
        <v>278</v>
      </c>
      <c r="L23" s="989"/>
      <c r="M23" s="1013">
        <f>52777+222822</f>
        <v>275599</v>
      </c>
      <c r="N23" s="989"/>
      <c r="O23" s="982">
        <f>SUM(I23:N23)</f>
        <v>275877</v>
      </c>
      <c r="P23" s="990"/>
    </row>
    <row r="24" spans="1:261" s="991" customFormat="1" ht="18" customHeight="1" x14ac:dyDescent="0.35">
      <c r="A24" s="773">
        <v>14</v>
      </c>
      <c r="B24" s="983"/>
      <c r="C24" s="984"/>
      <c r="D24" s="576" t="s">
        <v>1158</v>
      </c>
      <c r="E24" s="430"/>
      <c r="F24" s="762"/>
      <c r="G24" s="431"/>
      <c r="H24" s="999"/>
      <c r="I24" s="996"/>
      <c r="J24" s="989"/>
      <c r="K24" s="759">
        <v>278</v>
      </c>
      <c r="L24" s="1524"/>
      <c r="M24" s="759">
        <v>275599</v>
      </c>
      <c r="N24" s="989"/>
      <c r="O24" s="767">
        <f>SUM(I24:N24)</f>
        <v>275877</v>
      </c>
      <c r="P24" s="990"/>
    </row>
    <row r="25" spans="1:261" s="991" customFormat="1" ht="18" customHeight="1" x14ac:dyDescent="0.35">
      <c r="A25" s="773">
        <v>15</v>
      </c>
      <c r="B25" s="983"/>
      <c r="C25" s="984"/>
      <c r="D25" s="1318" t="s">
        <v>947</v>
      </c>
      <c r="E25" s="430"/>
      <c r="F25" s="762"/>
      <c r="G25" s="431"/>
      <c r="H25" s="999"/>
      <c r="I25" s="1525"/>
      <c r="J25" s="1524"/>
      <c r="K25" s="759"/>
      <c r="L25" s="1524"/>
      <c r="M25" s="759"/>
      <c r="N25" s="1524"/>
      <c r="O25" s="1599">
        <f>SUM(I25:N25)</f>
        <v>0</v>
      </c>
      <c r="P25" s="990"/>
    </row>
    <row r="26" spans="1:261" s="991" customFormat="1" ht="18" customHeight="1" x14ac:dyDescent="0.35">
      <c r="A26" s="773">
        <v>16</v>
      </c>
      <c r="B26" s="983"/>
      <c r="C26" s="984"/>
      <c r="D26" s="576" t="s">
        <v>1250</v>
      </c>
      <c r="E26" s="430"/>
      <c r="F26" s="762"/>
      <c r="G26" s="431"/>
      <c r="H26" s="999"/>
      <c r="I26" s="1525"/>
      <c r="J26" s="1524"/>
      <c r="K26" s="759">
        <f>SUM(K24:K25)</f>
        <v>278</v>
      </c>
      <c r="L26" s="759"/>
      <c r="M26" s="759">
        <f t="shared" ref="M26" si="2">SUM(M24:M25)</f>
        <v>275599</v>
      </c>
      <c r="N26" s="1524"/>
      <c r="O26" s="767">
        <f>SUM(I26:N26)</f>
        <v>275877</v>
      </c>
      <c r="P26" s="990"/>
    </row>
    <row r="27" spans="1:261" s="758" customFormat="1" ht="22.5" customHeight="1" x14ac:dyDescent="0.35">
      <c r="A27" s="773">
        <v>17</v>
      </c>
      <c r="B27" s="766"/>
      <c r="C27" s="464">
        <v>4</v>
      </c>
      <c r="D27" s="761" t="s">
        <v>673</v>
      </c>
      <c r="E27" s="430"/>
      <c r="F27" s="762"/>
      <c r="G27" s="431"/>
      <c r="H27" s="999" t="s">
        <v>24</v>
      </c>
      <c r="I27" s="1017"/>
      <c r="J27" s="1013"/>
      <c r="K27" s="1013"/>
      <c r="L27" s="1013"/>
      <c r="M27" s="1013"/>
      <c r="N27" s="1013"/>
      <c r="O27" s="982"/>
      <c r="P27" s="763"/>
      <c r="Q27" s="418"/>
      <c r="R27" s="418"/>
      <c r="S27" s="418"/>
      <c r="T27" s="418"/>
      <c r="U27" s="418"/>
      <c r="V27" s="418"/>
      <c r="W27" s="418"/>
      <c r="X27" s="418"/>
      <c r="Y27" s="418"/>
      <c r="Z27" s="418"/>
      <c r="AA27" s="418"/>
      <c r="AB27" s="418"/>
      <c r="AC27" s="418"/>
      <c r="AD27" s="418"/>
      <c r="AE27" s="418"/>
      <c r="AF27" s="418"/>
      <c r="AG27" s="418"/>
      <c r="AH27" s="418"/>
      <c r="AI27" s="418"/>
      <c r="AJ27" s="418"/>
      <c r="AK27" s="418"/>
      <c r="AL27" s="418"/>
      <c r="AM27" s="418"/>
      <c r="AN27" s="418"/>
      <c r="AO27" s="418"/>
      <c r="AP27" s="418"/>
      <c r="AQ27" s="418"/>
      <c r="AR27" s="418"/>
      <c r="AS27" s="418"/>
      <c r="AT27" s="418"/>
      <c r="AU27" s="418"/>
      <c r="AV27" s="418"/>
      <c r="AW27" s="418"/>
      <c r="AX27" s="418"/>
      <c r="AY27" s="418"/>
      <c r="AZ27" s="418"/>
      <c r="BA27" s="418"/>
      <c r="BB27" s="418"/>
      <c r="BC27" s="418"/>
      <c r="BD27" s="418"/>
      <c r="BE27" s="418"/>
      <c r="BF27" s="418"/>
      <c r="BG27" s="418"/>
      <c r="BH27" s="418"/>
      <c r="BI27" s="418"/>
      <c r="BJ27" s="418"/>
      <c r="BK27" s="418"/>
      <c r="BL27" s="418"/>
      <c r="BM27" s="418"/>
      <c r="BN27" s="418"/>
      <c r="BO27" s="418"/>
      <c r="BP27" s="418"/>
      <c r="BQ27" s="418"/>
      <c r="BR27" s="418"/>
      <c r="BS27" s="418"/>
      <c r="BT27" s="418"/>
      <c r="BU27" s="418"/>
      <c r="BV27" s="418"/>
      <c r="BW27" s="418"/>
      <c r="BX27" s="418"/>
      <c r="BY27" s="418"/>
      <c r="BZ27" s="418"/>
      <c r="CA27" s="418"/>
      <c r="CB27" s="418"/>
      <c r="CC27" s="418"/>
      <c r="CD27" s="418"/>
      <c r="CE27" s="418"/>
      <c r="CF27" s="418"/>
      <c r="CG27" s="418"/>
      <c r="CH27" s="418"/>
      <c r="CI27" s="418"/>
      <c r="CJ27" s="418"/>
      <c r="CK27" s="418"/>
      <c r="CL27" s="418"/>
      <c r="CM27" s="418"/>
      <c r="CN27" s="418"/>
      <c r="CO27" s="418"/>
      <c r="CP27" s="418"/>
      <c r="CQ27" s="418"/>
      <c r="CR27" s="418"/>
      <c r="CS27" s="418"/>
      <c r="CT27" s="418"/>
      <c r="CU27" s="418"/>
      <c r="CV27" s="418"/>
      <c r="CW27" s="418"/>
      <c r="CX27" s="418"/>
      <c r="CY27" s="418"/>
      <c r="CZ27" s="418"/>
      <c r="DA27" s="418"/>
      <c r="DB27" s="418"/>
      <c r="DC27" s="418"/>
      <c r="DD27" s="418"/>
      <c r="DE27" s="418"/>
      <c r="DF27" s="418"/>
      <c r="DG27" s="418"/>
      <c r="DH27" s="418"/>
      <c r="DI27" s="418"/>
      <c r="DJ27" s="418"/>
      <c r="DK27" s="418"/>
      <c r="DL27" s="418"/>
      <c r="DM27" s="418"/>
      <c r="DN27" s="418"/>
      <c r="DO27" s="418"/>
      <c r="DP27" s="418"/>
      <c r="DQ27" s="418"/>
      <c r="DR27" s="418"/>
      <c r="DS27" s="418"/>
      <c r="DT27" s="418"/>
      <c r="DU27" s="418"/>
      <c r="DV27" s="418"/>
      <c r="DW27" s="418"/>
      <c r="DX27" s="418"/>
      <c r="DY27" s="418"/>
      <c r="DZ27" s="418"/>
      <c r="EA27" s="418"/>
      <c r="EB27" s="418"/>
      <c r="EC27" s="418"/>
      <c r="ED27" s="418"/>
      <c r="EE27" s="418"/>
      <c r="EF27" s="418"/>
      <c r="EG27" s="418"/>
      <c r="EH27" s="418"/>
      <c r="EI27" s="418"/>
      <c r="EJ27" s="418"/>
      <c r="EK27" s="418"/>
      <c r="EL27" s="418"/>
      <c r="EM27" s="418"/>
      <c r="EN27" s="418"/>
      <c r="EO27" s="418"/>
      <c r="EP27" s="418"/>
      <c r="EQ27" s="418"/>
      <c r="ER27" s="418"/>
      <c r="ES27" s="418"/>
      <c r="ET27" s="418"/>
      <c r="EU27" s="418"/>
      <c r="EV27" s="418"/>
      <c r="EW27" s="418"/>
      <c r="EX27" s="418"/>
      <c r="EY27" s="418"/>
      <c r="EZ27" s="418"/>
      <c r="FA27" s="418"/>
      <c r="FB27" s="418"/>
      <c r="FC27" s="418"/>
      <c r="FD27" s="418"/>
      <c r="FE27" s="418"/>
      <c r="FF27" s="418"/>
      <c r="FG27" s="418"/>
      <c r="FH27" s="418"/>
      <c r="FI27" s="418"/>
      <c r="FJ27" s="418"/>
      <c r="FK27" s="418"/>
      <c r="FL27" s="418"/>
      <c r="FM27" s="418"/>
      <c r="FN27" s="418"/>
      <c r="FO27" s="418"/>
      <c r="FP27" s="418"/>
      <c r="FQ27" s="418"/>
      <c r="FR27" s="418"/>
      <c r="FS27" s="418"/>
      <c r="FT27" s="418"/>
      <c r="FU27" s="418"/>
      <c r="FV27" s="418"/>
      <c r="FW27" s="418"/>
      <c r="FX27" s="418"/>
      <c r="FY27" s="418"/>
      <c r="FZ27" s="418"/>
      <c r="GA27" s="418"/>
      <c r="GB27" s="418"/>
      <c r="GC27" s="418"/>
      <c r="GD27" s="418"/>
      <c r="GE27" s="418"/>
      <c r="GF27" s="418"/>
      <c r="GG27" s="418"/>
      <c r="GH27" s="418"/>
      <c r="GI27" s="418"/>
      <c r="GJ27" s="418"/>
      <c r="GK27" s="418"/>
      <c r="GL27" s="418"/>
      <c r="GM27" s="418"/>
      <c r="GN27" s="418"/>
      <c r="GO27" s="418"/>
      <c r="GP27" s="418"/>
      <c r="GQ27" s="418"/>
      <c r="GR27" s="418"/>
      <c r="GS27" s="418"/>
      <c r="GT27" s="418"/>
      <c r="GU27" s="418"/>
      <c r="GV27" s="418"/>
      <c r="GW27" s="418"/>
      <c r="GX27" s="418"/>
      <c r="GY27" s="418"/>
      <c r="GZ27" s="418"/>
      <c r="HA27" s="418"/>
      <c r="HB27" s="418"/>
      <c r="HC27" s="418"/>
      <c r="HD27" s="418"/>
      <c r="HE27" s="418"/>
      <c r="HF27" s="418"/>
      <c r="HG27" s="418"/>
      <c r="HH27" s="418"/>
      <c r="HI27" s="418"/>
      <c r="HJ27" s="418"/>
      <c r="HK27" s="418"/>
      <c r="HL27" s="418"/>
      <c r="HM27" s="418"/>
      <c r="HN27" s="418"/>
      <c r="HO27" s="418"/>
      <c r="HP27" s="418"/>
      <c r="HQ27" s="418"/>
      <c r="HR27" s="418"/>
      <c r="HS27" s="418"/>
      <c r="HT27" s="418"/>
      <c r="HU27" s="418"/>
      <c r="HV27" s="418"/>
      <c r="HW27" s="418"/>
      <c r="HX27" s="418"/>
      <c r="HY27" s="418"/>
      <c r="HZ27" s="418"/>
      <c r="IA27" s="418"/>
      <c r="IB27" s="418"/>
      <c r="IC27" s="418"/>
      <c r="ID27" s="418"/>
      <c r="IE27" s="418"/>
      <c r="IF27" s="418"/>
      <c r="IG27" s="418"/>
      <c r="IH27" s="418"/>
      <c r="II27" s="418"/>
      <c r="IJ27" s="418"/>
      <c r="IK27" s="418"/>
      <c r="IL27" s="418"/>
      <c r="IM27" s="418"/>
      <c r="IN27" s="418"/>
      <c r="IO27" s="418"/>
      <c r="IP27" s="418"/>
      <c r="IQ27" s="418"/>
      <c r="IR27" s="418"/>
      <c r="IS27" s="418"/>
      <c r="IT27" s="418"/>
      <c r="IU27" s="418"/>
      <c r="IV27" s="418"/>
      <c r="IW27" s="418"/>
      <c r="IX27" s="418"/>
      <c r="IY27" s="418"/>
      <c r="IZ27" s="418"/>
      <c r="JA27" s="418"/>
    </row>
    <row r="28" spans="1:261" s="991" customFormat="1" ht="18" customHeight="1" x14ac:dyDescent="0.35">
      <c r="A28" s="773">
        <v>18</v>
      </c>
      <c r="B28" s="983"/>
      <c r="C28" s="984"/>
      <c r="D28" s="992" t="s">
        <v>308</v>
      </c>
      <c r="E28" s="430">
        <f>F28+G28+O31+P31</f>
        <v>66636</v>
      </c>
      <c r="F28" s="762">
        <v>143</v>
      </c>
      <c r="G28" s="431">
        <f>196+62988+1540</f>
        <v>64724</v>
      </c>
      <c r="H28" s="999"/>
      <c r="I28" s="996"/>
      <c r="J28" s="989"/>
      <c r="K28" s="1013">
        <v>61</v>
      </c>
      <c r="L28" s="989"/>
      <c r="M28" s="1013">
        <v>1708</v>
      </c>
      <c r="N28" s="989"/>
      <c r="O28" s="982">
        <f>SUM(I28:N28)</f>
        <v>1769</v>
      </c>
      <c r="P28" s="990"/>
    </row>
    <row r="29" spans="1:261" s="991" customFormat="1" ht="18" customHeight="1" x14ac:dyDescent="0.35">
      <c r="A29" s="773">
        <v>19</v>
      </c>
      <c r="B29" s="983"/>
      <c r="C29" s="984"/>
      <c r="D29" s="576" t="s">
        <v>1158</v>
      </c>
      <c r="E29" s="430"/>
      <c r="F29" s="762"/>
      <c r="G29" s="431"/>
      <c r="H29" s="999"/>
      <c r="I29" s="996"/>
      <c r="J29" s="989"/>
      <c r="K29" s="759">
        <v>61</v>
      </c>
      <c r="L29" s="1524"/>
      <c r="M29" s="759">
        <v>1708</v>
      </c>
      <c r="N29" s="989"/>
      <c r="O29" s="767">
        <f>SUM(I29:N29)</f>
        <v>1769</v>
      </c>
      <c r="P29" s="990"/>
    </row>
    <row r="30" spans="1:261" s="991" customFormat="1" ht="18" customHeight="1" x14ac:dyDescent="0.35">
      <c r="A30" s="773">
        <v>20</v>
      </c>
      <c r="B30" s="983"/>
      <c r="C30" s="984"/>
      <c r="D30" s="1318" t="s">
        <v>947</v>
      </c>
      <c r="E30" s="430"/>
      <c r="F30" s="762"/>
      <c r="G30" s="431"/>
      <c r="H30" s="999"/>
      <c r="I30" s="1525"/>
      <c r="J30" s="1524"/>
      <c r="K30" s="759"/>
      <c r="L30" s="1524"/>
      <c r="M30" s="759"/>
      <c r="N30" s="1524"/>
      <c r="O30" s="1599">
        <f>SUM(I30:N30)</f>
        <v>0</v>
      </c>
      <c r="P30" s="990"/>
    </row>
    <row r="31" spans="1:261" s="991" customFormat="1" ht="18" customHeight="1" x14ac:dyDescent="0.35">
      <c r="A31" s="773">
        <v>21</v>
      </c>
      <c r="B31" s="983"/>
      <c r="C31" s="984"/>
      <c r="D31" s="576" t="s">
        <v>1250</v>
      </c>
      <c r="E31" s="430"/>
      <c r="F31" s="762"/>
      <c r="G31" s="431"/>
      <c r="H31" s="999"/>
      <c r="I31" s="1525"/>
      <c r="J31" s="1524"/>
      <c r="K31" s="759">
        <f>SUM(K29:K30)</f>
        <v>61</v>
      </c>
      <c r="L31" s="759"/>
      <c r="M31" s="759">
        <f t="shared" ref="M31" si="3">SUM(M29:M30)</f>
        <v>1708</v>
      </c>
      <c r="N31" s="1524"/>
      <c r="O31" s="767">
        <f>SUM(I31:N31)</f>
        <v>1769</v>
      </c>
      <c r="P31" s="990"/>
    </row>
    <row r="32" spans="1:261" s="758" customFormat="1" ht="38.25" customHeight="1" x14ac:dyDescent="0.35">
      <c r="A32" s="773">
        <v>22</v>
      </c>
      <c r="B32" s="766"/>
      <c r="C32" s="420">
        <v>5</v>
      </c>
      <c r="D32" s="422" t="s">
        <v>613</v>
      </c>
      <c r="E32" s="430"/>
      <c r="F32" s="430"/>
      <c r="G32" s="431"/>
      <c r="H32" s="1025" t="s">
        <v>24</v>
      </c>
      <c r="I32" s="1018"/>
      <c r="J32" s="1012"/>
      <c r="K32" s="1012"/>
      <c r="L32" s="1012"/>
      <c r="M32" s="1012"/>
      <c r="N32" s="1012"/>
      <c r="O32" s="1019"/>
      <c r="P32" s="763"/>
      <c r="Q32" s="418"/>
      <c r="R32" s="418"/>
      <c r="S32" s="418"/>
      <c r="T32" s="418"/>
      <c r="U32" s="418"/>
      <c r="V32" s="418"/>
      <c r="W32" s="418"/>
      <c r="X32" s="418"/>
      <c r="Y32" s="418"/>
      <c r="Z32" s="418"/>
      <c r="AA32" s="418"/>
      <c r="AB32" s="418"/>
      <c r="AC32" s="418"/>
      <c r="AD32" s="418"/>
      <c r="AE32" s="418"/>
      <c r="AF32" s="418"/>
      <c r="AG32" s="418"/>
      <c r="AH32" s="418"/>
      <c r="AI32" s="418"/>
      <c r="AJ32" s="418"/>
      <c r="AK32" s="418"/>
      <c r="AL32" s="418"/>
      <c r="AM32" s="418"/>
      <c r="AN32" s="418"/>
      <c r="AO32" s="418"/>
      <c r="AP32" s="418"/>
      <c r="AQ32" s="418"/>
      <c r="AR32" s="418"/>
      <c r="AS32" s="418"/>
      <c r="AT32" s="418"/>
      <c r="AU32" s="418"/>
      <c r="AV32" s="418"/>
      <c r="AW32" s="418"/>
      <c r="AX32" s="418"/>
      <c r="AY32" s="418"/>
      <c r="AZ32" s="418"/>
      <c r="BA32" s="418"/>
      <c r="BB32" s="418"/>
      <c r="BC32" s="418"/>
      <c r="BD32" s="418"/>
      <c r="BE32" s="418"/>
      <c r="BF32" s="418"/>
      <c r="BG32" s="418"/>
      <c r="BH32" s="418"/>
      <c r="BI32" s="418"/>
      <c r="BJ32" s="418"/>
      <c r="BK32" s="418"/>
      <c r="BL32" s="418"/>
      <c r="BM32" s="418"/>
      <c r="BN32" s="418"/>
      <c r="BO32" s="418"/>
      <c r="BP32" s="418"/>
      <c r="BQ32" s="418"/>
      <c r="BR32" s="418"/>
      <c r="BS32" s="418"/>
      <c r="BT32" s="418"/>
      <c r="BU32" s="418"/>
      <c r="BV32" s="418"/>
      <c r="BW32" s="418"/>
      <c r="BX32" s="418"/>
      <c r="BY32" s="418"/>
      <c r="BZ32" s="418"/>
      <c r="CA32" s="418"/>
      <c r="CB32" s="418"/>
      <c r="CC32" s="418"/>
      <c r="CD32" s="418"/>
      <c r="CE32" s="418"/>
      <c r="CF32" s="418"/>
      <c r="CG32" s="418"/>
      <c r="CH32" s="418"/>
      <c r="CI32" s="418"/>
      <c r="CJ32" s="418"/>
      <c r="CK32" s="418"/>
      <c r="CL32" s="418"/>
      <c r="CM32" s="418"/>
      <c r="CN32" s="418"/>
      <c r="CO32" s="418"/>
      <c r="CP32" s="418"/>
      <c r="CQ32" s="418"/>
      <c r="CR32" s="418"/>
      <c r="CS32" s="418"/>
      <c r="CT32" s="418"/>
      <c r="CU32" s="418"/>
      <c r="CV32" s="418"/>
      <c r="CW32" s="418"/>
      <c r="CX32" s="418"/>
      <c r="CY32" s="418"/>
      <c r="CZ32" s="418"/>
      <c r="DA32" s="418"/>
      <c r="DB32" s="418"/>
      <c r="DC32" s="418"/>
      <c r="DD32" s="418"/>
      <c r="DE32" s="418"/>
      <c r="DF32" s="418"/>
      <c r="DG32" s="418"/>
      <c r="DH32" s="418"/>
      <c r="DI32" s="418"/>
      <c r="DJ32" s="418"/>
      <c r="DK32" s="418"/>
      <c r="DL32" s="418"/>
      <c r="DM32" s="418"/>
      <c r="DN32" s="418"/>
      <c r="DO32" s="418"/>
      <c r="DP32" s="418"/>
      <c r="DQ32" s="418"/>
      <c r="DR32" s="418"/>
      <c r="DS32" s="418"/>
      <c r="DT32" s="418"/>
      <c r="DU32" s="418"/>
      <c r="DV32" s="418"/>
      <c r="DW32" s="418"/>
      <c r="DX32" s="418"/>
      <c r="DY32" s="418"/>
      <c r="DZ32" s="418"/>
      <c r="EA32" s="418"/>
      <c r="EB32" s="418"/>
      <c r="EC32" s="418"/>
      <c r="ED32" s="418"/>
      <c r="EE32" s="418"/>
      <c r="EF32" s="418"/>
      <c r="EG32" s="418"/>
      <c r="EH32" s="418"/>
      <c r="EI32" s="418"/>
      <c r="EJ32" s="418"/>
      <c r="EK32" s="418"/>
      <c r="EL32" s="418"/>
      <c r="EM32" s="418"/>
      <c r="EN32" s="418"/>
      <c r="EO32" s="418"/>
      <c r="EP32" s="418"/>
      <c r="EQ32" s="418"/>
      <c r="ER32" s="418"/>
      <c r="ES32" s="418"/>
      <c r="ET32" s="418"/>
      <c r="EU32" s="418"/>
      <c r="EV32" s="418"/>
      <c r="EW32" s="418"/>
      <c r="EX32" s="418"/>
      <c r="EY32" s="418"/>
      <c r="EZ32" s="418"/>
      <c r="FA32" s="418"/>
      <c r="FB32" s="418"/>
      <c r="FC32" s="418"/>
      <c r="FD32" s="418"/>
      <c r="FE32" s="418"/>
      <c r="FF32" s="418"/>
      <c r="FG32" s="418"/>
      <c r="FH32" s="418"/>
      <c r="FI32" s="418"/>
      <c r="FJ32" s="418"/>
      <c r="FK32" s="418"/>
      <c r="FL32" s="418"/>
      <c r="FM32" s="418"/>
      <c r="FN32" s="418"/>
      <c r="FO32" s="418"/>
      <c r="FP32" s="418"/>
      <c r="FQ32" s="418"/>
      <c r="FR32" s="418"/>
      <c r="FS32" s="418"/>
      <c r="FT32" s="418"/>
      <c r="FU32" s="418"/>
      <c r="FV32" s="418"/>
      <c r="FW32" s="418"/>
      <c r="FX32" s="418"/>
      <c r="FY32" s="418"/>
      <c r="FZ32" s="418"/>
      <c r="GA32" s="418"/>
      <c r="GB32" s="418"/>
      <c r="GC32" s="418"/>
      <c r="GD32" s="418"/>
      <c r="GE32" s="418"/>
      <c r="GF32" s="418"/>
      <c r="GG32" s="418"/>
      <c r="GH32" s="418"/>
      <c r="GI32" s="418"/>
      <c r="GJ32" s="418"/>
      <c r="GK32" s="418"/>
      <c r="GL32" s="418"/>
      <c r="GM32" s="418"/>
      <c r="GN32" s="418"/>
      <c r="GO32" s="418"/>
      <c r="GP32" s="418"/>
      <c r="GQ32" s="418"/>
      <c r="GR32" s="418"/>
      <c r="GS32" s="418"/>
      <c r="GT32" s="418"/>
      <c r="GU32" s="418"/>
      <c r="GV32" s="418"/>
      <c r="GW32" s="418"/>
      <c r="GX32" s="418"/>
      <c r="GY32" s="418"/>
      <c r="GZ32" s="418"/>
      <c r="HA32" s="418"/>
      <c r="HB32" s="418"/>
      <c r="HC32" s="418"/>
      <c r="HD32" s="418"/>
      <c r="HE32" s="418"/>
      <c r="HF32" s="418"/>
      <c r="HG32" s="418"/>
      <c r="HH32" s="418"/>
      <c r="HI32" s="418"/>
      <c r="HJ32" s="418"/>
      <c r="HK32" s="418"/>
      <c r="HL32" s="418"/>
      <c r="HM32" s="418"/>
      <c r="HN32" s="418"/>
      <c r="HO32" s="418"/>
      <c r="HP32" s="418"/>
      <c r="HQ32" s="418"/>
      <c r="HR32" s="418"/>
      <c r="HS32" s="418"/>
      <c r="HT32" s="418"/>
      <c r="HU32" s="418"/>
      <c r="HV32" s="418"/>
      <c r="HW32" s="418"/>
      <c r="HX32" s="418"/>
      <c r="HY32" s="418"/>
      <c r="HZ32" s="418"/>
      <c r="IA32" s="418"/>
      <c r="IB32" s="418"/>
      <c r="IC32" s="418"/>
      <c r="ID32" s="418"/>
      <c r="IE32" s="418"/>
      <c r="IF32" s="418"/>
      <c r="IG32" s="418"/>
      <c r="IH32" s="418"/>
      <c r="II32" s="418"/>
      <c r="IJ32" s="418"/>
      <c r="IK32" s="418"/>
      <c r="IL32" s="418"/>
      <c r="IM32" s="418"/>
      <c r="IN32" s="418"/>
      <c r="IO32" s="418"/>
      <c r="IP32" s="418"/>
      <c r="IQ32" s="418"/>
      <c r="IR32" s="418"/>
      <c r="IS32" s="418"/>
      <c r="IT32" s="418"/>
      <c r="IU32" s="418"/>
      <c r="IV32" s="418"/>
      <c r="IW32" s="418"/>
      <c r="IX32" s="418"/>
      <c r="IY32" s="418"/>
      <c r="IZ32" s="418"/>
      <c r="JA32" s="418"/>
    </row>
    <row r="33" spans="1:16" ht="18" customHeight="1" x14ac:dyDescent="0.35">
      <c r="A33" s="773">
        <v>23</v>
      </c>
      <c r="B33" s="618"/>
      <c r="C33" s="464"/>
      <c r="D33" s="992" t="s">
        <v>308</v>
      </c>
      <c r="E33" s="430">
        <f>F33+G33+O36+P36+3250-134273</f>
        <v>175747</v>
      </c>
      <c r="F33" s="430">
        <v>6541</v>
      </c>
      <c r="G33" s="431"/>
      <c r="H33" s="999"/>
      <c r="I33" s="1018"/>
      <c r="J33" s="1012"/>
      <c r="K33" s="1012">
        <v>382</v>
      </c>
      <c r="L33" s="1012"/>
      <c r="M33" s="1012">
        <f>34933+130641</f>
        <v>165574</v>
      </c>
      <c r="N33" s="1012"/>
      <c r="O33" s="982">
        <f>SUM(I33:N33)</f>
        <v>165956</v>
      </c>
      <c r="P33" s="763"/>
    </row>
    <row r="34" spans="1:16" ht="18" customHeight="1" x14ac:dyDescent="0.35">
      <c r="A34" s="773">
        <v>24</v>
      </c>
      <c r="B34" s="618"/>
      <c r="C34" s="464"/>
      <c r="D34" s="576" t="s">
        <v>1158</v>
      </c>
      <c r="E34" s="430"/>
      <c r="F34" s="430"/>
      <c r="G34" s="431"/>
      <c r="H34" s="999"/>
      <c r="I34" s="1018"/>
      <c r="J34" s="1012"/>
      <c r="K34" s="430">
        <v>382</v>
      </c>
      <c r="L34" s="430">
        <v>3632</v>
      </c>
      <c r="M34" s="430">
        <v>165574</v>
      </c>
      <c r="N34" s="430">
        <v>130641</v>
      </c>
      <c r="O34" s="767">
        <f>SUM(I34:N34)</f>
        <v>300229</v>
      </c>
      <c r="P34" s="763"/>
    </row>
    <row r="35" spans="1:16" ht="18" customHeight="1" x14ac:dyDescent="0.35">
      <c r="A35" s="773">
        <v>25</v>
      </c>
      <c r="B35" s="618"/>
      <c r="C35" s="464"/>
      <c r="D35" s="1318" t="s">
        <v>1242</v>
      </c>
      <c r="E35" s="430"/>
      <c r="F35" s="430"/>
      <c r="G35" s="431"/>
      <c r="H35" s="999"/>
      <c r="I35" s="997"/>
      <c r="J35" s="430"/>
      <c r="K35" s="430"/>
      <c r="L35" s="1563"/>
      <c r="M35" s="1563"/>
      <c r="N35" s="1563"/>
      <c r="O35" s="1599">
        <f>SUM(I35:N35)</f>
        <v>0</v>
      </c>
      <c r="P35" s="763"/>
    </row>
    <row r="36" spans="1:16" ht="18" customHeight="1" x14ac:dyDescent="0.35">
      <c r="A36" s="773">
        <v>26</v>
      </c>
      <c r="B36" s="618"/>
      <c r="C36" s="464"/>
      <c r="D36" s="576" t="s">
        <v>1250</v>
      </c>
      <c r="E36" s="430"/>
      <c r="F36" s="430"/>
      <c r="G36" s="431"/>
      <c r="H36" s="999"/>
      <c r="I36" s="997"/>
      <c r="J36" s="430"/>
      <c r="K36" s="430">
        <f>SUM(K34:K35)</f>
        <v>382</v>
      </c>
      <c r="L36" s="430">
        <f>SUM(L34:L35)</f>
        <v>3632</v>
      </c>
      <c r="M36" s="430">
        <f t="shared" ref="M36:N36" si="4">SUM(M34:M35)</f>
        <v>165574</v>
      </c>
      <c r="N36" s="430">
        <f t="shared" si="4"/>
        <v>130641</v>
      </c>
      <c r="O36" s="767">
        <f>SUM(I36:N36)</f>
        <v>300229</v>
      </c>
      <c r="P36" s="763"/>
    </row>
    <row r="37" spans="1:16" ht="33" x14ac:dyDescent="0.35">
      <c r="A37" s="773">
        <v>27</v>
      </c>
      <c r="B37" s="618"/>
      <c r="C37" s="420">
        <v>6</v>
      </c>
      <c r="D37" s="980" t="s">
        <v>675</v>
      </c>
      <c r="E37" s="430"/>
      <c r="F37" s="430"/>
      <c r="G37" s="431"/>
      <c r="H37" s="999" t="s">
        <v>24</v>
      </c>
      <c r="I37" s="1018"/>
      <c r="J37" s="1012"/>
      <c r="K37" s="1012"/>
      <c r="L37" s="1012"/>
      <c r="M37" s="1012"/>
      <c r="N37" s="1012"/>
      <c r="O37" s="982"/>
      <c r="P37" s="763"/>
    </row>
    <row r="38" spans="1:16" ht="18" customHeight="1" x14ac:dyDescent="0.35">
      <c r="A38" s="773">
        <v>28</v>
      </c>
      <c r="B38" s="618"/>
      <c r="C38" s="464"/>
      <c r="D38" s="992" t="s">
        <v>308</v>
      </c>
      <c r="E38" s="430">
        <f>F38+G38+O41+P41</f>
        <v>64792</v>
      </c>
      <c r="F38" s="430">
        <v>1956</v>
      </c>
      <c r="G38" s="431"/>
      <c r="H38" s="999"/>
      <c r="I38" s="1018"/>
      <c r="J38" s="1012"/>
      <c r="K38" s="1012">
        <v>270</v>
      </c>
      <c r="L38" s="1012"/>
      <c r="M38" s="1012">
        <f>7068+41498</f>
        <v>48566</v>
      </c>
      <c r="N38" s="1012"/>
      <c r="O38" s="982">
        <f>SUM(I38:N38)</f>
        <v>48836</v>
      </c>
      <c r="P38" s="763"/>
    </row>
    <row r="39" spans="1:16" ht="18" customHeight="1" x14ac:dyDescent="0.35">
      <c r="A39" s="773">
        <v>29</v>
      </c>
      <c r="B39" s="618"/>
      <c r="C39" s="464"/>
      <c r="D39" s="576" t="s">
        <v>1158</v>
      </c>
      <c r="E39" s="430"/>
      <c r="F39" s="430"/>
      <c r="G39" s="431"/>
      <c r="H39" s="999"/>
      <c r="I39" s="1018"/>
      <c r="J39" s="1012"/>
      <c r="K39" s="430">
        <v>270</v>
      </c>
      <c r="L39" s="430"/>
      <c r="M39" s="430">
        <v>62566</v>
      </c>
      <c r="N39" s="1012"/>
      <c r="O39" s="767">
        <f>SUM(I39:N39)</f>
        <v>62836</v>
      </c>
      <c r="P39" s="763"/>
    </row>
    <row r="40" spans="1:16" ht="18" customHeight="1" x14ac:dyDescent="0.35">
      <c r="A40" s="773">
        <v>30</v>
      </c>
      <c r="B40" s="618"/>
      <c r="C40" s="464"/>
      <c r="D40" s="1318" t="s">
        <v>969</v>
      </c>
      <c r="E40" s="430"/>
      <c r="F40" s="430"/>
      <c r="G40" s="431"/>
      <c r="H40" s="999"/>
      <c r="I40" s="997"/>
      <c r="J40" s="430"/>
      <c r="K40" s="430"/>
      <c r="L40" s="430"/>
      <c r="M40" s="1563"/>
      <c r="N40" s="430"/>
      <c r="O40" s="1599">
        <f>SUM(I40:N40)</f>
        <v>0</v>
      </c>
      <c r="P40" s="763"/>
    </row>
    <row r="41" spans="1:16" ht="18" customHeight="1" x14ac:dyDescent="0.35">
      <c r="A41" s="773">
        <v>31</v>
      </c>
      <c r="B41" s="618"/>
      <c r="C41" s="464"/>
      <c r="D41" s="576" t="s">
        <v>1250</v>
      </c>
      <c r="E41" s="430"/>
      <c r="F41" s="430"/>
      <c r="G41" s="431"/>
      <c r="H41" s="999"/>
      <c r="I41" s="997"/>
      <c r="J41" s="430"/>
      <c r="K41" s="430">
        <f>SUM(K39:K40)</f>
        <v>270</v>
      </c>
      <c r="L41" s="430"/>
      <c r="M41" s="430">
        <f t="shared" ref="M41" si="5">SUM(M39:M40)</f>
        <v>62566</v>
      </c>
      <c r="N41" s="430"/>
      <c r="O41" s="767">
        <f>SUM(I41:N41)</f>
        <v>62836</v>
      </c>
      <c r="P41" s="763"/>
    </row>
    <row r="42" spans="1:16" ht="33" x14ac:dyDescent="0.35">
      <c r="A42" s="773">
        <v>32</v>
      </c>
      <c r="B42" s="618"/>
      <c r="C42" s="420">
        <v>7</v>
      </c>
      <c r="D42" s="979" t="s">
        <v>676</v>
      </c>
      <c r="E42" s="430"/>
      <c r="F42" s="430"/>
      <c r="G42" s="431"/>
      <c r="H42" s="999" t="s">
        <v>24</v>
      </c>
      <c r="I42" s="1018"/>
      <c r="J42" s="1012"/>
      <c r="K42" s="1012"/>
      <c r="L42" s="1012"/>
      <c r="M42" s="1012"/>
      <c r="N42" s="1012"/>
      <c r="O42" s="982"/>
      <c r="P42" s="763"/>
    </row>
    <row r="43" spans="1:16" ht="18" customHeight="1" x14ac:dyDescent="0.35">
      <c r="A43" s="773">
        <v>33</v>
      </c>
      <c r="B43" s="618"/>
      <c r="C43" s="464"/>
      <c r="D43" s="992" t="s">
        <v>308</v>
      </c>
      <c r="E43" s="430">
        <f>F43+G43+O46+P46</f>
        <v>79009</v>
      </c>
      <c r="F43" s="430">
        <v>2459</v>
      </c>
      <c r="G43" s="431"/>
      <c r="H43" s="999"/>
      <c r="I43" s="1018"/>
      <c r="J43" s="1012"/>
      <c r="K43" s="1012">
        <v>270</v>
      </c>
      <c r="L43" s="1012"/>
      <c r="M43" s="1012">
        <f>37058+53222</f>
        <v>90280</v>
      </c>
      <c r="N43" s="1012"/>
      <c r="O43" s="982">
        <f>SUM(I43:N43)</f>
        <v>90550</v>
      </c>
      <c r="P43" s="763"/>
    </row>
    <row r="44" spans="1:16" ht="18" customHeight="1" x14ac:dyDescent="0.35">
      <c r="A44" s="773">
        <v>34</v>
      </c>
      <c r="B44" s="618"/>
      <c r="C44" s="464"/>
      <c r="D44" s="576" t="s">
        <v>1158</v>
      </c>
      <c r="E44" s="430"/>
      <c r="F44" s="430"/>
      <c r="G44" s="431"/>
      <c r="H44" s="999"/>
      <c r="I44" s="1018"/>
      <c r="J44" s="1012"/>
      <c r="K44" s="430">
        <v>270</v>
      </c>
      <c r="L44" s="430"/>
      <c r="M44" s="430">
        <v>76280</v>
      </c>
      <c r="N44" s="1012"/>
      <c r="O44" s="767">
        <f>SUM(I44:N44)</f>
        <v>76550</v>
      </c>
      <c r="P44" s="763"/>
    </row>
    <row r="45" spans="1:16" ht="18" customHeight="1" x14ac:dyDescent="0.35">
      <c r="A45" s="773">
        <v>35</v>
      </c>
      <c r="B45" s="618"/>
      <c r="C45" s="464"/>
      <c r="D45" s="1318" t="s">
        <v>969</v>
      </c>
      <c r="E45" s="430"/>
      <c r="F45" s="430"/>
      <c r="G45" s="431"/>
      <c r="H45" s="999"/>
      <c r="I45" s="997"/>
      <c r="J45" s="430"/>
      <c r="K45" s="430"/>
      <c r="L45" s="430"/>
      <c r="M45" s="1563"/>
      <c r="N45" s="430"/>
      <c r="O45" s="1599">
        <f>SUM(I45:N45)</f>
        <v>0</v>
      </c>
      <c r="P45" s="763"/>
    </row>
    <row r="46" spans="1:16" ht="18" customHeight="1" x14ac:dyDescent="0.35">
      <c r="A46" s="773">
        <v>36</v>
      </c>
      <c r="B46" s="618"/>
      <c r="C46" s="464"/>
      <c r="D46" s="576" t="s">
        <v>1250</v>
      </c>
      <c r="E46" s="430"/>
      <c r="F46" s="430"/>
      <c r="G46" s="431"/>
      <c r="H46" s="999"/>
      <c r="I46" s="997"/>
      <c r="J46" s="430"/>
      <c r="K46" s="430">
        <f>SUM(K44:K45)</f>
        <v>270</v>
      </c>
      <c r="L46" s="430"/>
      <c r="M46" s="430">
        <f t="shared" ref="M46" si="6">SUM(M44:M45)</f>
        <v>76280</v>
      </c>
      <c r="N46" s="430"/>
      <c r="O46" s="767">
        <f>SUM(I46:N46)</f>
        <v>76550</v>
      </c>
      <c r="P46" s="763"/>
    </row>
    <row r="47" spans="1:16" ht="22.5" customHeight="1" x14ac:dyDescent="0.35">
      <c r="A47" s="773">
        <v>37</v>
      </c>
      <c r="B47" s="618"/>
      <c r="C47" s="464">
        <v>8</v>
      </c>
      <c r="D47" s="1243" t="s">
        <v>572</v>
      </c>
      <c r="E47" s="430"/>
      <c r="F47" s="430"/>
      <c r="G47" s="431"/>
      <c r="H47" s="999" t="s">
        <v>24</v>
      </c>
      <c r="I47" s="1018"/>
      <c r="J47" s="1012"/>
      <c r="K47" s="1012"/>
      <c r="L47" s="1012"/>
      <c r="M47" s="1012"/>
      <c r="N47" s="1012"/>
      <c r="O47" s="982"/>
      <c r="P47" s="763"/>
    </row>
    <row r="48" spans="1:16" ht="18" customHeight="1" x14ac:dyDescent="0.35">
      <c r="A48" s="773">
        <v>38</v>
      </c>
      <c r="B48" s="618"/>
      <c r="C48" s="464"/>
      <c r="D48" s="992" t="s">
        <v>308</v>
      </c>
      <c r="E48" s="430">
        <f>F48+G48+O51+P51</f>
        <v>72672</v>
      </c>
      <c r="F48" s="430">
        <v>4926</v>
      </c>
      <c r="G48" s="431">
        <f>120+67252+329</f>
        <v>67701</v>
      </c>
      <c r="H48" s="999"/>
      <c r="I48" s="1018"/>
      <c r="J48" s="1012"/>
      <c r="K48" s="1012">
        <v>45</v>
      </c>
      <c r="L48" s="1012"/>
      <c r="M48" s="1012"/>
      <c r="N48" s="1012"/>
      <c r="O48" s="982">
        <f>SUM(I48:N48)</f>
        <v>45</v>
      </c>
      <c r="P48" s="763"/>
    </row>
    <row r="49" spans="1:261" ht="18" customHeight="1" x14ac:dyDescent="0.35">
      <c r="A49" s="773">
        <v>39</v>
      </c>
      <c r="B49" s="618"/>
      <c r="C49" s="464"/>
      <c r="D49" s="576" t="s">
        <v>1158</v>
      </c>
      <c r="E49" s="430"/>
      <c r="F49" s="430"/>
      <c r="G49" s="431"/>
      <c r="H49" s="999"/>
      <c r="I49" s="1018"/>
      <c r="J49" s="1012"/>
      <c r="K49" s="430">
        <v>0</v>
      </c>
      <c r="L49" s="430">
        <v>45</v>
      </c>
      <c r="M49" s="1012"/>
      <c r="N49" s="1012"/>
      <c r="O49" s="767">
        <f>SUM(I49:N49)</f>
        <v>45</v>
      </c>
      <c r="P49" s="763"/>
    </row>
    <row r="50" spans="1:261" ht="18" customHeight="1" x14ac:dyDescent="0.35">
      <c r="A50" s="773">
        <v>40</v>
      </c>
      <c r="B50" s="618"/>
      <c r="C50" s="464"/>
      <c r="D50" s="1318" t="s">
        <v>969</v>
      </c>
      <c r="E50" s="430"/>
      <c r="F50" s="430"/>
      <c r="G50" s="431"/>
      <c r="H50" s="999"/>
      <c r="I50" s="997"/>
      <c r="J50" s="430"/>
      <c r="K50" s="430"/>
      <c r="L50" s="430"/>
      <c r="M50" s="430"/>
      <c r="N50" s="430"/>
      <c r="O50" s="1599">
        <f>SUM(I50:N50)</f>
        <v>0</v>
      </c>
      <c r="P50" s="763"/>
    </row>
    <row r="51" spans="1:261" ht="18" customHeight="1" x14ac:dyDescent="0.35">
      <c r="A51" s="773">
        <v>41</v>
      </c>
      <c r="B51" s="618"/>
      <c r="C51" s="464"/>
      <c r="D51" s="576" t="s">
        <v>1250</v>
      </c>
      <c r="E51" s="430"/>
      <c r="F51" s="430"/>
      <c r="G51" s="431"/>
      <c r="H51" s="999"/>
      <c r="I51" s="997"/>
      <c r="J51" s="430"/>
      <c r="K51" s="430">
        <f>SUM(K49:K50)</f>
        <v>0</v>
      </c>
      <c r="L51" s="430">
        <f>SUM(L49:L50)</f>
        <v>45</v>
      </c>
      <c r="M51" s="430"/>
      <c r="N51" s="430"/>
      <c r="O51" s="767">
        <f>SUM(I51:N51)</f>
        <v>45</v>
      </c>
      <c r="P51" s="763"/>
    </row>
    <row r="52" spans="1:261" s="758" customFormat="1" ht="54.75" customHeight="1" x14ac:dyDescent="0.35">
      <c r="A52" s="773">
        <v>42</v>
      </c>
      <c r="B52" s="766"/>
      <c r="C52" s="420">
        <v>9</v>
      </c>
      <c r="D52" s="978" t="s">
        <v>614</v>
      </c>
      <c r="E52" s="430"/>
      <c r="F52" s="762"/>
      <c r="G52" s="431"/>
      <c r="H52" s="1025" t="s">
        <v>24</v>
      </c>
      <c r="I52" s="1017"/>
      <c r="J52" s="1013"/>
      <c r="K52" s="1013"/>
      <c r="L52" s="1013"/>
      <c r="M52" s="1013"/>
      <c r="N52" s="1013"/>
      <c r="O52" s="982"/>
      <c r="P52" s="763"/>
      <c r="Q52" s="418"/>
      <c r="R52" s="418"/>
      <c r="S52" s="418"/>
      <c r="T52" s="418"/>
      <c r="U52" s="418"/>
      <c r="V52" s="418"/>
      <c r="W52" s="418"/>
      <c r="X52" s="418"/>
      <c r="Y52" s="418"/>
      <c r="Z52" s="418"/>
      <c r="AA52" s="418"/>
      <c r="AB52" s="418"/>
      <c r="AC52" s="418"/>
      <c r="AD52" s="418"/>
      <c r="AE52" s="418"/>
      <c r="AF52" s="418"/>
      <c r="AG52" s="418"/>
      <c r="AH52" s="418"/>
      <c r="AI52" s="418"/>
      <c r="AJ52" s="418"/>
      <c r="AK52" s="418"/>
      <c r="AL52" s="418"/>
      <c r="AM52" s="418"/>
      <c r="AN52" s="418"/>
      <c r="AO52" s="418"/>
      <c r="AP52" s="418"/>
      <c r="AQ52" s="418"/>
      <c r="AR52" s="418"/>
      <c r="AS52" s="418"/>
      <c r="AT52" s="418"/>
      <c r="AU52" s="418"/>
      <c r="AV52" s="418"/>
      <c r="AW52" s="418"/>
      <c r="AX52" s="418"/>
      <c r="AY52" s="418"/>
      <c r="AZ52" s="418"/>
      <c r="BA52" s="418"/>
      <c r="BB52" s="418"/>
      <c r="BC52" s="418"/>
      <c r="BD52" s="418"/>
      <c r="BE52" s="418"/>
      <c r="BF52" s="418"/>
      <c r="BG52" s="418"/>
      <c r="BH52" s="418"/>
      <c r="BI52" s="418"/>
      <c r="BJ52" s="418"/>
      <c r="BK52" s="418"/>
      <c r="BL52" s="418"/>
      <c r="BM52" s="418"/>
      <c r="BN52" s="418"/>
      <c r="BO52" s="418"/>
      <c r="BP52" s="418"/>
      <c r="BQ52" s="418"/>
      <c r="BR52" s="418"/>
      <c r="BS52" s="418"/>
      <c r="BT52" s="418"/>
      <c r="BU52" s="418"/>
      <c r="BV52" s="418"/>
      <c r="BW52" s="418"/>
      <c r="BX52" s="418"/>
      <c r="BY52" s="418"/>
      <c r="BZ52" s="418"/>
      <c r="CA52" s="418"/>
      <c r="CB52" s="418"/>
      <c r="CC52" s="418"/>
      <c r="CD52" s="418"/>
      <c r="CE52" s="418"/>
      <c r="CF52" s="418"/>
      <c r="CG52" s="418"/>
      <c r="CH52" s="418"/>
      <c r="CI52" s="418"/>
      <c r="CJ52" s="418"/>
      <c r="CK52" s="418"/>
      <c r="CL52" s="418"/>
      <c r="CM52" s="418"/>
      <c r="CN52" s="418"/>
      <c r="CO52" s="418"/>
      <c r="CP52" s="418"/>
      <c r="CQ52" s="418"/>
      <c r="CR52" s="418"/>
      <c r="CS52" s="418"/>
      <c r="CT52" s="418"/>
      <c r="CU52" s="418"/>
      <c r="CV52" s="418"/>
      <c r="CW52" s="418"/>
      <c r="CX52" s="418"/>
      <c r="CY52" s="418"/>
      <c r="CZ52" s="418"/>
      <c r="DA52" s="418"/>
      <c r="DB52" s="418"/>
      <c r="DC52" s="418"/>
      <c r="DD52" s="418"/>
      <c r="DE52" s="418"/>
      <c r="DF52" s="418"/>
      <c r="DG52" s="418"/>
      <c r="DH52" s="418"/>
      <c r="DI52" s="418"/>
      <c r="DJ52" s="418"/>
      <c r="DK52" s="418"/>
      <c r="DL52" s="418"/>
      <c r="DM52" s="418"/>
      <c r="DN52" s="418"/>
      <c r="DO52" s="418"/>
      <c r="DP52" s="418"/>
      <c r="DQ52" s="418"/>
      <c r="DR52" s="418"/>
      <c r="DS52" s="418"/>
      <c r="DT52" s="418"/>
      <c r="DU52" s="418"/>
      <c r="DV52" s="418"/>
      <c r="DW52" s="418"/>
      <c r="DX52" s="418"/>
      <c r="DY52" s="418"/>
      <c r="DZ52" s="418"/>
      <c r="EA52" s="418"/>
      <c r="EB52" s="418"/>
      <c r="EC52" s="418"/>
      <c r="ED52" s="418"/>
      <c r="EE52" s="418"/>
      <c r="EF52" s="418"/>
      <c r="EG52" s="418"/>
      <c r="EH52" s="418"/>
      <c r="EI52" s="418"/>
      <c r="EJ52" s="418"/>
      <c r="EK52" s="418"/>
      <c r="EL52" s="418"/>
      <c r="EM52" s="418"/>
      <c r="EN52" s="418"/>
      <c r="EO52" s="418"/>
      <c r="EP52" s="418"/>
      <c r="EQ52" s="418"/>
      <c r="ER52" s="418"/>
      <c r="ES52" s="418"/>
      <c r="ET52" s="418"/>
      <c r="EU52" s="418"/>
      <c r="EV52" s="418"/>
      <c r="EW52" s="418"/>
      <c r="EX52" s="418"/>
      <c r="EY52" s="418"/>
      <c r="EZ52" s="418"/>
      <c r="FA52" s="418"/>
      <c r="FB52" s="418"/>
      <c r="FC52" s="418"/>
      <c r="FD52" s="418"/>
      <c r="FE52" s="418"/>
      <c r="FF52" s="418"/>
      <c r="FG52" s="418"/>
      <c r="FH52" s="418"/>
      <c r="FI52" s="418"/>
      <c r="FJ52" s="418"/>
      <c r="FK52" s="418"/>
      <c r="FL52" s="418"/>
      <c r="FM52" s="418"/>
      <c r="FN52" s="418"/>
      <c r="FO52" s="418"/>
      <c r="FP52" s="418"/>
      <c r="FQ52" s="418"/>
      <c r="FR52" s="418"/>
      <c r="FS52" s="418"/>
      <c r="FT52" s="418"/>
      <c r="FU52" s="418"/>
      <c r="FV52" s="418"/>
      <c r="FW52" s="418"/>
      <c r="FX52" s="418"/>
      <c r="FY52" s="418"/>
      <c r="FZ52" s="418"/>
      <c r="GA52" s="418"/>
      <c r="GB52" s="418"/>
      <c r="GC52" s="418"/>
      <c r="GD52" s="418"/>
      <c r="GE52" s="418"/>
      <c r="GF52" s="418"/>
      <c r="GG52" s="418"/>
      <c r="GH52" s="418"/>
      <c r="GI52" s="418"/>
      <c r="GJ52" s="418"/>
      <c r="GK52" s="418"/>
      <c r="GL52" s="418"/>
      <c r="GM52" s="418"/>
      <c r="GN52" s="418"/>
      <c r="GO52" s="418"/>
      <c r="GP52" s="418"/>
      <c r="GQ52" s="418"/>
      <c r="GR52" s="418"/>
      <c r="GS52" s="418"/>
      <c r="GT52" s="418"/>
      <c r="GU52" s="418"/>
      <c r="GV52" s="418"/>
      <c r="GW52" s="418"/>
      <c r="GX52" s="418"/>
      <c r="GY52" s="418"/>
      <c r="GZ52" s="418"/>
      <c r="HA52" s="418"/>
      <c r="HB52" s="418"/>
      <c r="HC52" s="418"/>
      <c r="HD52" s="418"/>
      <c r="HE52" s="418"/>
      <c r="HF52" s="418"/>
      <c r="HG52" s="418"/>
      <c r="HH52" s="418"/>
      <c r="HI52" s="418"/>
      <c r="HJ52" s="418"/>
      <c r="HK52" s="418"/>
      <c r="HL52" s="418"/>
      <c r="HM52" s="418"/>
      <c r="HN52" s="418"/>
      <c r="HO52" s="418"/>
      <c r="HP52" s="418"/>
      <c r="HQ52" s="418"/>
      <c r="HR52" s="418"/>
      <c r="HS52" s="418"/>
      <c r="HT52" s="418"/>
      <c r="HU52" s="418"/>
      <c r="HV52" s="418"/>
      <c r="HW52" s="418"/>
      <c r="HX52" s="418"/>
      <c r="HY52" s="418"/>
      <c r="HZ52" s="418"/>
      <c r="IA52" s="418"/>
      <c r="IB52" s="418"/>
      <c r="IC52" s="418"/>
      <c r="ID52" s="418"/>
      <c r="IE52" s="418"/>
      <c r="IF52" s="418"/>
      <c r="IG52" s="418"/>
      <c r="IH52" s="418"/>
      <c r="II52" s="418"/>
      <c r="IJ52" s="418"/>
      <c r="IK52" s="418"/>
      <c r="IL52" s="418"/>
      <c r="IM52" s="418"/>
      <c r="IN52" s="418"/>
      <c r="IO52" s="418"/>
      <c r="IP52" s="418"/>
      <c r="IQ52" s="418"/>
      <c r="IR52" s="418"/>
      <c r="IS52" s="418"/>
      <c r="IT52" s="418"/>
      <c r="IU52" s="418"/>
      <c r="IV52" s="418"/>
      <c r="IW52" s="418"/>
      <c r="IX52" s="418"/>
      <c r="IY52" s="418"/>
      <c r="IZ52" s="418"/>
      <c r="JA52" s="418"/>
    </row>
    <row r="53" spans="1:261" ht="18" customHeight="1" x14ac:dyDescent="0.35">
      <c r="A53" s="773">
        <v>43</v>
      </c>
      <c r="B53" s="618"/>
      <c r="C53" s="464"/>
      <c r="D53" s="992" t="s">
        <v>308</v>
      </c>
      <c r="E53" s="430">
        <f>F53+G53+O56+P56</f>
        <v>91960</v>
      </c>
      <c r="F53" s="762">
        <v>4834</v>
      </c>
      <c r="G53" s="431">
        <v>40</v>
      </c>
      <c r="H53" s="999"/>
      <c r="I53" s="1017"/>
      <c r="J53" s="1013"/>
      <c r="K53" s="1013">
        <v>395</v>
      </c>
      <c r="L53" s="1013"/>
      <c r="M53" s="1013">
        <f>760+194617</f>
        <v>195377</v>
      </c>
      <c r="N53" s="1013"/>
      <c r="O53" s="982">
        <f>SUM(I53:N53)</f>
        <v>195772</v>
      </c>
      <c r="P53" s="763"/>
    </row>
    <row r="54" spans="1:261" ht="18" customHeight="1" x14ac:dyDescent="0.35">
      <c r="A54" s="773">
        <v>44</v>
      </c>
      <c r="B54" s="618"/>
      <c r="C54" s="464"/>
      <c r="D54" s="576" t="s">
        <v>1158</v>
      </c>
      <c r="E54" s="430"/>
      <c r="F54" s="762"/>
      <c r="G54" s="431"/>
      <c r="H54" s="999"/>
      <c r="I54" s="1017"/>
      <c r="J54" s="1013"/>
      <c r="K54" s="759">
        <v>0</v>
      </c>
      <c r="L54" s="759">
        <v>435</v>
      </c>
      <c r="M54" s="759">
        <v>0</v>
      </c>
      <c r="N54" s="759">
        <v>86651</v>
      </c>
      <c r="O54" s="767">
        <f>SUM(I54:N54)</f>
        <v>87086</v>
      </c>
      <c r="P54" s="763"/>
    </row>
    <row r="55" spans="1:261" ht="18" customHeight="1" x14ac:dyDescent="0.35">
      <c r="A55" s="773">
        <v>45</v>
      </c>
      <c r="B55" s="618"/>
      <c r="C55" s="464"/>
      <c r="D55" s="1318" t="s">
        <v>969</v>
      </c>
      <c r="E55" s="430"/>
      <c r="F55" s="762"/>
      <c r="G55" s="431"/>
      <c r="H55" s="999"/>
      <c r="I55" s="995"/>
      <c r="J55" s="759"/>
      <c r="K55" s="759"/>
      <c r="L55" s="759"/>
      <c r="M55" s="759"/>
      <c r="N55" s="759"/>
      <c r="O55" s="1599">
        <f>SUM(I55:N55)</f>
        <v>0</v>
      </c>
      <c r="P55" s="763"/>
    </row>
    <row r="56" spans="1:261" ht="18" customHeight="1" x14ac:dyDescent="0.35">
      <c r="A56" s="773">
        <v>46</v>
      </c>
      <c r="B56" s="618"/>
      <c r="C56" s="464"/>
      <c r="D56" s="576" t="s">
        <v>1250</v>
      </c>
      <c r="E56" s="430"/>
      <c r="F56" s="762"/>
      <c r="G56" s="431"/>
      <c r="H56" s="999"/>
      <c r="I56" s="995"/>
      <c r="J56" s="759"/>
      <c r="K56" s="759">
        <f>SUM(K54:K55)</f>
        <v>0</v>
      </c>
      <c r="L56" s="759">
        <f>SUM(L54:L55)</f>
        <v>435</v>
      </c>
      <c r="M56" s="759">
        <f t="shared" ref="M56:N56" si="7">SUM(M54:M55)</f>
        <v>0</v>
      </c>
      <c r="N56" s="759">
        <f t="shared" si="7"/>
        <v>86651</v>
      </c>
      <c r="O56" s="767">
        <f>SUM(I56:N56)</f>
        <v>87086</v>
      </c>
      <c r="P56" s="763"/>
    </row>
    <row r="57" spans="1:261" s="758" customFormat="1" ht="33" x14ac:dyDescent="0.35">
      <c r="A57" s="773">
        <v>47</v>
      </c>
      <c r="B57" s="766"/>
      <c r="C57" s="420">
        <v>10</v>
      </c>
      <c r="D57" s="422" t="s">
        <v>674</v>
      </c>
      <c r="E57" s="430"/>
      <c r="F57" s="762"/>
      <c r="G57" s="431"/>
      <c r="H57" s="1025" t="s">
        <v>24</v>
      </c>
      <c r="I57" s="1017"/>
      <c r="J57" s="1013"/>
      <c r="K57" s="1013"/>
      <c r="L57" s="1013"/>
      <c r="M57" s="1013"/>
      <c r="N57" s="1013"/>
      <c r="O57" s="982"/>
      <c r="P57" s="763"/>
      <c r="Q57" s="418"/>
      <c r="R57" s="418"/>
      <c r="S57" s="418"/>
      <c r="T57" s="418"/>
      <c r="U57" s="418"/>
      <c r="V57" s="418"/>
      <c r="W57" s="418"/>
      <c r="X57" s="418"/>
      <c r="Y57" s="418"/>
      <c r="Z57" s="418"/>
      <c r="AA57" s="418"/>
      <c r="AB57" s="418"/>
      <c r="AC57" s="418"/>
      <c r="AD57" s="418"/>
      <c r="AE57" s="418"/>
      <c r="AF57" s="418"/>
      <c r="AG57" s="418"/>
      <c r="AH57" s="418"/>
      <c r="AI57" s="418"/>
      <c r="AJ57" s="418"/>
      <c r="AK57" s="418"/>
      <c r="AL57" s="418"/>
      <c r="AM57" s="418"/>
      <c r="AN57" s="418"/>
      <c r="AO57" s="418"/>
      <c r="AP57" s="418"/>
      <c r="AQ57" s="418"/>
      <c r="AR57" s="418"/>
      <c r="AS57" s="418"/>
      <c r="AT57" s="418"/>
      <c r="AU57" s="418"/>
      <c r="AV57" s="418"/>
      <c r="AW57" s="418"/>
      <c r="AX57" s="418"/>
      <c r="AY57" s="418"/>
      <c r="AZ57" s="418"/>
      <c r="BA57" s="418"/>
      <c r="BB57" s="418"/>
      <c r="BC57" s="418"/>
      <c r="BD57" s="418"/>
      <c r="BE57" s="418"/>
      <c r="BF57" s="418"/>
      <c r="BG57" s="418"/>
      <c r="BH57" s="418"/>
      <c r="BI57" s="418"/>
      <c r="BJ57" s="418"/>
      <c r="BK57" s="418"/>
      <c r="BL57" s="418"/>
      <c r="BM57" s="418"/>
      <c r="BN57" s="418"/>
      <c r="BO57" s="418"/>
      <c r="BP57" s="418"/>
      <c r="BQ57" s="418"/>
      <c r="BR57" s="418"/>
      <c r="BS57" s="418"/>
      <c r="BT57" s="418"/>
      <c r="BU57" s="418"/>
      <c r="BV57" s="418"/>
      <c r="BW57" s="418"/>
      <c r="BX57" s="418"/>
      <c r="BY57" s="418"/>
      <c r="BZ57" s="418"/>
      <c r="CA57" s="418"/>
      <c r="CB57" s="418"/>
      <c r="CC57" s="418"/>
      <c r="CD57" s="418"/>
      <c r="CE57" s="418"/>
      <c r="CF57" s="418"/>
      <c r="CG57" s="418"/>
      <c r="CH57" s="418"/>
      <c r="CI57" s="418"/>
      <c r="CJ57" s="418"/>
      <c r="CK57" s="418"/>
      <c r="CL57" s="418"/>
      <c r="CM57" s="418"/>
      <c r="CN57" s="418"/>
      <c r="CO57" s="418"/>
      <c r="CP57" s="418"/>
      <c r="CQ57" s="418"/>
      <c r="CR57" s="418"/>
      <c r="CS57" s="418"/>
      <c r="CT57" s="418"/>
      <c r="CU57" s="418"/>
      <c r="CV57" s="418"/>
      <c r="CW57" s="418"/>
      <c r="CX57" s="418"/>
      <c r="CY57" s="418"/>
      <c r="CZ57" s="418"/>
      <c r="DA57" s="418"/>
      <c r="DB57" s="418"/>
      <c r="DC57" s="418"/>
      <c r="DD57" s="418"/>
      <c r="DE57" s="418"/>
      <c r="DF57" s="418"/>
      <c r="DG57" s="418"/>
      <c r="DH57" s="418"/>
      <c r="DI57" s="418"/>
      <c r="DJ57" s="418"/>
      <c r="DK57" s="418"/>
      <c r="DL57" s="418"/>
      <c r="DM57" s="418"/>
      <c r="DN57" s="418"/>
      <c r="DO57" s="418"/>
      <c r="DP57" s="418"/>
      <c r="DQ57" s="418"/>
      <c r="DR57" s="418"/>
      <c r="DS57" s="418"/>
      <c r="DT57" s="418"/>
      <c r="DU57" s="418"/>
      <c r="DV57" s="418"/>
      <c r="DW57" s="418"/>
      <c r="DX57" s="418"/>
      <c r="DY57" s="418"/>
      <c r="DZ57" s="418"/>
      <c r="EA57" s="418"/>
      <c r="EB57" s="418"/>
      <c r="EC57" s="418"/>
      <c r="ED57" s="418"/>
      <c r="EE57" s="418"/>
      <c r="EF57" s="418"/>
      <c r="EG57" s="418"/>
      <c r="EH57" s="418"/>
      <c r="EI57" s="418"/>
      <c r="EJ57" s="418"/>
      <c r="EK57" s="418"/>
      <c r="EL57" s="418"/>
      <c r="EM57" s="418"/>
      <c r="EN57" s="418"/>
      <c r="EO57" s="418"/>
      <c r="EP57" s="418"/>
      <c r="EQ57" s="418"/>
      <c r="ER57" s="418"/>
      <c r="ES57" s="418"/>
      <c r="ET57" s="418"/>
      <c r="EU57" s="418"/>
      <c r="EV57" s="418"/>
      <c r="EW57" s="418"/>
      <c r="EX57" s="418"/>
      <c r="EY57" s="418"/>
      <c r="EZ57" s="418"/>
      <c r="FA57" s="418"/>
      <c r="FB57" s="418"/>
      <c r="FC57" s="418"/>
      <c r="FD57" s="418"/>
      <c r="FE57" s="418"/>
      <c r="FF57" s="418"/>
      <c r="FG57" s="418"/>
      <c r="FH57" s="418"/>
      <c r="FI57" s="418"/>
      <c r="FJ57" s="418"/>
      <c r="FK57" s="418"/>
      <c r="FL57" s="418"/>
      <c r="FM57" s="418"/>
      <c r="FN57" s="418"/>
      <c r="FO57" s="418"/>
      <c r="FP57" s="418"/>
      <c r="FQ57" s="418"/>
      <c r="FR57" s="418"/>
      <c r="FS57" s="418"/>
      <c r="FT57" s="418"/>
      <c r="FU57" s="418"/>
      <c r="FV57" s="418"/>
      <c r="FW57" s="418"/>
      <c r="FX57" s="418"/>
      <c r="FY57" s="418"/>
      <c r="FZ57" s="418"/>
      <c r="GA57" s="418"/>
      <c r="GB57" s="418"/>
      <c r="GC57" s="418"/>
      <c r="GD57" s="418"/>
      <c r="GE57" s="418"/>
      <c r="GF57" s="418"/>
      <c r="GG57" s="418"/>
      <c r="GH57" s="418"/>
      <c r="GI57" s="418"/>
      <c r="GJ57" s="418"/>
      <c r="GK57" s="418"/>
      <c r="GL57" s="418"/>
      <c r="GM57" s="418"/>
      <c r="GN57" s="418"/>
      <c r="GO57" s="418"/>
      <c r="GP57" s="418"/>
      <c r="GQ57" s="418"/>
      <c r="GR57" s="418"/>
      <c r="GS57" s="418"/>
      <c r="GT57" s="418"/>
      <c r="GU57" s="418"/>
      <c r="GV57" s="418"/>
      <c r="GW57" s="418"/>
      <c r="GX57" s="418"/>
      <c r="GY57" s="418"/>
      <c r="GZ57" s="418"/>
      <c r="HA57" s="418"/>
      <c r="HB57" s="418"/>
      <c r="HC57" s="418"/>
      <c r="HD57" s="418"/>
      <c r="HE57" s="418"/>
      <c r="HF57" s="418"/>
      <c r="HG57" s="418"/>
      <c r="HH57" s="418"/>
      <c r="HI57" s="418"/>
      <c r="HJ57" s="418"/>
      <c r="HK57" s="418"/>
      <c r="HL57" s="418"/>
      <c r="HM57" s="418"/>
      <c r="HN57" s="418"/>
      <c r="HO57" s="418"/>
      <c r="HP57" s="418"/>
      <c r="HQ57" s="418"/>
      <c r="HR57" s="418"/>
      <c r="HS57" s="418"/>
      <c r="HT57" s="418"/>
      <c r="HU57" s="418"/>
      <c r="HV57" s="418"/>
      <c r="HW57" s="418"/>
      <c r="HX57" s="418"/>
      <c r="HY57" s="418"/>
      <c r="HZ57" s="418"/>
      <c r="IA57" s="418"/>
      <c r="IB57" s="418"/>
      <c r="IC57" s="418"/>
      <c r="ID57" s="418"/>
      <c r="IE57" s="418"/>
      <c r="IF57" s="418"/>
      <c r="IG57" s="418"/>
      <c r="IH57" s="418"/>
      <c r="II57" s="418"/>
      <c r="IJ57" s="418"/>
      <c r="IK57" s="418"/>
      <c r="IL57" s="418"/>
      <c r="IM57" s="418"/>
      <c r="IN57" s="418"/>
      <c r="IO57" s="418"/>
      <c r="IP57" s="418"/>
      <c r="IQ57" s="418"/>
      <c r="IR57" s="418"/>
      <c r="IS57" s="418"/>
      <c r="IT57" s="418"/>
      <c r="IU57" s="418"/>
      <c r="IV57" s="418"/>
      <c r="IW57" s="418"/>
      <c r="IX57" s="418"/>
      <c r="IY57" s="418"/>
      <c r="IZ57" s="418"/>
      <c r="JA57" s="418"/>
    </row>
    <row r="58" spans="1:261" ht="18" customHeight="1" x14ac:dyDescent="0.35">
      <c r="A58" s="773">
        <v>48</v>
      </c>
      <c r="B58" s="618"/>
      <c r="C58" s="464"/>
      <c r="D58" s="992" t="s">
        <v>308</v>
      </c>
      <c r="E58" s="430">
        <f>F58+G58+O61+P61</f>
        <v>334981</v>
      </c>
      <c r="F58" s="762">
        <v>6401</v>
      </c>
      <c r="G58" s="431">
        <v>100</v>
      </c>
      <c r="H58" s="999"/>
      <c r="I58" s="1017"/>
      <c r="J58" s="1013"/>
      <c r="K58" s="1013">
        <v>278</v>
      </c>
      <c r="L58" s="1013"/>
      <c r="M58" s="1013">
        <f>29875+298327</f>
        <v>328202</v>
      </c>
      <c r="N58" s="1013"/>
      <c r="O58" s="982">
        <f>SUM(I58:N58)</f>
        <v>328480</v>
      </c>
      <c r="P58" s="763"/>
    </row>
    <row r="59" spans="1:261" ht="18" customHeight="1" x14ac:dyDescent="0.35">
      <c r="A59" s="773">
        <v>49</v>
      </c>
      <c r="B59" s="618"/>
      <c r="C59" s="464"/>
      <c r="D59" s="576" t="s">
        <v>1158</v>
      </c>
      <c r="E59" s="430"/>
      <c r="F59" s="762"/>
      <c r="G59" s="431"/>
      <c r="H59" s="999"/>
      <c r="I59" s="1017"/>
      <c r="J59" s="1013"/>
      <c r="K59" s="759">
        <v>278</v>
      </c>
      <c r="L59" s="759"/>
      <c r="M59" s="759">
        <v>328202</v>
      </c>
      <c r="N59" s="1013"/>
      <c r="O59" s="767">
        <f>SUM(I59:N59)</f>
        <v>328480</v>
      </c>
      <c r="P59" s="763"/>
    </row>
    <row r="60" spans="1:261" ht="18" customHeight="1" x14ac:dyDescent="0.35">
      <c r="A60" s="773">
        <v>50</v>
      </c>
      <c r="B60" s="618"/>
      <c r="C60" s="464"/>
      <c r="D60" s="1318" t="s">
        <v>947</v>
      </c>
      <c r="E60" s="430"/>
      <c r="F60" s="762"/>
      <c r="G60" s="431"/>
      <c r="H60" s="999"/>
      <c r="I60" s="995"/>
      <c r="J60" s="759"/>
      <c r="K60" s="759"/>
      <c r="L60" s="759"/>
      <c r="M60" s="759"/>
      <c r="N60" s="759"/>
      <c r="O60" s="1599">
        <f>SUM(I60:N60)</f>
        <v>0</v>
      </c>
      <c r="P60" s="763"/>
    </row>
    <row r="61" spans="1:261" ht="18" customHeight="1" x14ac:dyDescent="0.35">
      <c r="A61" s="773">
        <v>51</v>
      </c>
      <c r="B61" s="618"/>
      <c r="C61" s="464"/>
      <c r="D61" s="576" t="s">
        <v>1250</v>
      </c>
      <c r="E61" s="430"/>
      <c r="F61" s="762"/>
      <c r="G61" s="431"/>
      <c r="H61" s="999"/>
      <c r="I61" s="995"/>
      <c r="J61" s="759"/>
      <c r="K61" s="759">
        <f>SUM(K59:K60)</f>
        <v>278</v>
      </c>
      <c r="L61" s="759"/>
      <c r="M61" s="759">
        <f t="shared" ref="M61" si="8">SUM(M59:M60)</f>
        <v>328202</v>
      </c>
      <c r="N61" s="759"/>
      <c r="O61" s="767">
        <f>SUM(I61:N61)</f>
        <v>328480</v>
      </c>
      <c r="P61" s="763"/>
    </row>
    <row r="62" spans="1:261" ht="33" x14ac:dyDescent="0.35">
      <c r="A62" s="773">
        <v>52</v>
      </c>
      <c r="B62" s="618"/>
      <c r="C62" s="420">
        <v>11</v>
      </c>
      <c r="D62" s="422" t="s">
        <v>677</v>
      </c>
      <c r="E62" s="430"/>
      <c r="F62" s="762"/>
      <c r="G62" s="431"/>
      <c r="H62" s="999" t="s">
        <v>24</v>
      </c>
      <c r="I62" s="1017"/>
      <c r="J62" s="1013"/>
      <c r="K62" s="1013"/>
      <c r="L62" s="1013"/>
      <c r="M62" s="1013"/>
      <c r="N62" s="1013"/>
      <c r="O62" s="982"/>
      <c r="P62" s="763"/>
    </row>
    <row r="63" spans="1:261" s="758" customFormat="1" ht="18" customHeight="1" x14ac:dyDescent="0.35">
      <c r="A63" s="773">
        <v>53</v>
      </c>
      <c r="B63" s="766"/>
      <c r="C63" s="420"/>
      <c r="D63" s="992" t="s">
        <v>308</v>
      </c>
      <c r="E63" s="430">
        <f>F63+G63+O66+P66</f>
        <v>3597000</v>
      </c>
      <c r="F63" s="762">
        <v>450951</v>
      </c>
      <c r="G63" s="431">
        <f>1230725+544</f>
        <v>1231269</v>
      </c>
      <c r="H63" s="999"/>
      <c r="I63" s="1017"/>
      <c r="J63" s="1013"/>
      <c r="K63" s="1013">
        <v>1422</v>
      </c>
      <c r="L63" s="1013"/>
      <c r="M63" s="1013">
        <f>294000+1619358</f>
        <v>1913358</v>
      </c>
      <c r="N63" s="1013"/>
      <c r="O63" s="982">
        <f>SUM(I63:N63)</f>
        <v>1914780</v>
      </c>
      <c r="P63" s="763"/>
      <c r="Q63" s="418"/>
      <c r="R63" s="418"/>
      <c r="S63" s="418"/>
      <c r="T63" s="418"/>
      <c r="U63" s="418"/>
      <c r="V63" s="418"/>
      <c r="W63" s="418"/>
      <c r="X63" s="418"/>
      <c r="Y63" s="418"/>
      <c r="Z63" s="418"/>
      <c r="AA63" s="418"/>
      <c r="AB63" s="418"/>
      <c r="AC63" s="418"/>
      <c r="AD63" s="418"/>
      <c r="AE63" s="418"/>
      <c r="AF63" s="418"/>
      <c r="AG63" s="418"/>
      <c r="AH63" s="418"/>
      <c r="AI63" s="418"/>
      <c r="AJ63" s="418"/>
      <c r="AK63" s="418"/>
      <c r="AL63" s="418"/>
      <c r="AM63" s="418"/>
      <c r="AN63" s="418"/>
      <c r="AO63" s="418"/>
      <c r="AP63" s="418"/>
      <c r="AQ63" s="418"/>
      <c r="AR63" s="418"/>
      <c r="AS63" s="418"/>
      <c r="AT63" s="418"/>
      <c r="AU63" s="418"/>
      <c r="AV63" s="418"/>
      <c r="AW63" s="418"/>
      <c r="AX63" s="418"/>
      <c r="AY63" s="418"/>
      <c r="AZ63" s="418"/>
      <c r="BA63" s="418"/>
      <c r="BB63" s="418"/>
      <c r="BC63" s="418"/>
      <c r="BD63" s="418"/>
      <c r="BE63" s="418"/>
      <c r="BF63" s="418"/>
      <c r="BG63" s="418"/>
      <c r="BH63" s="418"/>
      <c r="BI63" s="418"/>
      <c r="BJ63" s="418"/>
      <c r="BK63" s="418"/>
      <c r="BL63" s="418"/>
      <c r="BM63" s="418"/>
      <c r="BN63" s="418"/>
      <c r="BO63" s="418"/>
      <c r="BP63" s="418"/>
      <c r="BQ63" s="418"/>
      <c r="BR63" s="418"/>
      <c r="BS63" s="418"/>
      <c r="BT63" s="418"/>
      <c r="BU63" s="418"/>
      <c r="BV63" s="418"/>
      <c r="BW63" s="418"/>
      <c r="BX63" s="418"/>
      <c r="BY63" s="418"/>
      <c r="BZ63" s="418"/>
      <c r="CA63" s="418"/>
      <c r="CB63" s="418"/>
      <c r="CC63" s="418"/>
      <c r="CD63" s="418"/>
      <c r="CE63" s="418"/>
      <c r="CF63" s="418"/>
      <c r="CG63" s="418"/>
      <c r="CH63" s="418"/>
      <c r="CI63" s="418"/>
      <c r="CJ63" s="418"/>
      <c r="CK63" s="418"/>
      <c r="CL63" s="418"/>
      <c r="CM63" s="418"/>
      <c r="CN63" s="418"/>
      <c r="CO63" s="418"/>
      <c r="CP63" s="418"/>
      <c r="CQ63" s="418"/>
      <c r="CR63" s="418"/>
      <c r="CS63" s="418"/>
      <c r="CT63" s="418"/>
      <c r="CU63" s="418"/>
      <c r="CV63" s="418"/>
      <c r="CW63" s="418"/>
      <c r="CX63" s="418"/>
      <c r="CY63" s="418"/>
      <c r="CZ63" s="418"/>
      <c r="DA63" s="418"/>
      <c r="DB63" s="418"/>
      <c r="DC63" s="418"/>
      <c r="DD63" s="418"/>
      <c r="DE63" s="418"/>
      <c r="DF63" s="418"/>
      <c r="DG63" s="418"/>
      <c r="DH63" s="418"/>
      <c r="DI63" s="418"/>
      <c r="DJ63" s="418"/>
      <c r="DK63" s="418"/>
      <c r="DL63" s="418"/>
      <c r="DM63" s="418"/>
      <c r="DN63" s="418"/>
      <c r="DO63" s="418"/>
      <c r="DP63" s="418"/>
      <c r="DQ63" s="418"/>
      <c r="DR63" s="418"/>
      <c r="DS63" s="418"/>
      <c r="DT63" s="418"/>
      <c r="DU63" s="418"/>
      <c r="DV63" s="418"/>
      <c r="DW63" s="418"/>
      <c r="DX63" s="418"/>
      <c r="DY63" s="418"/>
      <c r="DZ63" s="418"/>
      <c r="EA63" s="418"/>
      <c r="EB63" s="418"/>
      <c r="EC63" s="418"/>
      <c r="ED63" s="418"/>
      <c r="EE63" s="418"/>
      <c r="EF63" s="418"/>
      <c r="EG63" s="418"/>
      <c r="EH63" s="418"/>
      <c r="EI63" s="418"/>
      <c r="EJ63" s="418"/>
      <c r="EK63" s="418"/>
      <c r="EL63" s="418"/>
      <c r="EM63" s="418"/>
      <c r="EN63" s="418"/>
      <c r="EO63" s="418"/>
      <c r="EP63" s="418"/>
      <c r="EQ63" s="418"/>
      <c r="ER63" s="418"/>
      <c r="ES63" s="418"/>
      <c r="ET63" s="418"/>
      <c r="EU63" s="418"/>
      <c r="EV63" s="418"/>
      <c r="EW63" s="418"/>
      <c r="EX63" s="418"/>
      <c r="EY63" s="418"/>
      <c r="EZ63" s="418"/>
      <c r="FA63" s="418"/>
      <c r="FB63" s="418"/>
      <c r="FC63" s="418"/>
      <c r="FD63" s="418"/>
      <c r="FE63" s="418"/>
      <c r="FF63" s="418"/>
      <c r="FG63" s="418"/>
      <c r="FH63" s="418"/>
      <c r="FI63" s="418"/>
      <c r="FJ63" s="418"/>
      <c r="FK63" s="418"/>
      <c r="FL63" s="418"/>
      <c r="FM63" s="418"/>
      <c r="FN63" s="418"/>
      <c r="FO63" s="418"/>
      <c r="FP63" s="418"/>
      <c r="FQ63" s="418"/>
      <c r="FR63" s="418"/>
      <c r="FS63" s="418"/>
      <c r="FT63" s="418"/>
      <c r="FU63" s="418"/>
      <c r="FV63" s="418"/>
      <c r="FW63" s="418"/>
      <c r="FX63" s="418"/>
      <c r="FY63" s="418"/>
      <c r="FZ63" s="418"/>
      <c r="GA63" s="418"/>
      <c r="GB63" s="418"/>
      <c r="GC63" s="418"/>
      <c r="GD63" s="418"/>
      <c r="GE63" s="418"/>
      <c r="GF63" s="418"/>
      <c r="GG63" s="418"/>
      <c r="GH63" s="418"/>
      <c r="GI63" s="418"/>
      <c r="GJ63" s="418"/>
      <c r="GK63" s="418"/>
      <c r="GL63" s="418"/>
      <c r="GM63" s="418"/>
      <c r="GN63" s="418"/>
      <c r="GO63" s="418"/>
      <c r="GP63" s="418"/>
      <c r="GQ63" s="418"/>
      <c r="GR63" s="418"/>
      <c r="GS63" s="418"/>
      <c r="GT63" s="418"/>
      <c r="GU63" s="418"/>
      <c r="GV63" s="418"/>
      <c r="GW63" s="418"/>
      <c r="GX63" s="418"/>
      <c r="GY63" s="418"/>
      <c r="GZ63" s="418"/>
      <c r="HA63" s="418"/>
      <c r="HB63" s="418"/>
      <c r="HC63" s="418"/>
      <c r="HD63" s="418"/>
      <c r="HE63" s="418"/>
      <c r="HF63" s="418"/>
      <c r="HG63" s="418"/>
      <c r="HH63" s="418"/>
      <c r="HI63" s="418"/>
      <c r="HJ63" s="418"/>
      <c r="HK63" s="418"/>
      <c r="HL63" s="418"/>
      <c r="HM63" s="418"/>
      <c r="HN63" s="418"/>
      <c r="HO63" s="418"/>
      <c r="HP63" s="418"/>
      <c r="HQ63" s="418"/>
      <c r="HR63" s="418"/>
      <c r="HS63" s="418"/>
      <c r="HT63" s="418"/>
      <c r="HU63" s="418"/>
      <c r="HV63" s="418"/>
      <c r="HW63" s="418"/>
      <c r="HX63" s="418"/>
      <c r="HY63" s="418"/>
      <c r="HZ63" s="418"/>
      <c r="IA63" s="418"/>
      <c r="IB63" s="418"/>
      <c r="IC63" s="418"/>
      <c r="ID63" s="418"/>
      <c r="IE63" s="418"/>
      <c r="IF63" s="418"/>
      <c r="IG63" s="418"/>
      <c r="IH63" s="418"/>
      <c r="II63" s="418"/>
      <c r="IJ63" s="418"/>
      <c r="IK63" s="418"/>
      <c r="IL63" s="418"/>
      <c r="IM63" s="418"/>
      <c r="IN63" s="418"/>
      <c r="IO63" s="418"/>
      <c r="IP63" s="418"/>
      <c r="IQ63" s="418"/>
      <c r="IR63" s="418"/>
      <c r="IS63" s="418"/>
      <c r="IT63" s="418"/>
      <c r="IU63" s="418"/>
      <c r="IV63" s="418"/>
      <c r="IW63" s="418"/>
      <c r="IX63" s="418"/>
      <c r="IY63" s="418"/>
      <c r="IZ63" s="418"/>
      <c r="JA63" s="418"/>
    </row>
    <row r="64" spans="1:261" s="758" customFormat="1" ht="18" customHeight="1" x14ac:dyDescent="0.35">
      <c r="A64" s="773">
        <v>54</v>
      </c>
      <c r="B64" s="766"/>
      <c r="C64" s="420"/>
      <c r="D64" s="576" t="s">
        <v>1158</v>
      </c>
      <c r="E64" s="430"/>
      <c r="F64" s="762"/>
      <c r="G64" s="431"/>
      <c r="H64" s="999"/>
      <c r="I64" s="1017"/>
      <c r="J64" s="1013"/>
      <c r="K64" s="759">
        <v>1422</v>
      </c>
      <c r="L64" s="759"/>
      <c r="M64" s="759">
        <v>1913358</v>
      </c>
      <c r="N64" s="1013"/>
      <c r="O64" s="767">
        <f>SUM(I64:N64)</f>
        <v>1914780</v>
      </c>
      <c r="P64" s="763"/>
      <c r="Q64" s="418"/>
      <c r="R64" s="418"/>
      <c r="S64" s="418"/>
      <c r="T64" s="418"/>
      <c r="U64" s="418"/>
      <c r="V64" s="418"/>
      <c r="W64" s="418"/>
      <c r="X64" s="418"/>
      <c r="Y64" s="418"/>
      <c r="Z64" s="418"/>
      <c r="AA64" s="418"/>
      <c r="AB64" s="418"/>
      <c r="AC64" s="418"/>
      <c r="AD64" s="418"/>
      <c r="AE64" s="418"/>
      <c r="AF64" s="418"/>
      <c r="AG64" s="418"/>
      <c r="AH64" s="418"/>
      <c r="AI64" s="418"/>
      <c r="AJ64" s="418"/>
      <c r="AK64" s="418"/>
      <c r="AL64" s="418"/>
      <c r="AM64" s="418"/>
      <c r="AN64" s="418"/>
      <c r="AO64" s="418"/>
      <c r="AP64" s="418"/>
      <c r="AQ64" s="418"/>
      <c r="AR64" s="418"/>
      <c r="AS64" s="418"/>
      <c r="AT64" s="418"/>
      <c r="AU64" s="418"/>
      <c r="AV64" s="418"/>
      <c r="AW64" s="418"/>
      <c r="AX64" s="418"/>
      <c r="AY64" s="418"/>
      <c r="AZ64" s="418"/>
      <c r="BA64" s="418"/>
      <c r="BB64" s="418"/>
      <c r="BC64" s="418"/>
      <c r="BD64" s="418"/>
      <c r="BE64" s="418"/>
      <c r="BF64" s="418"/>
      <c r="BG64" s="418"/>
      <c r="BH64" s="418"/>
      <c r="BI64" s="418"/>
      <c r="BJ64" s="418"/>
      <c r="BK64" s="418"/>
      <c r="BL64" s="418"/>
      <c r="BM64" s="418"/>
      <c r="BN64" s="418"/>
      <c r="BO64" s="418"/>
      <c r="BP64" s="418"/>
      <c r="BQ64" s="418"/>
      <c r="BR64" s="418"/>
      <c r="BS64" s="418"/>
      <c r="BT64" s="418"/>
      <c r="BU64" s="418"/>
      <c r="BV64" s="418"/>
      <c r="BW64" s="418"/>
      <c r="BX64" s="418"/>
      <c r="BY64" s="418"/>
      <c r="BZ64" s="418"/>
      <c r="CA64" s="418"/>
      <c r="CB64" s="418"/>
      <c r="CC64" s="418"/>
      <c r="CD64" s="418"/>
      <c r="CE64" s="418"/>
      <c r="CF64" s="418"/>
      <c r="CG64" s="418"/>
      <c r="CH64" s="418"/>
      <c r="CI64" s="418"/>
      <c r="CJ64" s="418"/>
      <c r="CK64" s="418"/>
      <c r="CL64" s="418"/>
      <c r="CM64" s="418"/>
      <c r="CN64" s="418"/>
      <c r="CO64" s="418"/>
      <c r="CP64" s="418"/>
      <c r="CQ64" s="418"/>
      <c r="CR64" s="418"/>
      <c r="CS64" s="418"/>
      <c r="CT64" s="418"/>
      <c r="CU64" s="418"/>
      <c r="CV64" s="418"/>
      <c r="CW64" s="418"/>
      <c r="CX64" s="418"/>
      <c r="CY64" s="418"/>
      <c r="CZ64" s="418"/>
      <c r="DA64" s="418"/>
      <c r="DB64" s="418"/>
      <c r="DC64" s="418"/>
      <c r="DD64" s="418"/>
      <c r="DE64" s="418"/>
      <c r="DF64" s="418"/>
      <c r="DG64" s="418"/>
      <c r="DH64" s="418"/>
      <c r="DI64" s="418"/>
      <c r="DJ64" s="418"/>
      <c r="DK64" s="418"/>
      <c r="DL64" s="418"/>
      <c r="DM64" s="418"/>
      <c r="DN64" s="418"/>
      <c r="DO64" s="418"/>
      <c r="DP64" s="418"/>
      <c r="DQ64" s="418"/>
      <c r="DR64" s="418"/>
      <c r="DS64" s="418"/>
      <c r="DT64" s="418"/>
      <c r="DU64" s="418"/>
      <c r="DV64" s="418"/>
      <c r="DW64" s="418"/>
      <c r="DX64" s="418"/>
      <c r="DY64" s="418"/>
      <c r="DZ64" s="418"/>
      <c r="EA64" s="418"/>
      <c r="EB64" s="418"/>
      <c r="EC64" s="418"/>
      <c r="ED64" s="418"/>
      <c r="EE64" s="418"/>
      <c r="EF64" s="418"/>
      <c r="EG64" s="418"/>
      <c r="EH64" s="418"/>
      <c r="EI64" s="418"/>
      <c r="EJ64" s="418"/>
      <c r="EK64" s="418"/>
      <c r="EL64" s="418"/>
      <c r="EM64" s="418"/>
      <c r="EN64" s="418"/>
      <c r="EO64" s="418"/>
      <c r="EP64" s="418"/>
      <c r="EQ64" s="418"/>
      <c r="ER64" s="418"/>
      <c r="ES64" s="418"/>
      <c r="ET64" s="418"/>
      <c r="EU64" s="418"/>
      <c r="EV64" s="418"/>
      <c r="EW64" s="418"/>
      <c r="EX64" s="418"/>
      <c r="EY64" s="418"/>
      <c r="EZ64" s="418"/>
      <c r="FA64" s="418"/>
      <c r="FB64" s="418"/>
      <c r="FC64" s="418"/>
      <c r="FD64" s="418"/>
      <c r="FE64" s="418"/>
      <c r="FF64" s="418"/>
      <c r="FG64" s="418"/>
      <c r="FH64" s="418"/>
      <c r="FI64" s="418"/>
      <c r="FJ64" s="418"/>
      <c r="FK64" s="418"/>
      <c r="FL64" s="418"/>
      <c r="FM64" s="418"/>
      <c r="FN64" s="418"/>
      <c r="FO64" s="418"/>
      <c r="FP64" s="418"/>
      <c r="FQ64" s="418"/>
      <c r="FR64" s="418"/>
      <c r="FS64" s="418"/>
      <c r="FT64" s="418"/>
      <c r="FU64" s="418"/>
      <c r="FV64" s="418"/>
      <c r="FW64" s="418"/>
      <c r="FX64" s="418"/>
      <c r="FY64" s="418"/>
      <c r="FZ64" s="418"/>
      <c r="GA64" s="418"/>
      <c r="GB64" s="418"/>
      <c r="GC64" s="418"/>
      <c r="GD64" s="418"/>
      <c r="GE64" s="418"/>
      <c r="GF64" s="418"/>
      <c r="GG64" s="418"/>
      <c r="GH64" s="418"/>
      <c r="GI64" s="418"/>
      <c r="GJ64" s="418"/>
      <c r="GK64" s="418"/>
      <c r="GL64" s="418"/>
      <c r="GM64" s="418"/>
      <c r="GN64" s="418"/>
      <c r="GO64" s="418"/>
      <c r="GP64" s="418"/>
      <c r="GQ64" s="418"/>
      <c r="GR64" s="418"/>
      <c r="GS64" s="418"/>
      <c r="GT64" s="418"/>
      <c r="GU64" s="418"/>
      <c r="GV64" s="418"/>
      <c r="GW64" s="418"/>
      <c r="GX64" s="418"/>
      <c r="GY64" s="418"/>
      <c r="GZ64" s="418"/>
      <c r="HA64" s="418"/>
      <c r="HB64" s="418"/>
      <c r="HC64" s="418"/>
      <c r="HD64" s="418"/>
      <c r="HE64" s="418"/>
      <c r="HF64" s="418"/>
      <c r="HG64" s="418"/>
      <c r="HH64" s="418"/>
      <c r="HI64" s="418"/>
      <c r="HJ64" s="418"/>
      <c r="HK64" s="418"/>
      <c r="HL64" s="418"/>
      <c r="HM64" s="418"/>
      <c r="HN64" s="418"/>
      <c r="HO64" s="418"/>
      <c r="HP64" s="418"/>
      <c r="HQ64" s="418"/>
      <c r="HR64" s="418"/>
      <c r="HS64" s="418"/>
      <c r="HT64" s="418"/>
      <c r="HU64" s="418"/>
      <c r="HV64" s="418"/>
      <c r="HW64" s="418"/>
      <c r="HX64" s="418"/>
      <c r="HY64" s="418"/>
      <c r="HZ64" s="418"/>
      <c r="IA64" s="418"/>
      <c r="IB64" s="418"/>
      <c r="IC64" s="418"/>
      <c r="ID64" s="418"/>
      <c r="IE64" s="418"/>
      <c r="IF64" s="418"/>
      <c r="IG64" s="418"/>
      <c r="IH64" s="418"/>
      <c r="II64" s="418"/>
      <c r="IJ64" s="418"/>
      <c r="IK64" s="418"/>
      <c r="IL64" s="418"/>
      <c r="IM64" s="418"/>
      <c r="IN64" s="418"/>
      <c r="IO64" s="418"/>
      <c r="IP64" s="418"/>
      <c r="IQ64" s="418"/>
      <c r="IR64" s="418"/>
      <c r="IS64" s="418"/>
      <c r="IT64" s="418"/>
      <c r="IU64" s="418"/>
      <c r="IV64" s="418"/>
      <c r="IW64" s="418"/>
      <c r="IX64" s="418"/>
      <c r="IY64" s="418"/>
      <c r="IZ64" s="418"/>
      <c r="JA64" s="418"/>
    </row>
    <row r="65" spans="1:261" s="758" customFormat="1" ht="18" customHeight="1" x14ac:dyDescent="0.35">
      <c r="A65" s="773">
        <v>55</v>
      </c>
      <c r="B65" s="766"/>
      <c r="C65" s="420"/>
      <c r="D65" s="1318" t="s">
        <v>947</v>
      </c>
      <c r="E65" s="430"/>
      <c r="F65" s="762"/>
      <c r="G65" s="431"/>
      <c r="H65" s="999"/>
      <c r="I65" s="995"/>
      <c r="J65" s="759"/>
      <c r="K65" s="759"/>
      <c r="L65" s="759"/>
      <c r="M65" s="759"/>
      <c r="N65" s="759"/>
      <c r="O65" s="1599">
        <f>SUM(I65:N65)</f>
        <v>0</v>
      </c>
      <c r="P65" s="763"/>
      <c r="Q65" s="418"/>
      <c r="R65" s="418"/>
      <c r="S65" s="418"/>
      <c r="T65" s="418"/>
      <c r="U65" s="418"/>
      <c r="V65" s="418"/>
      <c r="W65" s="418"/>
      <c r="X65" s="418"/>
      <c r="Y65" s="418"/>
      <c r="Z65" s="418"/>
      <c r="AA65" s="418"/>
      <c r="AB65" s="418"/>
      <c r="AC65" s="418"/>
      <c r="AD65" s="418"/>
      <c r="AE65" s="418"/>
      <c r="AF65" s="418"/>
      <c r="AG65" s="418"/>
      <c r="AH65" s="418"/>
      <c r="AI65" s="418"/>
      <c r="AJ65" s="418"/>
      <c r="AK65" s="418"/>
      <c r="AL65" s="418"/>
      <c r="AM65" s="418"/>
      <c r="AN65" s="418"/>
      <c r="AO65" s="418"/>
      <c r="AP65" s="418"/>
      <c r="AQ65" s="418"/>
      <c r="AR65" s="418"/>
      <c r="AS65" s="418"/>
      <c r="AT65" s="418"/>
      <c r="AU65" s="418"/>
      <c r="AV65" s="418"/>
      <c r="AW65" s="418"/>
      <c r="AX65" s="418"/>
      <c r="AY65" s="418"/>
      <c r="AZ65" s="418"/>
      <c r="BA65" s="418"/>
      <c r="BB65" s="418"/>
      <c r="BC65" s="418"/>
      <c r="BD65" s="418"/>
      <c r="BE65" s="418"/>
      <c r="BF65" s="418"/>
      <c r="BG65" s="418"/>
      <c r="BH65" s="418"/>
      <c r="BI65" s="418"/>
      <c r="BJ65" s="418"/>
      <c r="BK65" s="418"/>
      <c r="BL65" s="418"/>
      <c r="BM65" s="418"/>
      <c r="BN65" s="418"/>
      <c r="BO65" s="418"/>
      <c r="BP65" s="418"/>
      <c r="BQ65" s="418"/>
      <c r="BR65" s="418"/>
      <c r="BS65" s="418"/>
      <c r="BT65" s="418"/>
      <c r="BU65" s="418"/>
      <c r="BV65" s="418"/>
      <c r="BW65" s="418"/>
      <c r="BX65" s="418"/>
      <c r="BY65" s="418"/>
      <c r="BZ65" s="418"/>
      <c r="CA65" s="418"/>
      <c r="CB65" s="418"/>
      <c r="CC65" s="418"/>
      <c r="CD65" s="418"/>
      <c r="CE65" s="418"/>
      <c r="CF65" s="418"/>
      <c r="CG65" s="418"/>
      <c r="CH65" s="418"/>
      <c r="CI65" s="418"/>
      <c r="CJ65" s="418"/>
      <c r="CK65" s="418"/>
      <c r="CL65" s="418"/>
      <c r="CM65" s="418"/>
      <c r="CN65" s="418"/>
      <c r="CO65" s="418"/>
      <c r="CP65" s="418"/>
      <c r="CQ65" s="418"/>
      <c r="CR65" s="418"/>
      <c r="CS65" s="418"/>
      <c r="CT65" s="418"/>
      <c r="CU65" s="418"/>
      <c r="CV65" s="418"/>
      <c r="CW65" s="418"/>
      <c r="CX65" s="418"/>
      <c r="CY65" s="418"/>
      <c r="CZ65" s="418"/>
      <c r="DA65" s="418"/>
      <c r="DB65" s="418"/>
      <c r="DC65" s="418"/>
      <c r="DD65" s="418"/>
      <c r="DE65" s="418"/>
      <c r="DF65" s="418"/>
      <c r="DG65" s="418"/>
      <c r="DH65" s="418"/>
      <c r="DI65" s="418"/>
      <c r="DJ65" s="418"/>
      <c r="DK65" s="418"/>
      <c r="DL65" s="418"/>
      <c r="DM65" s="418"/>
      <c r="DN65" s="418"/>
      <c r="DO65" s="418"/>
      <c r="DP65" s="418"/>
      <c r="DQ65" s="418"/>
      <c r="DR65" s="418"/>
      <c r="DS65" s="418"/>
      <c r="DT65" s="418"/>
      <c r="DU65" s="418"/>
      <c r="DV65" s="418"/>
      <c r="DW65" s="418"/>
      <c r="DX65" s="418"/>
      <c r="DY65" s="418"/>
      <c r="DZ65" s="418"/>
      <c r="EA65" s="418"/>
      <c r="EB65" s="418"/>
      <c r="EC65" s="418"/>
      <c r="ED65" s="418"/>
      <c r="EE65" s="418"/>
      <c r="EF65" s="418"/>
      <c r="EG65" s="418"/>
      <c r="EH65" s="418"/>
      <c r="EI65" s="418"/>
      <c r="EJ65" s="418"/>
      <c r="EK65" s="418"/>
      <c r="EL65" s="418"/>
      <c r="EM65" s="418"/>
      <c r="EN65" s="418"/>
      <c r="EO65" s="418"/>
      <c r="EP65" s="418"/>
      <c r="EQ65" s="418"/>
      <c r="ER65" s="418"/>
      <c r="ES65" s="418"/>
      <c r="ET65" s="418"/>
      <c r="EU65" s="418"/>
      <c r="EV65" s="418"/>
      <c r="EW65" s="418"/>
      <c r="EX65" s="418"/>
      <c r="EY65" s="418"/>
      <c r="EZ65" s="418"/>
      <c r="FA65" s="418"/>
      <c r="FB65" s="418"/>
      <c r="FC65" s="418"/>
      <c r="FD65" s="418"/>
      <c r="FE65" s="418"/>
      <c r="FF65" s="418"/>
      <c r="FG65" s="418"/>
      <c r="FH65" s="418"/>
      <c r="FI65" s="418"/>
      <c r="FJ65" s="418"/>
      <c r="FK65" s="418"/>
      <c r="FL65" s="418"/>
      <c r="FM65" s="418"/>
      <c r="FN65" s="418"/>
      <c r="FO65" s="418"/>
      <c r="FP65" s="418"/>
      <c r="FQ65" s="418"/>
      <c r="FR65" s="418"/>
      <c r="FS65" s="418"/>
      <c r="FT65" s="418"/>
      <c r="FU65" s="418"/>
      <c r="FV65" s="418"/>
      <c r="FW65" s="418"/>
      <c r="FX65" s="418"/>
      <c r="FY65" s="418"/>
      <c r="FZ65" s="418"/>
      <c r="GA65" s="418"/>
      <c r="GB65" s="418"/>
      <c r="GC65" s="418"/>
      <c r="GD65" s="418"/>
      <c r="GE65" s="418"/>
      <c r="GF65" s="418"/>
      <c r="GG65" s="418"/>
      <c r="GH65" s="418"/>
      <c r="GI65" s="418"/>
      <c r="GJ65" s="418"/>
      <c r="GK65" s="418"/>
      <c r="GL65" s="418"/>
      <c r="GM65" s="418"/>
      <c r="GN65" s="418"/>
      <c r="GO65" s="418"/>
      <c r="GP65" s="418"/>
      <c r="GQ65" s="418"/>
      <c r="GR65" s="418"/>
      <c r="GS65" s="418"/>
      <c r="GT65" s="418"/>
      <c r="GU65" s="418"/>
      <c r="GV65" s="418"/>
      <c r="GW65" s="418"/>
      <c r="GX65" s="418"/>
      <c r="GY65" s="418"/>
      <c r="GZ65" s="418"/>
      <c r="HA65" s="418"/>
      <c r="HB65" s="418"/>
      <c r="HC65" s="418"/>
      <c r="HD65" s="418"/>
      <c r="HE65" s="418"/>
      <c r="HF65" s="418"/>
      <c r="HG65" s="418"/>
      <c r="HH65" s="418"/>
      <c r="HI65" s="418"/>
      <c r="HJ65" s="418"/>
      <c r="HK65" s="418"/>
      <c r="HL65" s="418"/>
      <c r="HM65" s="418"/>
      <c r="HN65" s="418"/>
      <c r="HO65" s="418"/>
      <c r="HP65" s="418"/>
      <c r="HQ65" s="418"/>
      <c r="HR65" s="418"/>
      <c r="HS65" s="418"/>
      <c r="HT65" s="418"/>
      <c r="HU65" s="418"/>
      <c r="HV65" s="418"/>
      <c r="HW65" s="418"/>
      <c r="HX65" s="418"/>
      <c r="HY65" s="418"/>
      <c r="HZ65" s="418"/>
      <c r="IA65" s="418"/>
      <c r="IB65" s="418"/>
      <c r="IC65" s="418"/>
      <c r="ID65" s="418"/>
      <c r="IE65" s="418"/>
      <c r="IF65" s="418"/>
      <c r="IG65" s="418"/>
      <c r="IH65" s="418"/>
      <c r="II65" s="418"/>
      <c r="IJ65" s="418"/>
      <c r="IK65" s="418"/>
      <c r="IL65" s="418"/>
      <c r="IM65" s="418"/>
      <c r="IN65" s="418"/>
      <c r="IO65" s="418"/>
      <c r="IP65" s="418"/>
      <c r="IQ65" s="418"/>
      <c r="IR65" s="418"/>
      <c r="IS65" s="418"/>
      <c r="IT65" s="418"/>
      <c r="IU65" s="418"/>
      <c r="IV65" s="418"/>
      <c r="IW65" s="418"/>
      <c r="IX65" s="418"/>
      <c r="IY65" s="418"/>
      <c r="IZ65" s="418"/>
      <c r="JA65" s="418"/>
    </row>
    <row r="66" spans="1:261" s="758" customFormat="1" ht="18" customHeight="1" x14ac:dyDescent="0.35">
      <c r="A66" s="773">
        <v>56</v>
      </c>
      <c r="B66" s="766"/>
      <c r="C66" s="420"/>
      <c r="D66" s="576" t="s">
        <v>1250</v>
      </c>
      <c r="E66" s="430"/>
      <c r="F66" s="762"/>
      <c r="G66" s="431"/>
      <c r="H66" s="999"/>
      <c r="I66" s="995"/>
      <c r="J66" s="759"/>
      <c r="K66" s="759">
        <f>SUM(K64:K65)</f>
        <v>1422</v>
      </c>
      <c r="L66" s="759"/>
      <c r="M66" s="759">
        <f t="shared" ref="M66" si="9">SUM(M64:M65)</f>
        <v>1913358</v>
      </c>
      <c r="N66" s="759"/>
      <c r="O66" s="767">
        <f>SUM(I66:N66)</f>
        <v>1914780</v>
      </c>
      <c r="P66" s="763"/>
      <c r="Q66" s="418"/>
      <c r="R66" s="418"/>
      <c r="S66" s="418"/>
      <c r="T66" s="418"/>
      <c r="U66" s="418"/>
      <c r="V66" s="418"/>
      <c r="W66" s="418"/>
      <c r="X66" s="418"/>
      <c r="Y66" s="418"/>
      <c r="Z66" s="418"/>
      <c r="AA66" s="418"/>
      <c r="AB66" s="418"/>
      <c r="AC66" s="418"/>
      <c r="AD66" s="418"/>
      <c r="AE66" s="418"/>
      <c r="AF66" s="418"/>
      <c r="AG66" s="418"/>
      <c r="AH66" s="418"/>
      <c r="AI66" s="418"/>
      <c r="AJ66" s="418"/>
      <c r="AK66" s="418"/>
      <c r="AL66" s="418"/>
      <c r="AM66" s="418"/>
      <c r="AN66" s="418"/>
      <c r="AO66" s="418"/>
      <c r="AP66" s="418"/>
      <c r="AQ66" s="418"/>
      <c r="AR66" s="418"/>
      <c r="AS66" s="418"/>
      <c r="AT66" s="418"/>
      <c r="AU66" s="418"/>
      <c r="AV66" s="418"/>
      <c r="AW66" s="418"/>
      <c r="AX66" s="418"/>
      <c r="AY66" s="418"/>
      <c r="AZ66" s="418"/>
      <c r="BA66" s="418"/>
      <c r="BB66" s="418"/>
      <c r="BC66" s="418"/>
      <c r="BD66" s="418"/>
      <c r="BE66" s="418"/>
      <c r="BF66" s="418"/>
      <c r="BG66" s="418"/>
      <c r="BH66" s="418"/>
      <c r="BI66" s="418"/>
      <c r="BJ66" s="418"/>
      <c r="BK66" s="418"/>
      <c r="BL66" s="418"/>
      <c r="BM66" s="418"/>
      <c r="BN66" s="418"/>
      <c r="BO66" s="418"/>
      <c r="BP66" s="418"/>
      <c r="BQ66" s="418"/>
      <c r="BR66" s="418"/>
      <c r="BS66" s="418"/>
      <c r="BT66" s="418"/>
      <c r="BU66" s="418"/>
      <c r="BV66" s="418"/>
      <c r="BW66" s="418"/>
      <c r="BX66" s="418"/>
      <c r="BY66" s="418"/>
      <c r="BZ66" s="418"/>
      <c r="CA66" s="418"/>
      <c r="CB66" s="418"/>
      <c r="CC66" s="418"/>
      <c r="CD66" s="418"/>
      <c r="CE66" s="418"/>
      <c r="CF66" s="418"/>
      <c r="CG66" s="418"/>
      <c r="CH66" s="418"/>
      <c r="CI66" s="418"/>
      <c r="CJ66" s="418"/>
      <c r="CK66" s="418"/>
      <c r="CL66" s="418"/>
      <c r="CM66" s="418"/>
      <c r="CN66" s="418"/>
      <c r="CO66" s="418"/>
      <c r="CP66" s="418"/>
      <c r="CQ66" s="418"/>
      <c r="CR66" s="418"/>
      <c r="CS66" s="418"/>
      <c r="CT66" s="418"/>
      <c r="CU66" s="418"/>
      <c r="CV66" s="418"/>
      <c r="CW66" s="418"/>
      <c r="CX66" s="418"/>
      <c r="CY66" s="418"/>
      <c r="CZ66" s="418"/>
      <c r="DA66" s="418"/>
      <c r="DB66" s="418"/>
      <c r="DC66" s="418"/>
      <c r="DD66" s="418"/>
      <c r="DE66" s="418"/>
      <c r="DF66" s="418"/>
      <c r="DG66" s="418"/>
      <c r="DH66" s="418"/>
      <c r="DI66" s="418"/>
      <c r="DJ66" s="418"/>
      <c r="DK66" s="418"/>
      <c r="DL66" s="418"/>
      <c r="DM66" s="418"/>
      <c r="DN66" s="418"/>
      <c r="DO66" s="418"/>
      <c r="DP66" s="418"/>
      <c r="DQ66" s="418"/>
      <c r="DR66" s="418"/>
      <c r="DS66" s="418"/>
      <c r="DT66" s="418"/>
      <c r="DU66" s="418"/>
      <c r="DV66" s="418"/>
      <c r="DW66" s="418"/>
      <c r="DX66" s="418"/>
      <c r="DY66" s="418"/>
      <c r="DZ66" s="418"/>
      <c r="EA66" s="418"/>
      <c r="EB66" s="418"/>
      <c r="EC66" s="418"/>
      <c r="ED66" s="418"/>
      <c r="EE66" s="418"/>
      <c r="EF66" s="418"/>
      <c r="EG66" s="418"/>
      <c r="EH66" s="418"/>
      <c r="EI66" s="418"/>
      <c r="EJ66" s="418"/>
      <c r="EK66" s="418"/>
      <c r="EL66" s="418"/>
      <c r="EM66" s="418"/>
      <c r="EN66" s="418"/>
      <c r="EO66" s="418"/>
      <c r="EP66" s="418"/>
      <c r="EQ66" s="418"/>
      <c r="ER66" s="418"/>
      <c r="ES66" s="418"/>
      <c r="ET66" s="418"/>
      <c r="EU66" s="418"/>
      <c r="EV66" s="418"/>
      <c r="EW66" s="418"/>
      <c r="EX66" s="418"/>
      <c r="EY66" s="418"/>
      <c r="EZ66" s="418"/>
      <c r="FA66" s="418"/>
      <c r="FB66" s="418"/>
      <c r="FC66" s="418"/>
      <c r="FD66" s="418"/>
      <c r="FE66" s="418"/>
      <c r="FF66" s="418"/>
      <c r="FG66" s="418"/>
      <c r="FH66" s="418"/>
      <c r="FI66" s="418"/>
      <c r="FJ66" s="418"/>
      <c r="FK66" s="418"/>
      <c r="FL66" s="418"/>
      <c r="FM66" s="418"/>
      <c r="FN66" s="418"/>
      <c r="FO66" s="418"/>
      <c r="FP66" s="418"/>
      <c r="FQ66" s="418"/>
      <c r="FR66" s="418"/>
      <c r="FS66" s="418"/>
      <c r="FT66" s="418"/>
      <c r="FU66" s="418"/>
      <c r="FV66" s="418"/>
      <c r="FW66" s="418"/>
      <c r="FX66" s="418"/>
      <c r="FY66" s="418"/>
      <c r="FZ66" s="418"/>
      <c r="GA66" s="418"/>
      <c r="GB66" s="418"/>
      <c r="GC66" s="418"/>
      <c r="GD66" s="418"/>
      <c r="GE66" s="418"/>
      <c r="GF66" s="418"/>
      <c r="GG66" s="418"/>
      <c r="GH66" s="418"/>
      <c r="GI66" s="418"/>
      <c r="GJ66" s="418"/>
      <c r="GK66" s="418"/>
      <c r="GL66" s="418"/>
      <c r="GM66" s="418"/>
      <c r="GN66" s="418"/>
      <c r="GO66" s="418"/>
      <c r="GP66" s="418"/>
      <c r="GQ66" s="418"/>
      <c r="GR66" s="418"/>
      <c r="GS66" s="418"/>
      <c r="GT66" s="418"/>
      <c r="GU66" s="418"/>
      <c r="GV66" s="418"/>
      <c r="GW66" s="418"/>
      <c r="GX66" s="418"/>
      <c r="GY66" s="418"/>
      <c r="GZ66" s="418"/>
      <c r="HA66" s="418"/>
      <c r="HB66" s="418"/>
      <c r="HC66" s="418"/>
      <c r="HD66" s="418"/>
      <c r="HE66" s="418"/>
      <c r="HF66" s="418"/>
      <c r="HG66" s="418"/>
      <c r="HH66" s="418"/>
      <c r="HI66" s="418"/>
      <c r="HJ66" s="418"/>
      <c r="HK66" s="418"/>
      <c r="HL66" s="418"/>
      <c r="HM66" s="418"/>
      <c r="HN66" s="418"/>
      <c r="HO66" s="418"/>
      <c r="HP66" s="418"/>
      <c r="HQ66" s="418"/>
      <c r="HR66" s="418"/>
      <c r="HS66" s="418"/>
      <c r="HT66" s="418"/>
      <c r="HU66" s="418"/>
      <c r="HV66" s="418"/>
      <c r="HW66" s="418"/>
      <c r="HX66" s="418"/>
      <c r="HY66" s="418"/>
      <c r="HZ66" s="418"/>
      <c r="IA66" s="418"/>
      <c r="IB66" s="418"/>
      <c r="IC66" s="418"/>
      <c r="ID66" s="418"/>
      <c r="IE66" s="418"/>
      <c r="IF66" s="418"/>
      <c r="IG66" s="418"/>
      <c r="IH66" s="418"/>
      <c r="II66" s="418"/>
      <c r="IJ66" s="418"/>
      <c r="IK66" s="418"/>
      <c r="IL66" s="418"/>
      <c r="IM66" s="418"/>
      <c r="IN66" s="418"/>
      <c r="IO66" s="418"/>
      <c r="IP66" s="418"/>
      <c r="IQ66" s="418"/>
      <c r="IR66" s="418"/>
      <c r="IS66" s="418"/>
      <c r="IT66" s="418"/>
      <c r="IU66" s="418"/>
      <c r="IV66" s="418"/>
      <c r="IW66" s="418"/>
      <c r="IX66" s="418"/>
      <c r="IY66" s="418"/>
      <c r="IZ66" s="418"/>
      <c r="JA66" s="418"/>
    </row>
    <row r="67" spans="1:261" ht="33" x14ac:dyDescent="0.35">
      <c r="A67" s="773">
        <v>57</v>
      </c>
      <c r="B67" s="618"/>
      <c r="C67" s="420">
        <v>12</v>
      </c>
      <c r="D67" s="1139" t="s">
        <v>1021</v>
      </c>
      <c r="E67" s="430"/>
      <c r="F67" s="762"/>
      <c r="G67" s="431"/>
      <c r="H67" s="999" t="s">
        <v>24</v>
      </c>
      <c r="I67" s="1017"/>
      <c r="J67" s="1013"/>
      <c r="K67" s="1013"/>
      <c r="L67" s="1013"/>
      <c r="M67" s="1013"/>
      <c r="N67" s="1013"/>
      <c r="O67" s="982"/>
      <c r="P67" s="763"/>
    </row>
    <row r="68" spans="1:261" s="758" customFormat="1" ht="18" customHeight="1" x14ac:dyDescent="0.35">
      <c r="A68" s="773">
        <v>58</v>
      </c>
      <c r="B68" s="766"/>
      <c r="C68" s="464"/>
      <c r="D68" s="992" t="s">
        <v>308</v>
      </c>
      <c r="E68" s="430">
        <f>F68+G68+O71+P71+6000</f>
        <v>240000</v>
      </c>
      <c r="F68" s="762">
        <v>9749</v>
      </c>
      <c r="G68" s="431">
        <f>2883+952</f>
        <v>3835</v>
      </c>
      <c r="H68" s="999"/>
      <c r="I68" s="1017"/>
      <c r="J68" s="1013"/>
      <c r="K68" s="1013">
        <v>3015</v>
      </c>
      <c r="L68" s="1013"/>
      <c r="M68" s="1013">
        <f>12000+205401</f>
        <v>217401</v>
      </c>
      <c r="N68" s="1013"/>
      <c r="O68" s="982">
        <f>SUM(I68:N68)</f>
        <v>220416</v>
      </c>
      <c r="P68" s="763"/>
      <c r="Q68" s="418"/>
      <c r="R68" s="418"/>
      <c r="S68" s="418"/>
      <c r="T68" s="418"/>
      <c r="U68" s="418"/>
      <c r="V68" s="418"/>
      <c r="W68" s="418"/>
      <c r="X68" s="418"/>
      <c r="Y68" s="418"/>
      <c r="Z68" s="418"/>
      <c r="AA68" s="418"/>
      <c r="AB68" s="418"/>
      <c r="AC68" s="418"/>
      <c r="AD68" s="418"/>
      <c r="AE68" s="418"/>
      <c r="AF68" s="418"/>
      <c r="AG68" s="418"/>
      <c r="AH68" s="418"/>
      <c r="AI68" s="418"/>
      <c r="AJ68" s="418"/>
      <c r="AK68" s="418"/>
      <c r="AL68" s="418"/>
      <c r="AM68" s="418"/>
      <c r="AN68" s="418"/>
      <c r="AO68" s="418"/>
      <c r="AP68" s="418"/>
      <c r="AQ68" s="418"/>
      <c r="AR68" s="418"/>
      <c r="AS68" s="418"/>
      <c r="AT68" s="418"/>
      <c r="AU68" s="418"/>
      <c r="AV68" s="418"/>
      <c r="AW68" s="418"/>
      <c r="AX68" s="418"/>
      <c r="AY68" s="418"/>
      <c r="AZ68" s="418"/>
      <c r="BA68" s="418"/>
      <c r="BB68" s="418"/>
      <c r="BC68" s="418"/>
      <c r="BD68" s="418"/>
      <c r="BE68" s="418"/>
      <c r="BF68" s="418"/>
      <c r="BG68" s="418"/>
      <c r="BH68" s="418"/>
      <c r="BI68" s="418"/>
      <c r="BJ68" s="418"/>
      <c r="BK68" s="418"/>
      <c r="BL68" s="418"/>
      <c r="BM68" s="418"/>
      <c r="BN68" s="418"/>
      <c r="BO68" s="418"/>
      <c r="BP68" s="418"/>
      <c r="BQ68" s="418"/>
      <c r="BR68" s="418"/>
      <c r="BS68" s="418"/>
      <c r="BT68" s="418"/>
      <c r="BU68" s="418"/>
      <c r="BV68" s="418"/>
      <c r="BW68" s="418"/>
      <c r="BX68" s="418"/>
      <c r="BY68" s="418"/>
      <c r="BZ68" s="418"/>
      <c r="CA68" s="418"/>
      <c r="CB68" s="418"/>
      <c r="CC68" s="418"/>
      <c r="CD68" s="418"/>
      <c r="CE68" s="418"/>
      <c r="CF68" s="418"/>
      <c r="CG68" s="418"/>
      <c r="CH68" s="418"/>
      <c r="CI68" s="418"/>
      <c r="CJ68" s="418"/>
      <c r="CK68" s="418"/>
      <c r="CL68" s="418"/>
      <c r="CM68" s="418"/>
      <c r="CN68" s="418"/>
      <c r="CO68" s="418"/>
      <c r="CP68" s="418"/>
      <c r="CQ68" s="418"/>
      <c r="CR68" s="418"/>
      <c r="CS68" s="418"/>
      <c r="CT68" s="418"/>
      <c r="CU68" s="418"/>
      <c r="CV68" s="418"/>
      <c r="CW68" s="418"/>
      <c r="CX68" s="418"/>
      <c r="CY68" s="418"/>
      <c r="CZ68" s="418"/>
      <c r="DA68" s="418"/>
      <c r="DB68" s="418"/>
      <c r="DC68" s="418"/>
      <c r="DD68" s="418"/>
      <c r="DE68" s="418"/>
      <c r="DF68" s="418"/>
      <c r="DG68" s="418"/>
      <c r="DH68" s="418"/>
      <c r="DI68" s="418"/>
      <c r="DJ68" s="418"/>
      <c r="DK68" s="418"/>
      <c r="DL68" s="418"/>
      <c r="DM68" s="418"/>
      <c r="DN68" s="418"/>
      <c r="DO68" s="418"/>
      <c r="DP68" s="418"/>
      <c r="DQ68" s="418"/>
      <c r="DR68" s="418"/>
      <c r="DS68" s="418"/>
      <c r="DT68" s="418"/>
      <c r="DU68" s="418"/>
      <c r="DV68" s="418"/>
      <c r="DW68" s="418"/>
      <c r="DX68" s="418"/>
      <c r="DY68" s="418"/>
      <c r="DZ68" s="418"/>
      <c r="EA68" s="418"/>
      <c r="EB68" s="418"/>
      <c r="EC68" s="418"/>
      <c r="ED68" s="418"/>
      <c r="EE68" s="418"/>
      <c r="EF68" s="418"/>
      <c r="EG68" s="418"/>
      <c r="EH68" s="418"/>
      <c r="EI68" s="418"/>
      <c r="EJ68" s="418"/>
      <c r="EK68" s="418"/>
      <c r="EL68" s="418"/>
      <c r="EM68" s="418"/>
      <c r="EN68" s="418"/>
      <c r="EO68" s="418"/>
      <c r="EP68" s="418"/>
      <c r="EQ68" s="418"/>
      <c r="ER68" s="418"/>
      <c r="ES68" s="418"/>
      <c r="ET68" s="418"/>
      <c r="EU68" s="418"/>
      <c r="EV68" s="418"/>
      <c r="EW68" s="418"/>
      <c r="EX68" s="418"/>
      <c r="EY68" s="418"/>
      <c r="EZ68" s="418"/>
      <c r="FA68" s="418"/>
      <c r="FB68" s="418"/>
      <c r="FC68" s="418"/>
      <c r="FD68" s="418"/>
      <c r="FE68" s="418"/>
      <c r="FF68" s="418"/>
      <c r="FG68" s="418"/>
      <c r="FH68" s="418"/>
      <c r="FI68" s="418"/>
      <c r="FJ68" s="418"/>
      <c r="FK68" s="418"/>
      <c r="FL68" s="418"/>
      <c r="FM68" s="418"/>
      <c r="FN68" s="418"/>
      <c r="FO68" s="418"/>
      <c r="FP68" s="418"/>
      <c r="FQ68" s="418"/>
      <c r="FR68" s="418"/>
      <c r="FS68" s="418"/>
      <c r="FT68" s="418"/>
      <c r="FU68" s="418"/>
      <c r="FV68" s="418"/>
      <c r="FW68" s="418"/>
      <c r="FX68" s="418"/>
      <c r="FY68" s="418"/>
      <c r="FZ68" s="418"/>
      <c r="GA68" s="418"/>
      <c r="GB68" s="418"/>
      <c r="GC68" s="418"/>
      <c r="GD68" s="418"/>
      <c r="GE68" s="418"/>
      <c r="GF68" s="418"/>
      <c r="GG68" s="418"/>
      <c r="GH68" s="418"/>
      <c r="GI68" s="418"/>
      <c r="GJ68" s="418"/>
      <c r="GK68" s="418"/>
      <c r="GL68" s="418"/>
      <c r="GM68" s="418"/>
      <c r="GN68" s="418"/>
      <c r="GO68" s="418"/>
      <c r="GP68" s="418"/>
      <c r="GQ68" s="418"/>
      <c r="GR68" s="418"/>
      <c r="GS68" s="418"/>
      <c r="GT68" s="418"/>
      <c r="GU68" s="418"/>
      <c r="GV68" s="418"/>
      <c r="GW68" s="418"/>
      <c r="GX68" s="418"/>
      <c r="GY68" s="418"/>
      <c r="GZ68" s="418"/>
      <c r="HA68" s="418"/>
      <c r="HB68" s="418"/>
      <c r="HC68" s="418"/>
      <c r="HD68" s="418"/>
      <c r="HE68" s="418"/>
      <c r="HF68" s="418"/>
      <c r="HG68" s="418"/>
      <c r="HH68" s="418"/>
      <c r="HI68" s="418"/>
      <c r="HJ68" s="418"/>
      <c r="HK68" s="418"/>
      <c r="HL68" s="418"/>
      <c r="HM68" s="418"/>
      <c r="HN68" s="418"/>
      <c r="HO68" s="418"/>
      <c r="HP68" s="418"/>
      <c r="HQ68" s="418"/>
      <c r="HR68" s="418"/>
      <c r="HS68" s="418"/>
      <c r="HT68" s="418"/>
      <c r="HU68" s="418"/>
      <c r="HV68" s="418"/>
      <c r="HW68" s="418"/>
      <c r="HX68" s="418"/>
      <c r="HY68" s="418"/>
      <c r="HZ68" s="418"/>
      <c r="IA68" s="418"/>
      <c r="IB68" s="418"/>
      <c r="IC68" s="418"/>
      <c r="ID68" s="418"/>
      <c r="IE68" s="418"/>
      <c r="IF68" s="418"/>
      <c r="IG68" s="418"/>
      <c r="IH68" s="418"/>
      <c r="II68" s="418"/>
      <c r="IJ68" s="418"/>
      <c r="IK68" s="418"/>
      <c r="IL68" s="418"/>
      <c r="IM68" s="418"/>
      <c r="IN68" s="418"/>
      <c r="IO68" s="418"/>
      <c r="IP68" s="418"/>
      <c r="IQ68" s="418"/>
      <c r="IR68" s="418"/>
      <c r="IS68" s="418"/>
      <c r="IT68" s="418"/>
      <c r="IU68" s="418"/>
      <c r="IV68" s="418"/>
      <c r="IW68" s="418"/>
      <c r="IX68" s="418"/>
      <c r="IY68" s="418"/>
      <c r="IZ68" s="418"/>
      <c r="JA68" s="418"/>
    </row>
    <row r="69" spans="1:261" s="758" customFormat="1" ht="18" customHeight="1" x14ac:dyDescent="0.35">
      <c r="A69" s="773">
        <v>59</v>
      </c>
      <c r="B69" s="766"/>
      <c r="C69" s="464"/>
      <c r="D69" s="576" t="s">
        <v>1158</v>
      </c>
      <c r="E69" s="430"/>
      <c r="F69" s="762"/>
      <c r="G69" s="431"/>
      <c r="H69" s="999"/>
      <c r="I69" s="1017"/>
      <c r="J69" s="1013"/>
      <c r="K69" s="759">
        <v>3015</v>
      </c>
      <c r="L69" s="759"/>
      <c r="M69" s="759">
        <v>217401</v>
      </c>
      <c r="N69" s="1013"/>
      <c r="O69" s="767">
        <f>SUM(I69:N69)</f>
        <v>220416</v>
      </c>
      <c r="P69" s="763"/>
      <c r="Q69" s="418"/>
      <c r="R69" s="418"/>
      <c r="S69" s="418"/>
      <c r="T69" s="418"/>
      <c r="U69" s="418"/>
      <c r="V69" s="418"/>
      <c r="W69" s="418"/>
      <c r="X69" s="418"/>
      <c r="Y69" s="418"/>
      <c r="Z69" s="418"/>
      <c r="AA69" s="418"/>
      <c r="AB69" s="418"/>
      <c r="AC69" s="418"/>
      <c r="AD69" s="418"/>
      <c r="AE69" s="418"/>
      <c r="AF69" s="418"/>
      <c r="AG69" s="418"/>
      <c r="AH69" s="418"/>
      <c r="AI69" s="418"/>
      <c r="AJ69" s="418"/>
      <c r="AK69" s="418"/>
      <c r="AL69" s="418"/>
      <c r="AM69" s="418"/>
      <c r="AN69" s="418"/>
      <c r="AO69" s="418"/>
      <c r="AP69" s="418"/>
      <c r="AQ69" s="418"/>
      <c r="AR69" s="418"/>
      <c r="AS69" s="418"/>
      <c r="AT69" s="418"/>
      <c r="AU69" s="418"/>
      <c r="AV69" s="418"/>
      <c r="AW69" s="418"/>
      <c r="AX69" s="418"/>
      <c r="AY69" s="418"/>
      <c r="AZ69" s="418"/>
      <c r="BA69" s="418"/>
      <c r="BB69" s="418"/>
      <c r="BC69" s="418"/>
      <c r="BD69" s="418"/>
      <c r="BE69" s="418"/>
      <c r="BF69" s="418"/>
      <c r="BG69" s="418"/>
      <c r="BH69" s="418"/>
      <c r="BI69" s="418"/>
      <c r="BJ69" s="418"/>
      <c r="BK69" s="418"/>
      <c r="BL69" s="418"/>
      <c r="BM69" s="418"/>
      <c r="BN69" s="418"/>
      <c r="BO69" s="418"/>
      <c r="BP69" s="418"/>
      <c r="BQ69" s="418"/>
      <c r="BR69" s="418"/>
      <c r="BS69" s="418"/>
      <c r="BT69" s="418"/>
      <c r="BU69" s="418"/>
      <c r="BV69" s="418"/>
      <c r="BW69" s="418"/>
      <c r="BX69" s="418"/>
      <c r="BY69" s="418"/>
      <c r="BZ69" s="418"/>
      <c r="CA69" s="418"/>
      <c r="CB69" s="418"/>
      <c r="CC69" s="418"/>
      <c r="CD69" s="418"/>
      <c r="CE69" s="418"/>
      <c r="CF69" s="418"/>
      <c r="CG69" s="418"/>
      <c r="CH69" s="418"/>
      <c r="CI69" s="418"/>
      <c r="CJ69" s="418"/>
      <c r="CK69" s="418"/>
      <c r="CL69" s="418"/>
      <c r="CM69" s="418"/>
      <c r="CN69" s="418"/>
      <c r="CO69" s="418"/>
      <c r="CP69" s="418"/>
      <c r="CQ69" s="418"/>
      <c r="CR69" s="418"/>
      <c r="CS69" s="418"/>
      <c r="CT69" s="418"/>
      <c r="CU69" s="418"/>
      <c r="CV69" s="418"/>
      <c r="CW69" s="418"/>
      <c r="CX69" s="418"/>
      <c r="CY69" s="418"/>
      <c r="CZ69" s="418"/>
      <c r="DA69" s="418"/>
      <c r="DB69" s="418"/>
      <c r="DC69" s="418"/>
      <c r="DD69" s="418"/>
      <c r="DE69" s="418"/>
      <c r="DF69" s="418"/>
      <c r="DG69" s="418"/>
      <c r="DH69" s="418"/>
      <c r="DI69" s="418"/>
      <c r="DJ69" s="418"/>
      <c r="DK69" s="418"/>
      <c r="DL69" s="418"/>
      <c r="DM69" s="418"/>
      <c r="DN69" s="418"/>
      <c r="DO69" s="418"/>
      <c r="DP69" s="418"/>
      <c r="DQ69" s="418"/>
      <c r="DR69" s="418"/>
      <c r="DS69" s="418"/>
      <c r="DT69" s="418"/>
      <c r="DU69" s="418"/>
      <c r="DV69" s="418"/>
      <c r="DW69" s="418"/>
      <c r="DX69" s="418"/>
      <c r="DY69" s="418"/>
      <c r="DZ69" s="418"/>
      <c r="EA69" s="418"/>
      <c r="EB69" s="418"/>
      <c r="EC69" s="418"/>
      <c r="ED69" s="418"/>
      <c r="EE69" s="418"/>
      <c r="EF69" s="418"/>
      <c r="EG69" s="418"/>
      <c r="EH69" s="418"/>
      <c r="EI69" s="418"/>
      <c r="EJ69" s="418"/>
      <c r="EK69" s="418"/>
      <c r="EL69" s="418"/>
      <c r="EM69" s="418"/>
      <c r="EN69" s="418"/>
      <c r="EO69" s="418"/>
      <c r="EP69" s="418"/>
      <c r="EQ69" s="418"/>
      <c r="ER69" s="418"/>
      <c r="ES69" s="418"/>
      <c r="ET69" s="418"/>
      <c r="EU69" s="418"/>
      <c r="EV69" s="418"/>
      <c r="EW69" s="418"/>
      <c r="EX69" s="418"/>
      <c r="EY69" s="418"/>
      <c r="EZ69" s="418"/>
      <c r="FA69" s="418"/>
      <c r="FB69" s="418"/>
      <c r="FC69" s="418"/>
      <c r="FD69" s="418"/>
      <c r="FE69" s="418"/>
      <c r="FF69" s="418"/>
      <c r="FG69" s="418"/>
      <c r="FH69" s="418"/>
      <c r="FI69" s="418"/>
      <c r="FJ69" s="418"/>
      <c r="FK69" s="418"/>
      <c r="FL69" s="418"/>
      <c r="FM69" s="418"/>
      <c r="FN69" s="418"/>
      <c r="FO69" s="418"/>
      <c r="FP69" s="418"/>
      <c r="FQ69" s="418"/>
      <c r="FR69" s="418"/>
      <c r="FS69" s="418"/>
      <c r="FT69" s="418"/>
      <c r="FU69" s="418"/>
      <c r="FV69" s="418"/>
      <c r="FW69" s="418"/>
      <c r="FX69" s="418"/>
      <c r="FY69" s="418"/>
      <c r="FZ69" s="418"/>
      <c r="GA69" s="418"/>
      <c r="GB69" s="418"/>
      <c r="GC69" s="418"/>
      <c r="GD69" s="418"/>
      <c r="GE69" s="418"/>
      <c r="GF69" s="418"/>
      <c r="GG69" s="418"/>
      <c r="GH69" s="418"/>
      <c r="GI69" s="418"/>
      <c r="GJ69" s="418"/>
      <c r="GK69" s="418"/>
      <c r="GL69" s="418"/>
      <c r="GM69" s="418"/>
      <c r="GN69" s="418"/>
      <c r="GO69" s="418"/>
      <c r="GP69" s="418"/>
      <c r="GQ69" s="418"/>
      <c r="GR69" s="418"/>
      <c r="GS69" s="418"/>
      <c r="GT69" s="418"/>
      <c r="GU69" s="418"/>
      <c r="GV69" s="418"/>
      <c r="GW69" s="418"/>
      <c r="GX69" s="418"/>
      <c r="GY69" s="418"/>
      <c r="GZ69" s="418"/>
      <c r="HA69" s="418"/>
      <c r="HB69" s="418"/>
      <c r="HC69" s="418"/>
      <c r="HD69" s="418"/>
      <c r="HE69" s="418"/>
      <c r="HF69" s="418"/>
      <c r="HG69" s="418"/>
      <c r="HH69" s="418"/>
      <c r="HI69" s="418"/>
      <c r="HJ69" s="418"/>
      <c r="HK69" s="418"/>
      <c r="HL69" s="418"/>
      <c r="HM69" s="418"/>
      <c r="HN69" s="418"/>
      <c r="HO69" s="418"/>
      <c r="HP69" s="418"/>
      <c r="HQ69" s="418"/>
      <c r="HR69" s="418"/>
      <c r="HS69" s="418"/>
      <c r="HT69" s="418"/>
      <c r="HU69" s="418"/>
      <c r="HV69" s="418"/>
      <c r="HW69" s="418"/>
      <c r="HX69" s="418"/>
      <c r="HY69" s="418"/>
      <c r="HZ69" s="418"/>
      <c r="IA69" s="418"/>
      <c r="IB69" s="418"/>
      <c r="IC69" s="418"/>
      <c r="ID69" s="418"/>
      <c r="IE69" s="418"/>
      <c r="IF69" s="418"/>
      <c r="IG69" s="418"/>
      <c r="IH69" s="418"/>
      <c r="II69" s="418"/>
      <c r="IJ69" s="418"/>
      <c r="IK69" s="418"/>
      <c r="IL69" s="418"/>
      <c r="IM69" s="418"/>
      <c r="IN69" s="418"/>
      <c r="IO69" s="418"/>
      <c r="IP69" s="418"/>
      <c r="IQ69" s="418"/>
      <c r="IR69" s="418"/>
      <c r="IS69" s="418"/>
      <c r="IT69" s="418"/>
      <c r="IU69" s="418"/>
      <c r="IV69" s="418"/>
      <c r="IW69" s="418"/>
      <c r="IX69" s="418"/>
      <c r="IY69" s="418"/>
      <c r="IZ69" s="418"/>
      <c r="JA69" s="418"/>
    </row>
    <row r="70" spans="1:261" s="758" customFormat="1" ht="18" customHeight="1" x14ac:dyDescent="0.35">
      <c r="A70" s="773">
        <v>60</v>
      </c>
      <c r="B70" s="766"/>
      <c r="C70" s="464"/>
      <c r="D70" s="1318" t="s">
        <v>947</v>
      </c>
      <c r="E70" s="430"/>
      <c r="F70" s="762"/>
      <c r="G70" s="431"/>
      <c r="H70" s="999"/>
      <c r="I70" s="995"/>
      <c r="J70" s="759"/>
      <c r="K70" s="759"/>
      <c r="L70" s="759"/>
      <c r="M70" s="759"/>
      <c r="N70" s="759"/>
      <c r="O70" s="1599">
        <f>SUM(I70:N70)</f>
        <v>0</v>
      </c>
      <c r="P70" s="763"/>
      <c r="Q70" s="418"/>
      <c r="R70" s="418"/>
      <c r="S70" s="418"/>
      <c r="T70" s="418"/>
      <c r="U70" s="418"/>
      <c r="V70" s="418"/>
      <c r="W70" s="418"/>
      <c r="X70" s="418"/>
      <c r="Y70" s="418"/>
      <c r="Z70" s="418"/>
      <c r="AA70" s="418"/>
      <c r="AB70" s="418"/>
      <c r="AC70" s="418"/>
      <c r="AD70" s="418"/>
      <c r="AE70" s="418"/>
      <c r="AF70" s="418"/>
      <c r="AG70" s="418"/>
      <c r="AH70" s="418"/>
      <c r="AI70" s="418"/>
      <c r="AJ70" s="418"/>
      <c r="AK70" s="418"/>
      <c r="AL70" s="418"/>
      <c r="AM70" s="418"/>
      <c r="AN70" s="418"/>
      <c r="AO70" s="418"/>
      <c r="AP70" s="418"/>
      <c r="AQ70" s="418"/>
      <c r="AR70" s="418"/>
      <c r="AS70" s="418"/>
      <c r="AT70" s="418"/>
      <c r="AU70" s="418"/>
      <c r="AV70" s="418"/>
      <c r="AW70" s="418"/>
      <c r="AX70" s="418"/>
      <c r="AY70" s="418"/>
      <c r="AZ70" s="418"/>
      <c r="BA70" s="418"/>
      <c r="BB70" s="418"/>
      <c r="BC70" s="418"/>
      <c r="BD70" s="418"/>
      <c r="BE70" s="418"/>
      <c r="BF70" s="418"/>
      <c r="BG70" s="418"/>
      <c r="BH70" s="418"/>
      <c r="BI70" s="418"/>
      <c r="BJ70" s="418"/>
      <c r="BK70" s="418"/>
      <c r="BL70" s="418"/>
      <c r="BM70" s="418"/>
      <c r="BN70" s="418"/>
      <c r="BO70" s="418"/>
      <c r="BP70" s="418"/>
      <c r="BQ70" s="418"/>
      <c r="BR70" s="418"/>
      <c r="BS70" s="418"/>
      <c r="BT70" s="418"/>
      <c r="BU70" s="418"/>
      <c r="BV70" s="418"/>
      <c r="BW70" s="418"/>
      <c r="BX70" s="418"/>
      <c r="BY70" s="418"/>
      <c r="BZ70" s="418"/>
      <c r="CA70" s="418"/>
      <c r="CB70" s="418"/>
      <c r="CC70" s="418"/>
      <c r="CD70" s="418"/>
      <c r="CE70" s="418"/>
      <c r="CF70" s="418"/>
      <c r="CG70" s="418"/>
      <c r="CH70" s="418"/>
      <c r="CI70" s="418"/>
      <c r="CJ70" s="418"/>
      <c r="CK70" s="418"/>
      <c r="CL70" s="418"/>
      <c r="CM70" s="418"/>
      <c r="CN70" s="418"/>
      <c r="CO70" s="418"/>
      <c r="CP70" s="418"/>
      <c r="CQ70" s="418"/>
      <c r="CR70" s="418"/>
      <c r="CS70" s="418"/>
      <c r="CT70" s="418"/>
      <c r="CU70" s="418"/>
      <c r="CV70" s="418"/>
      <c r="CW70" s="418"/>
      <c r="CX70" s="418"/>
      <c r="CY70" s="418"/>
      <c r="CZ70" s="418"/>
      <c r="DA70" s="418"/>
      <c r="DB70" s="418"/>
      <c r="DC70" s="418"/>
      <c r="DD70" s="418"/>
      <c r="DE70" s="418"/>
      <c r="DF70" s="418"/>
      <c r="DG70" s="418"/>
      <c r="DH70" s="418"/>
      <c r="DI70" s="418"/>
      <c r="DJ70" s="418"/>
      <c r="DK70" s="418"/>
      <c r="DL70" s="418"/>
      <c r="DM70" s="418"/>
      <c r="DN70" s="418"/>
      <c r="DO70" s="418"/>
      <c r="DP70" s="418"/>
      <c r="DQ70" s="418"/>
      <c r="DR70" s="418"/>
      <c r="DS70" s="418"/>
      <c r="DT70" s="418"/>
      <c r="DU70" s="418"/>
      <c r="DV70" s="418"/>
      <c r="DW70" s="418"/>
      <c r="DX70" s="418"/>
      <c r="DY70" s="418"/>
      <c r="DZ70" s="418"/>
      <c r="EA70" s="418"/>
      <c r="EB70" s="418"/>
      <c r="EC70" s="418"/>
      <c r="ED70" s="418"/>
      <c r="EE70" s="418"/>
      <c r="EF70" s="418"/>
      <c r="EG70" s="418"/>
      <c r="EH70" s="418"/>
      <c r="EI70" s="418"/>
      <c r="EJ70" s="418"/>
      <c r="EK70" s="418"/>
      <c r="EL70" s="418"/>
      <c r="EM70" s="418"/>
      <c r="EN70" s="418"/>
      <c r="EO70" s="418"/>
      <c r="EP70" s="418"/>
      <c r="EQ70" s="418"/>
      <c r="ER70" s="418"/>
      <c r="ES70" s="418"/>
      <c r="ET70" s="418"/>
      <c r="EU70" s="418"/>
      <c r="EV70" s="418"/>
      <c r="EW70" s="418"/>
      <c r="EX70" s="418"/>
      <c r="EY70" s="418"/>
      <c r="EZ70" s="418"/>
      <c r="FA70" s="418"/>
      <c r="FB70" s="418"/>
      <c r="FC70" s="418"/>
      <c r="FD70" s="418"/>
      <c r="FE70" s="418"/>
      <c r="FF70" s="418"/>
      <c r="FG70" s="418"/>
      <c r="FH70" s="418"/>
      <c r="FI70" s="418"/>
      <c r="FJ70" s="418"/>
      <c r="FK70" s="418"/>
      <c r="FL70" s="418"/>
      <c r="FM70" s="418"/>
      <c r="FN70" s="418"/>
      <c r="FO70" s="418"/>
      <c r="FP70" s="418"/>
      <c r="FQ70" s="418"/>
      <c r="FR70" s="418"/>
      <c r="FS70" s="418"/>
      <c r="FT70" s="418"/>
      <c r="FU70" s="418"/>
      <c r="FV70" s="418"/>
      <c r="FW70" s="418"/>
      <c r="FX70" s="418"/>
      <c r="FY70" s="418"/>
      <c r="FZ70" s="418"/>
      <c r="GA70" s="418"/>
      <c r="GB70" s="418"/>
      <c r="GC70" s="418"/>
      <c r="GD70" s="418"/>
      <c r="GE70" s="418"/>
      <c r="GF70" s="418"/>
      <c r="GG70" s="418"/>
      <c r="GH70" s="418"/>
      <c r="GI70" s="418"/>
      <c r="GJ70" s="418"/>
      <c r="GK70" s="418"/>
      <c r="GL70" s="418"/>
      <c r="GM70" s="418"/>
      <c r="GN70" s="418"/>
      <c r="GO70" s="418"/>
      <c r="GP70" s="418"/>
      <c r="GQ70" s="418"/>
      <c r="GR70" s="418"/>
      <c r="GS70" s="418"/>
      <c r="GT70" s="418"/>
      <c r="GU70" s="418"/>
      <c r="GV70" s="418"/>
      <c r="GW70" s="418"/>
      <c r="GX70" s="418"/>
      <c r="GY70" s="418"/>
      <c r="GZ70" s="418"/>
      <c r="HA70" s="418"/>
      <c r="HB70" s="418"/>
      <c r="HC70" s="418"/>
      <c r="HD70" s="418"/>
      <c r="HE70" s="418"/>
      <c r="HF70" s="418"/>
      <c r="HG70" s="418"/>
      <c r="HH70" s="418"/>
      <c r="HI70" s="418"/>
      <c r="HJ70" s="418"/>
      <c r="HK70" s="418"/>
      <c r="HL70" s="418"/>
      <c r="HM70" s="418"/>
      <c r="HN70" s="418"/>
      <c r="HO70" s="418"/>
      <c r="HP70" s="418"/>
      <c r="HQ70" s="418"/>
      <c r="HR70" s="418"/>
      <c r="HS70" s="418"/>
      <c r="HT70" s="418"/>
      <c r="HU70" s="418"/>
      <c r="HV70" s="418"/>
      <c r="HW70" s="418"/>
      <c r="HX70" s="418"/>
      <c r="HY70" s="418"/>
      <c r="HZ70" s="418"/>
      <c r="IA70" s="418"/>
      <c r="IB70" s="418"/>
      <c r="IC70" s="418"/>
      <c r="ID70" s="418"/>
      <c r="IE70" s="418"/>
      <c r="IF70" s="418"/>
      <c r="IG70" s="418"/>
      <c r="IH70" s="418"/>
      <c r="II70" s="418"/>
      <c r="IJ70" s="418"/>
      <c r="IK70" s="418"/>
      <c r="IL70" s="418"/>
      <c r="IM70" s="418"/>
      <c r="IN70" s="418"/>
      <c r="IO70" s="418"/>
      <c r="IP70" s="418"/>
      <c r="IQ70" s="418"/>
      <c r="IR70" s="418"/>
      <c r="IS70" s="418"/>
      <c r="IT70" s="418"/>
      <c r="IU70" s="418"/>
      <c r="IV70" s="418"/>
      <c r="IW70" s="418"/>
      <c r="IX70" s="418"/>
      <c r="IY70" s="418"/>
      <c r="IZ70" s="418"/>
      <c r="JA70" s="418"/>
    </row>
    <row r="71" spans="1:261" s="758" customFormat="1" ht="18" customHeight="1" x14ac:dyDescent="0.35">
      <c r="A71" s="773">
        <v>61</v>
      </c>
      <c r="B71" s="766"/>
      <c r="C71" s="464"/>
      <c r="D71" s="576" t="s">
        <v>1250</v>
      </c>
      <c r="E71" s="430"/>
      <c r="F71" s="762"/>
      <c r="G71" s="431"/>
      <c r="H71" s="999"/>
      <c r="I71" s="995"/>
      <c r="J71" s="759"/>
      <c r="K71" s="759">
        <f>SUM(K69:K70)</f>
        <v>3015</v>
      </c>
      <c r="L71" s="759"/>
      <c r="M71" s="759">
        <f t="shared" ref="M71" si="10">SUM(M69:M70)</f>
        <v>217401</v>
      </c>
      <c r="N71" s="759"/>
      <c r="O71" s="767">
        <f>SUM(I71:N71)</f>
        <v>220416</v>
      </c>
      <c r="P71" s="763"/>
      <c r="Q71" s="418"/>
      <c r="R71" s="418"/>
      <c r="S71" s="418"/>
      <c r="T71" s="418"/>
      <c r="U71" s="418"/>
      <c r="V71" s="418"/>
      <c r="W71" s="418"/>
      <c r="X71" s="418"/>
      <c r="Y71" s="418"/>
      <c r="Z71" s="418"/>
      <c r="AA71" s="418"/>
      <c r="AB71" s="418"/>
      <c r="AC71" s="418"/>
      <c r="AD71" s="418"/>
      <c r="AE71" s="418"/>
      <c r="AF71" s="418"/>
      <c r="AG71" s="418"/>
      <c r="AH71" s="418"/>
      <c r="AI71" s="418"/>
      <c r="AJ71" s="418"/>
      <c r="AK71" s="418"/>
      <c r="AL71" s="418"/>
      <c r="AM71" s="418"/>
      <c r="AN71" s="418"/>
      <c r="AO71" s="418"/>
      <c r="AP71" s="418"/>
      <c r="AQ71" s="418"/>
      <c r="AR71" s="418"/>
      <c r="AS71" s="418"/>
      <c r="AT71" s="418"/>
      <c r="AU71" s="418"/>
      <c r="AV71" s="418"/>
      <c r="AW71" s="418"/>
      <c r="AX71" s="418"/>
      <c r="AY71" s="418"/>
      <c r="AZ71" s="418"/>
      <c r="BA71" s="418"/>
      <c r="BB71" s="418"/>
      <c r="BC71" s="418"/>
      <c r="BD71" s="418"/>
      <c r="BE71" s="418"/>
      <c r="BF71" s="418"/>
      <c r="BG71" s="418"/>
      <c r="BH71" s="418"/>
      <c r="BI71" s="418"/>
      <c r="BJ71" s="418"/>
      <c r="BK71" s="418"/>
      <c r="BL71" s="418"/>
      <c r="BM71" s="418"/>
      <c r="BN71" s="418"/>
      <c r="BO71" s="418"/>
      <c r="BP71" s="418"/>
      <c r="BQ71" s="418"/>
      <c r="BR71" s="418"/>
      <c r="BS71" s="418"/>
      <c r="BT71" s="418"/>
      <c r="BU71" s="418"/>
      <c r="BV71" s="418"/>
      <c r="BW71" s="418"/>
      <c r="BX71" s="418"/>
      <c r="BY71" s="418"/>
      <c r="BZ71" s="418"/>
      <c r="CA71" s="418"/>
      <c r="CB71" s="418"/>
      <c r="CC71" s="418"/>
      <c r="CD71" s="418"/>
      <c r="CE71" s="418"/>
      <c r="CF71" s="418"/>
      <c r="CG71" s="418"/>
      <c r="CH71" s="418"/>
      <c r="CI71" s="418"/>
      <c r="CJ71" s="418"/>
      <c r="CK71" s="418"/>
      <c r="CL71" s="418"/>
      <c r="CM71" s="418"/>
      <c r="CN71" s="418"/>
      <c r="CO71" s="418"/>
      <c r="CP71" s="418"/>
      <c r="CQ71" s="418"/>
      <c r="CR71" s="418"/>
      <c r="CS71" s="418"/>
      <c r="CT71" s="418"/>
      <c r="CU71" s="418"/>
      <c r="CV71" s="418"/>
      <c r="CW71" s="418"/>
      <c r="CX71" s="418"/>
      <c r="CY71" s="418"/>
      <c r="CZ71" s="418"/>
      <c r="DA71" s="418"/>
      <c r="DB71" s="418"/>
      <c r="DC71" s="418"/>
      <c r="DD71" s="418"/>
      <c r="DE71" s="418"/>
      <c r="DF71" s="418"/>
      <c r="DG71" s="418"/>
      <c r="DH71" s="418"/>
      <c r="DI71" s="418"/>
      <c r="DJ71" s="418"/>
      <c r="DK71" s="418"/>
      <c r="DL71" s="418"/>
      <c r="DM71" s="418"/>
      <c r="DN71" s="418"/>
      <c r="DO71" s="418"/>
      <c r="DP71" s="418"/>
      <c r="DQ71" s="418"/>
      <c r="DR71" s="418"/>
      <c r="DS71" s="418"/>
      <c r="DT71" s="418"/>
      <c r="DU71" s="418"/>
      <c r="DV71" s="418"/>
      <c r="DW71" s="418"/>
      <c r="DX71" s="418"/>
      <c r="DY71" s="418"/>
      <c r="DZ71" s="418"/>
      <c r="EA71" s="418"/>
      <c r="EB71" s="418"/>
      <c r="EC71" s="418"/>
      <c r="ED71" s="418"/>
      <c r="EE71" s="418"/>
      <c r="EF71" s="418"/>
      <c r="EG71" s="418"/>
      <c r="EH71" s="418"/>
      <c r="EI71" s="418"/>
      <c r="EJ71" s="418"/>
      <c r="EK71" s="418"/>
      <c r="EL71" s="418"/>
      <c r="EM71" s="418"/>
      <c r="EN71" s="418"/>
      <c r="EO71" s="418"/>
      <c r="EP71" s="418"/>
      <c r="EQ71" s="418"/>
      <c r="ER71" s="418"/>
      <c r="ES71" s="418"/>
      <c r="ET71" s="418"/>
      <c r="EU71" s="418"/>
      <c r="EV71" s="418"/>
      <c r="EW71" s="418"/>
      <c r="EX71" s="418"/>
      <c r="EY71" s="418"/>
      <c r="EZ71" s="418"/>
      <c r="FA71" s="418"/>
      <c r="FB71" s="418"/>
      <c r="FC71" s="418"/>
      <c r="FD71" s="418"/>
      <c r="FE71" s="418"/>
      <c r="FF71" s="418"/>
      <c r="FG71" s="418"/>
      <c r="FH71" s="418"/>
      <c r="FI71" s="418"/>
      <c r="FJ71" s="418"/>
      <c r="FK71" s="418"/>
      <c r="FL71" s="418"/>
      <c r="FM71" s="418"/>
      <c r="FN71" s="418"/>
      <c r="FO71" s="418"/>
      <c r="FP71" s="418"/>
      <c r="FQ71" s="418"/>
      <c r="FR71" s="418"/>
      <c r="FS71" s="418"/>
      <c r="FT71" s="418"/>
      <c r="FU71" s="418"/>
      <c r="FV71" s="418"/>
      <c r="FW71" s="418"/>
      <c r="FX71" s="418"/>
      <c r="FY71" s="418"/>
      <c r="FZ71" s="418"/>
      <c r="GA71" s="418"/>
      <c r="GB71" s="418"/>
      <c r="GC71" s="418"/>
      <c r="GD71" s="418"/>
      <c r="GE71" s="418"/>
      <c r="GF71" s="418"/>
      <c r="GG71" s="418"/>
      <c r="GH71" s="418"/>
      <c r="GI71" s="418"/>
      <c r="GJ71" s="418"/>
      <c r="GK71" s="418"/>
      <c r="GL71" s="418"/>
      <c r="GM71" s="418"/>
      <c r="GN71" s="418"/>
      <c r="GO71" s="418"/>
      <c r="GP71" s="418"/>
      <c r="GQ71" s="418"/>
      <c r="GR71" s="418"/>
      <c r="GS71" s="418"/>
      <c r="GT71" s="418"/>
      <c r="GU71" s="418"/>
      <c r="GV71" s="418"/>
      <c r="GW71" s="418"/>
      <c r="GX71" s="418"/>
      <c r="GY71" s="418"/>
      <c r="GZ71" s="418"/>
      <c r="HA71" s="418"/>
      <c r="HB71" s="418"/>
      <c r="HC71" s="418"/>
      <c r="HD71" s="418"/>
      <c r="HE71" s="418"/>
      <c r="HF71" s="418"/>
      <c r="HG71" s="418"/>
      <c r="HH71" s="418"/>
      <c r="HI71" s="418"/>
      <c r="HJ71" s="418"/>
      <c r="HK71" s="418"/>
      <c r="HL71" s="418"/>
      <c r="HM71" s="418"/>
      <c r="HN71" s="418"/>
      <c r="HO71" s="418"/>
      <c r="HP71" s="418"/>
      <c r="HQ71" s="418"/>
      <c r="HR71" s="418"/>
      <c r="HS71" s="418"/>
      <c r="HT71" s="418"/>
      <c r="HU71" s="418"/>
      <c r="HV71" s="418"/>
      <c r="HW71" s="418"/>
      <c r="HX71" s="418"/>
      <c r="HY71" s="418"/>
      <c r="HZ71" s="418"/>
      <c r="IA71" s="418"/>
      <c r="IB71" s="418"/>
      <c r="IC71" s="418"/>
      <c r="ID71" s="418"/>
      <c r="IE71" s="418"/>
      <c r="IF71" s="418"/>
      <c r="IG71" s="418"/>
      <c r="IH71" s="418"/>
      <c r="II71" s="418"/>
      <c r="IJ71" s="418"/>
      <c r="IK71" s="418"/>
      <c r="IL71" s="418"/>
      <c r="IM71" s="418"/>
      <c r="IN71" s="418"/>
      <c r="IO71" s="418"/>
      <c r="IP71" s="418"/>
      <c r="IQ71" s="418"/>
      <c r="IR71" s="418"/>
      <c r="IS71" s="418"/>
      <c r="IT71" s="418"/>
      <c r="IU71" s="418"/>
      <c r="IV71" s="418"/>
      <c r="IW71" s="418"/>
      <c r="IX71" s="418"/>
      <c r="IY71" s="418"/>
      <c r="IZ71" s="418"/>
      <c r="JA71" s="418"/>
    </row>
    <row r="72" spans="1:261" ht="33" x14ac:dyDescent="0.35">
      <c r="A72" s="773">
        <v>62</v>
      </c>
      <c r="B72" s="618"/>
      <c r="C72" s="420">
        <v>13</v>
      </c>
      <c r="D72" s="422" t="s">
        <v>678</v>
      </c>
      <c r="E72" s="430"/>
      <c r="F72" s="762"/>
      <c r="G72" s="431"/>
      <c r="H72" s="999" t="s">
        <v>24</v>
      </c>
      <c r="I72" s="1017"/>
      <c r="J72" s="1013"/>
      <c r="K72" s="1013"/>
      <c r="L72" s="1013"/>
      <c r="M72" s="1013"/>
      <c r="N72" s="1013"/>
      <c r="O72" s="982"/>
      <c r="P72" s="763"/>
    </row>
    <row r="73" spans="1:261" s="758" customFormat="1" ht="18" customHeight="1" x14ac:dyDescent="0.35">
      <c r="A73" s="773">
        <v>63</v>
      </c>
      <c r="B73" s="766"/>
      <c r="C73" s="420"/>
      <c r="D73" s="992" t="s">
        <v>308</v>
      </c>
      <c r="E73" s="430">
        <f>F73+G73+O76+P76+12000</f>
        <v>501600</v>
      </c>
      <c r="F73" s="762">
        <v>326</v>
      </c>
      <c r="G73" s="431">
        <f>16713+414</f>
        <v>17127</v>
      </c>
      <c r="H73" s="999"/>
      <c r="I73" s="1017"/>
      <c r="J73" s="1013"/>
      <c r="K73" s="1013">
        <v>9860</v>
      </c>
      <c r="L73" s="1013"/>
      <c r="M73" s="1013">
        <v>462287</v>
      </c>
      <c r="N73" s="1013"/>
      <c r="O73" s="982">
        <f>SUM(I73:N73)</f>
        <v>472147</v>
      </c>
      <c r="P73" s="763"/>
      <c r="Q73" s="418"/>
      <c r="R73" s="418"/>
      <c r="S73" s="418"/>
      <c r="T73" s="418"/>
      <c r="U73" s="418"/>
      <c r="V73" s="418"/>
      <c r="W73" s="418"/>
      <c r="X73" s="418"/>
      <c r="Y73" s="418"/>
      <c r="Z73" s="418"/>
      <c r="AA73" s="418"/>
      <c r="AB73" s="418"/>
      <c r="AC73" s="418"/>
      <c r="AD73" s="418"/>
      <c r="AE73" s="418"/>
      <c r="AF73" s="418"/>
      <c r="AG73" s="418"/>
      <c r="AH73" s="418"/>
      <c r="AI73" s="418"/>
      <c r="AJ73" s="418"/>
      <c r="AK73" s="418"/>
      <c r="AL73" s="418"/>
      <c r="AM73" s="418"/>
      <c r="AN73" s="418"/>
      <c r="AO73" s="418"/>
      <c r="AP73" s="418"/>
      <c r="AQ73" s="418"/>
      <c r="AR73" s="418"/>
      <c r="AS73" s="418"/>
      <c r="AT73" s="418"/>
      <c r="AU73" s="418"/>
      <c r="AV73" s="418"/>
      <c r="AW73" s="418"/>
      <c r="AX73" s="418"/>
      <c r="AY73" s="418"/>
      <c r="AZ73" s="418"/>
      <c r="BA73" s="418"/>
      <c r="BB73" s="418"/>
      <c r="BC73" s="418"/>
      <c r="BD73" s="418"/>
      <c r="BE73" s="418"/>
      <c r="BF73" s="418"/>
      <c r="BG73" s="418"/>
      <c r="BH73" s="418"/>
      <c r="BI73" s="418"/>
      <c r="BJ73" s="418"/>
      <c r="BK73" s="418"/>
      <c r="BL73" s="418"/>
      <c r="BM73" s="418"/>
      <c r="BN73" s="418"/>
      <c r="BO73" s="418"/>
      <c r="BP73" s="418"/>
      <c r="BQ73" s="418"/>
      <c r="BR73" s="418"/>
      <c r="BS73" s="418"/>
      <c r="BT73" s="418"/>
      <c r="BU73" s="418"/>
      <c r="BV73" s="418"/>
      <c r="BW73" s="418"/>
      <c r="BX73" s="418"/>
      <c r="BY73" s="418"/>
      <c r="BZ73" s="418"/>
      <c r="CA73" s="418"/>
      <c r="CB73" s="418"/>
      <c r="CC73" s="418"/>
      <c r="CD73" s="418"/>
      <c r="CE73" s="418"/>
      <c r="CF73" s="418"/>
      <c r="CG73" s="418"/>
      <c r="CH73" s="418"/>
      <c r="CI73" s="418"/>
      <c r="CJ73" s="418"/>
      <c r="CK73" s="418"/>
      <c r="CL73" s="418"/>
      <c r="CM73" s="418"/>
      <c r="CN73" s="418"/>
      <c r="CO73" s="418"/>
      <c r="CP73" s="418"/>
      <c r="CQ73" s="418"/>
      <c r="CR73" s="418"/>
      <c r="CS73" s="418"/>
      <c r="CT73" s="418"/>
      <c r="CU73" s="418"/>
      <c r="CV73" s="418"/>
      <c r="CW73" s="418"/>
      <c r="CX73" s="418"/>
      <c r="CY73" s="418"/>
      <c r="CZ73" s="418"/>
      <c r="DA73" s="418"/>
      <c r="DB73" s="418"/>
      <c r="DC73" s="418"/>
      <c r="DD73" s="418"/>
      <c r="DE73" s="418"/>
      <c r="DF73" s="418"/>
      <c r="DG73" s="418"/>
      <c r="DH73" s="418"/>
      <c r="DI73" s="418"/>
      <c r="DJ73" s="418"/>
      <c r="DK73" s="418"/>
      <c r="DL73" s="418"/>
      <c r="DM73" s="418"/>
      <c r="DN73" s="418"/>
      <c r="DO73" s="418"/>
      <c r="DP73" s="418"/>
      <c r="DQ73" s="418"/>
      <c r="DR73" s="418"/>
      <c r="DS73" s="418"/>
      <c r="DT73" s="418"/>
      <c r="DU73" s="418"/>
      <c r="DV73" s="418"/>
      <c r="DW73" s="418"/>
      <c r="DX73" s="418"/>
      <c r="DY73" s="418"/>
      <c r="DZ73" s="418"/>
      <c r="EA73" s="418"/>
      <c r="EB73" s="418"/>
      <c r="EC73" s="418"/>
      <c r="ED73" s="418"/>
      <c r="EE73" s="418"/>
      <c r="EF73" s="418"/>
      <c r="EG73" s="418"/>
      <c r="EH73" s="418"/>
      <c r="EI73" s="418"/>
      <c r="EJ73" s="418"/>
      <c r="EK73" s="418"/>
      <c r="EL73" s="418"/>
      <c r="EM73" s="418"/>
      <c r="EN73" s="418"/>
      <c r="EO73" s="418"/>
      <c r="EP73" s="418"/>
      <c r="EQ73" s="418"/>
      <c r="ER73" s="418"/>
      <c r="ES73" s="418"/>
      <c r="ET73" s="418"/>
      <c r="EU73" s="418"/>
      <c r="EV73" s="418"/>
      <c r="EW73" s="418"/>
      <c r="EX73" s="418"/>
      <c r="EY73" s="418"/>
      <c r="EZ73" s="418"/>
      <c r="FA73" s="418"/>
      <c r="FB73" s="418"/>
      <c r="FC73" s="418"/>
      <c r="FD73" s="418"/>
      <c r="FE73" s="418"/>
      <c r="FF73" s="418"/>
      <c r="FG73" s="418"/>
      <c r="FH73" s="418"/>
      <c r="FI73" s="418"/>
      <c r="FJ73" s="418"/>
      <c r="FK73" s="418"/>
      <c r="FL73" s="418"/>
      <c r="FM73" s="418"/>
      <c r="FN73" s="418"/>
      <c r="FO73" s="418"/>
      <c r="FP73" s="418"/>
      <c r="FQ73" s="418"/>
      <c r="FR73" s="418"/>
      <c r="FS73" s="418"/>
      <c r="FT73" s="418"/>
      <c r="FU73" s="418"/>
      <c r="FV73" s="418"/>
      <c r="FW73" s="418"/>
      <c r="FX73" s="418"/>
      <c r="FY73" s="418"/>
      <c r="FZ73" s="418"/>
      <c r="GA73" s="418"/>
      <c r="GB73" s="418"/>
      <c r="GC73" s="418"/>
      <c r="GD73" s="418"/>
      <c r="GE73" s="418"/>
      <c r="GF73" s="418"/>
      <c r="GG73" s="418"/>
      <c r="GH73" s="418"/>
      <c r="GI73" s="418"/>
      <c r="GJ73" s="418"/>
      <c r="GK73" s="418"/>
      <c r="GL73" s="418"/>
      <c r="GM73" s="418"/>
      <c r="GN73" s="418"/>
      <c r="GO73" s="418"/>
      <c r="GP73" s="418"/>
      <c r="GQ73" s="418"/>
      <c r="GR73" s="418"/>
      <c r="GS73" s="418"/>
      <c r="GT73" s="418"/>
      <c r="GU73" s="418"/>
      <c r="GV73" s="418"/>
      <c r="GW73" s="418"/>
      <c r="GX73" s="418"/>
      <c r="GY73" s="418"/>
      <c r="GZ73" s="418"/>
      <c r="HA73" s="418"/>
      <c r="HB73" s="418"/>
      <c r="HC73" s="418"/>
      <c r="HD73" s="418"/>
      <c r="HE73" s="418"/>
      <c r="HF73" s="418"/>
      <c r="HG73" s="418"/>
      <c r="HH73" s="418"/>
      <c r="HI73" s="418"/>
      <c r="HJ73" s="418"/>
      <c r="HK73" s="418"/>
      <c r="HL73" s="418"/>
      <c r="HM73" s="418"/>
      <c r="HN73" s="418"/>
      <c r="HO73" s="418"/>
      <c r="HP73" s="418"/>
      <c r="HQ73" s="418"/>
      <c r="HR73" s="418"/>
      <c r="HS73" s="418"/>
      <c r="HT73" s="418"/>
      <c r="HU73" s="418"/>
      <c r="HV73" s="418"/>
      <c r="HW73" s="418"/>
      <c r="HX73" s="418"/>
      <c r="HY73" s="418"/>
      <c r="HZ73" s="418"/>
      <c r="IA73" s="418"/>
      <c r="IB73" s="418"/>
      <c r="IC73" s="418"/>
      <c r="ID73" s="418"/>
      <c r="IE73" s="418"/>
      <c r="IF73" s="418"/>
      <c r="IG73" s="418"/>
      <c r="IH73" s="418"/>
      <c r="II73" s="418"/>
      <c r="IJ73" s="418"/>
      <c r="IK73" s="418"/>
      <c r="IL73" s="418"/>
      <c r="IM73" s="418"/>
      <c r="IN73" s="418"/>
      <c r="IO73" s="418"/>
      <c r="IP73" s="418"/>
      <c r="IQ73" s="418"/>
      <c r="IR73" s="418"/>
      <c r="IS73" s="418"/>
      <c r="IT73" s="418"/>
      <c r="IU73" s="418"/>
      <c r="IV73" s="418"/>
      <c r="IW73" s="418"/>
      <c r="IX73" s="418"/>
      <c r="IY73" s="418"/>
      <c r="IZ73" s="418"/>
      <c r="JA73" s="418"/>
    </row>
    <row r="74" spans="1:261" s="758" customFormat="1" ht="18" customHeight="1" x14ac:dyDescent="0.35">
      <c r="A74" s="773">
        <v>64</v>
      </c>
      <c r="B74" s="766"/>
      <c r="C74" s="420"/>
      <c r="D74" s="576" t="s">
        <v>1158</v>
      </c>
      <c r="E74" s="430"/>
      <c r="F74" s="762"/>
      <c r="G74" s="431"/>
      <c r="H74" s="999"/>
      <c r="I74" s="1017"/>
      <c r="J74" s="1013"/>
      <c r="K74" s="759">
        <v>9860</v>
      </c>
      <c r="L74" s="759"/>
      <c r="M74" s="759">
        <v>462287</v>
      </c>
      <c r="N74" s="1013"/>
      <c r="O74" s="767">
        <f>SUM(I74:N74)</f>
        <v>472147</v>
      </c>
      <c r="P74" s="763"/>
      <c r="Q74" s="418"/>
      <c r="R74" s="418"/>
      <c r="S74" s="418"/>
      <c r="T74" s="418"/>
      <c r="U74" s="418"/>
      <c r="V74" s="418"/>
      <c r="W74" s="418"/>
      <c r="X74" s="418"/>
      <c r="Y74" s="418"/>
      <c r="Z74" s="418"/>
      <c r="AA74" s="418"/>
      <c r="AB74" s="418"/>
      <c r="AC74" s="418"/>
      <c r="AD74" s="418"/>
      <c r="AE74" s="418"/>
      <c r="AF74" s="418"/>
      <c r="AG74" s="418"/>
      <c r="AH74" s="418"/>
      <c r="AI74" s="418"/>
      <c r="AJ74" s="418"/>
      <c r="AK74" s="418"/>
      <c r="AL74" s="418"/>
      <c r="AM74" s="418"/>
      <c r="AN74" s="418"/>
      <c r="AO74" s="418"/>
      <c r="AP74" s="418"/>
      <c r="AQ74" s="418"/>
      <c r="AR74" s="418"/>
      <c r="AS74" s="418"/>
      <c r="AT74" s="418"/>
      <c r="AU74" s="418"/>
      <c r="AV74" s="418"/>
      <c r="AW74" s="418"/>
      <c r="AX74" s="418"/>
      <c r="AY74" s="418"/>
      <c r="AZ74" s="418"/>
      <c r="BA74" s="418"/>
      <c r="BB74" s="418"/>
      <c r="BC74" s="418"/>
      <c r="BD74" s="418"/>
      <c r="BE74" s="418"/>
      <c r="BF74" s="418"/>
      <c r="BG74" s="418"/>
      <c r="BH74" s="418"/>
      <c r="BI74" s="418"/>
      <c r="BJ74" s="418"/>
      <c r="BK74" s="418"/>
      <c r="BL74" s="418"/>
      <c r="BM74" s="418"/>
      <c r="BN74" s="418"/>
      <c r="BO74" s="418"/>
      <c r="BP74" s="418"/>
      <c r="BQ74" s="418"/>
      <c r="BR74" s="418"/>
      <c r="BS74" s="418"/>
      <c r="BT74" s="418"/>
      <c r="BU74" s="418"/>
      <c r="BV74" s="418"/>
      <c r="BW74" s="418"/>
      <c r="BX74" s="418"/>
      <c r="BY74" s="418"/>
      <c r="BZ74" s="418"/>
      <c r="CA74" s="418"/>
      <c r="CB74" s="418"/>
      <c r="CC74" s="418"/>
      <c r="CD74" s="418"/>
      <c r="CE74" s="418"/>
      <c r="CF74" s="418"/>
      <c r="CG74" s="418"/>
      <c r="CH74" s="418"/>
      <c r="CI74" s="418"/>
      <c r="CJ74" s="418"/>
      <c r="CK74" s="418"/>
      <c r="CL74" s="418"/>
      <c r="CM74" s="418"/>
      <c r="CN74" s="418"/>
      <c r="CO74" s="418"/>
      <c r="CP74" s="418"/>
      <c r="CQ74" s="418"/>
      <c r="CR74" s="418"/>
      <c r="CS74" s="418"/>
      <c r="CT74" s="418"/>
      <c r="CU74" s="418"/>
      <c r="CV74" s="418"/>
      <c r="CW74" s="418"/>
      <c r="CX74" s="418"/>
      <c r="CY74" s="418"/>
      <c r="CZ74" s="418"/>
      <c r="DA74" s="418"/>
      <c r="DB74" s="418"/>
      <c r="DC74" s="418"/>
      <c r="DD74" s="418"/>
      <c r="DE74" s="418"/>
      <c r="DF74" s="418"/>
      <c r="DG74" s="418"/>
      <c r="DH74" s="418"/>
      <c r="DI74" s="418"/>
      <c r="DJ74" s="418"/>
      <c r="DK74" s="418"/>
      <c r="DL74" s="418"/>
      <c r="DM74" s="418"/>
      <c r="DN74" s="418"/>
      <c r="DO74" s="418"/>
      <c r="DP74" s="418"/>
      <c r="DQ74" s="418"/>
      <c r="DR74" s="418"/>
      <c r="DS74" s="418"/>
      <c r="DT74" s="418"/>
      <c r="DU74" s="418"/>
      <c r="DV74" s="418"/>
      <c r="DW74" s="418"/>
      <c r="DX74" s="418"/>
      <c r="DY74" s="418"/>
      <c r="DZ74" s="418"/>
      <c r="EA74" s="418"/>
      <c r="EB74" s="418"/>
      <c r="EC74" s="418"/>
      <c r="ED74" s="418"/>
      <c r="EE74" s="418"/>
      <c r="EF74" s="418"/>
      <c r="EG74" s="418"/>
      <c r="EH74" s="418"/>
      <c r="EI74" s="418"/>
      <c r="EJ74" s="418"/>
      <c r="EK74" s="418"/>
      <c r="EL74" s="418"/>
      <c r="EM74" s="418"/>
      <c r="EN74" s="418"/>
      <c r="EO74" s="418"/>
      <c r="EP74" s="418"/>
      <c r="EQ74" s="418"/>
      <c r="ER74" s="418"/>
      <c r="ES74" s="418"/>
      <c r="ET74" s="418"/>
      <c r="EU74" s="418"/>
      <c r="EV74" s="418"/>
      <c r="EW74" s="418"/>
      <c r="EX74" s="418"/>
      <c r="EY74" s="418"/>
      <c r="EZ74" s="418"/>
      <c r="FA74" s="418"/>
      <c r="FB74" s="418"/>
      <c r="FC74" s="418"/>
      <c r="FD74" s="418"/>
      <c r="FE74" s="418"/>
      <c r="FF74" s="418"/>
      <c r="FG74" s="418"/>
      <c r="FH74" s="418"/>
      <c r="FI74" s="418"/>
      <c r="FJ74" s="418"/>
      <c r="FK74" s="418"/>
      <c r="FL74" s="418"/>
      <c r="FM74" s="418"/>
      <c r="FN74" s="418"/>
      <c r="FO74" s="418"/>
      <c r="FP74" s="418"/>
      <c r="FQ74" s="418"/>
      <c r="FR74" s="418"/>
      <c r="FS74" s="418"/>
      <c r="FT74" s="418"/>
      <c r="FU74" s="418"/>
      <c r="FV74" s="418"/>
      <c r="FW74" s="418"/>
      <c r="FX74" s="418"/>
      <c r="FY74" s="418"/>
      <c r="FZ74" s="418"/>
      <c r="GA74" s="418"/>
      <c r="GB74" s="418"/>
      <c r="GC74" s="418"/>
      <c r="GD74" s="418"/>
      <c r="GE74" s="418"/>
      <c r="GF74" s="418"/>
      <c r="GG74" s="418"/>
      <c r="GH74" s="418"/>
      <c r="GI74" s="418"/>
      <c r="GJ74" s="418"/>
      <c r="GK74" s="418"/>
      <c r="GL74" s="418"/>
      <c r="GM74" s="418"/>
      <c r="GN74" s="418"/>
      <c r="GO74" s="418"/>
      <c r="GP74" s="418"/>
      <c r="GQ74" s="418"/>
      <c r="GR74" s="418"/>
      <c r="GS74" s="418"/>
      <c r="GT74" s="418"/>
      <c r="GU74" s="418"/>
      <c r="GV74" s="418"/>
      <c r="GW74" s="418"/>
      <c r="GX74" s="418"/>
      <c r="GY74" s="418"/>
      <c r="GZ74" s="418"/>
      <c r="HA74" s="418"/>
      <c r="HB74" s="418"/>
      <c r="HC74" s="418"/>
      <c r="HD74" s="418"/>
      <c r="HE74" s="418"/>
      <c r="HF74" s="418"/>
      <c r="HG74" s="418"/>
      <c r="HH74" s="418"/>
      <c r="HI74" s="418"/>
      <c r="HJ74" s="418"/>
      <c r="HK74" s="418"/>
      <c r="HL74" s="418"/>
      <c r="HM74" s="418"/>
      <c r="HN74" s="418"/>
      <c r="HO74" s="418"/>
      <c r="HP74" s="418"/>
      <c r="HQ74" s="418"/>
      <c r="HR74" s="418"/>
      <c r="HS74" s="418"/>
      <c r="HT74" s="418"/>
      <c r="HU74" s="418"/>
      <c r="HV74" s="418"/>
      <c r="HW74" s="418"/>
      <c r="HX74" s="418"/>
      <c r="HY74" s="418"/>
      <c r="HZ74" s="418"/>
      <c r="IA74" s="418"/>
      <c r="IB74" s="418"/>
      <c r="IC74" s="418"/>
      <c r="ID74" s="418"/>
      <c r="IE74" s="418"/>
      <c r="IF74" s="418"/>
      <c r="IG74" s="418"/>
      <c r="IH74" s="418"/>
      <c r="II74" s="418"/>
      <c r="IJ74" s="418"/>
      <c r="IK74" s="418"/>
      <c r="IL74" s="418"/>
      <c r="IM74" s="418"/>
      <c r="IN74" s="418"/>
      <c r="IO74" s="418"/>
      <c r="IP74" s="418"/>
      <c r="IQ74" s="418"/>
      <c r="IR74" s="418"/>
      <c r="IS74" s="418"/>
      <c r="IT74" s="418"/>
      <c r="IU74" s="418"/>
      <c r="IV74" s="418"/>
      <c r="IW74" s="418"/>
      <c r="IX74" s="418"/>
      <c r="IY74" s="418"/>
      <c r="IZ74" s="418"/>
      <c r="JA74" s="418"/>
    </row>
    <row r="75" spans="1:261" s="758" customFormat="1" ht="18" customHeight="1" x14ac:dyDescent="0.35">
      <c r="A75" s="773">
        <v>65</v>
      </c>
      <c r="B75" s="766"/>
      <c r="C75" s="420"/>
      <c r="D75" s="1318" t="s">
        <v>947</v>
      </c>
      <c r="E75" s="430"/>
      <c r="F75" s="762"/>
      <c r="G75" s="431"/>
      <c r="H75" s="999"/>
      <c r="I75" s="995"/>
      <c r="J75" s="759"/>
      <c r="K75" s="759"/>
      <c r="L75" s="759"/>
      <c r="M75" s="759"/>
      <c r="N75" s="759"/>
      <c r="O75" s="1599">
        <f>SUM(I75:N75)</f>
        <v>0</v>
      </c>
      <c r="P75" s="763"/>
      <c r="Q75" s="418"/>
      <c r="R75" s="418"/>
      <c r="S75" s="418"/>
      <c r="T75" s="418"/>
      <c r="U75" s="418"/>
      <c r="V75" s="418"/>
      <c r="W75" s="418"/>
      <c r="X75" s="418"/>
      <c r="Y75" s="418"/>
      <c r="Z75" s="418"/>
      <c r="AA75" s="418"/>
      <c r="AB75" s="418"/>
      <c r="AC75" s="418"/>
      <c r="AD75" s="418"/>
      <c r="AE75" s="418"/>
      <c r="AF75" s="418"/>
      <c r="AG75" s="418"/>
      <c r="AH75" s="418"/>
      <c r="AI75" s="418"/>
      <c r="AJ75" s="418"/>
      <c r="AK75" s="418"/>
      <c r="AL75" s="418"/>
      <c r="AM75" s="418"/>
      <c r="AN75" s="418"/>
      <c r="AO75" s="418"/>
      <c r="AP75" s="418"/>
      <c r="AQ75" s="418"/>
      <c r="AR75" s="418"/>
      <c r="AS75" s="418"/>
      <c r="AT75" s="418"/>
      <c r="AU75" s="418"/>
      <c r="AV75" s="418"/>
      <c r="AW75" s="418"/>
      <c r="AX75" s="418"/>
      <c r="AY75" s="418"/>
      <c r="AZ75" s="418"/>
      <c r="BA75" s="418"/>
      <c r="BB75" s="418"/>
      <c r="BC75" s="418"/>
      <c r="BD75" s="418"/>
      <c r="BE75" s="418"/>
      <c r="BF75" s="418"/>
      <c r="BG75" s="418"/>
      <c r="BH75" s="418"/>
      <c r="BI75" s="418"/>
      <c r="BJ75" s="418"/>
      <c r="BK75" s="418"/>
      <c r="BL75" s="418"/>
      <c r="BM75" s="418"/>
      <c r="BN75" s="418"/>
      <c r="BO75" s="418"/>
      <c r="BP75" s="418"/>
      <c r="BQ75" s="418"/>
      <c r="BR75" s="418"/>
      <c r="BS75" s="418"/>
      <c r="BT75" s="418"/>
      <c r="BU75" s="418"/>
      <c r="BV75" s="418"/>
      <c r="BW75" s="418"/>
      <c r="BX75" s="418"/>
      <c r="BY75" s="418"/>
      <c r="BZ75" s="418"/>
      <c r="CA75" s="418"/>
      <c r="CB75" s="418"/>
      <c r="CC75" s="418"/>
      <c r="CD75" s="418"/>
      <c r="CE75" s="418"/>
      <c r="CF75" s="418"/>
      <c r="CG75" s="418"/>
      <c r="CH75" s="418"/>
      <c r="CI75" s="418"/>
      <c r="CJ75" s="418"/>
      <c r="CK75" s="418"/>
      <c r="CL75" s="418"/>
      <c r="CM75" s="418"/>
      <c r="CN75" s="418"/>
      <c r="CO75" s="418"/>
      <c r="CP75" s="418"/>
      <c r="CQ75" s="418"/>
      <c r="CR75" s="418"/>
      <c r="CS75" s="418"/>
      <c r="CT75" s="418"/>
      <c r="CU75" s="418"/>
      <c r="CV75" s="418"/>
      <c r="CW75" s="418"/>
      <c r="CX75" s="418"/>
      <c r="CY75" s="418"/>
      <c r="CZ75" s="418"/>
      <c r="DA75" s="418"/>
      <c r="DB75" s="418"/>
      <c r="DC75" s="418"/>
      <c r="DD75" s="418"/>
      <c r="DE75" s="418"/>
      <c r="DF75" s="418"/>
      <c r="DG75" s="418"/>
      <c r="DH75" s="418"/>
      <c r="DI75" s="418"/>
      <c r="DJ75" s="418"/>
      <c r="DK75" s="418"/>
      <c r="DL75" s="418"/>
      <c r="DM75" s="418"/>
      <c r="DN75" s="418"/>
      <c r="DO75" s="418"/>
      <c r="DP75" s="418"/>
      <c r="DQ75" s="418"/>
      <c r="DR75" s="418"/>
      <c r="DS75" s="418"/>
      <c r="DT75" s="418"/>
      <c r="DU75" s="418"/>
      <c r="DV75" s="418"/>
      <c r="DW75" s="418"/>
      <c r="DX75" s="418"/>
      <c r="DY75" s="418"/>
      <c r="DZ75" s="418"/>
      <c r="EA75" s="418"/>
      <c r="EB75" s="418"/>
      <c r="EC75" s="418"/>
      <c r="ED75" s="418"/>
      <c r="EE75" s="418"/>
      <c r="EF75" s="418"/>
      <c r="EG75" s="418"/>
      <c r="EH75" s="418"/>
      <c r="EI75" s="418"/>
      <c r="EJ75" s="418"/>
      <c r="EK75" s="418"/>
      <c r="EL75" s="418"/>
      <c r="EM75" s="418"/>
      <c r="EN75" s="418"/>
      <c r="EO75" s="418"/>
      <c r="EP75" s="418"/>
      <c r="EQ75" s="418"/>
      <c r="ER75" s="418"/>
      <c r="ES75" s="418"/>
      <c r="ET75" s="418"/>
      <c r="EU75" s="418"/>
      <c r="EV75" s="418"/>
      <c r="EW75" s="418"/>
      <c r="EX75" s="418"/>
      <c r="EY75" s="418"/>
      <c r="EZ75" s="418"/>
      <c r="FA75" s="418"/>
      <c r="FB75" s="418"/>
      <c r="FC75" s="418"/>
      <c r="FD75" s="418"/>
      <c r="FE75" s="418"/>
      <c r="FF75" s="418"/>
      <c r="FG75" s="418"/>
      <c r="FH75" s="418"/>
      <c r="FI75" s="418"/>
      <c r="FJ75" s="418"/>
      <c r="FK75" s="418"/>
      <c r="FL75" s="418"/>
      <c r="FM75" s="418"/>
      <c r="FN75" s="418"/>
      <c r="FO75" s="418"/>
      <c r="FP75" s="418"/>
      <c r="FQ75" s="418"/>
      <c r="FR75" s="418"/>
      <c r="FS75" s="418"/>
      <c r="FT75" s="418"/>
      <c r="FU75" s="418"/>
      <c r="FV75" s="418"/>
      <c r="FW75" s="418"/>
      <c r="FX75" s="418"/>
      <c r="FY75" s="418"/>
      <c r="FZ75" s="418"/>
      <c r="GA75" s="418"/>
      <c r="GB75" s="418"/>
      <c r="GC75" s="418"/>
      <c r="GD75" s="418"/>
      <c r="GE75" s="418"/>
      <c r="GF75" s="418"/>
      <c r="GG75" s="418"/>
      <c r="GH75" s="418"/>
      <c r="GI75" s="418"/>
      <c r="GJ75" s="418"/>
      <c r="GK75" s="418"/>
      <c r="GL75" s="418"/>
      <c r="GM75" s="418"/>
      <c r="GN75" s="418"/>
      <c r="GO75" s="418"/>
      <c r="GP75" s="418"/>
      <c r="GQ75" s="418"/>
      <c r="GR75" s="418"/>
      <c r="GS75" s="418"/>
      <c r="GT75" s="418"/>
      <c r="GU75" s="418"/>
      <c r="GV75" s="418"/>
      <c r="GW75" s="418"/>
      <c r="GX75" s="418"/>
      <c r="GY75" s="418"/>
      <c r="GZ75" s="418"/>
      <c r="HA75" s="418"/>
      <c r="HB75" s="418"/>
      <c r="HC75" s="418"/>
      <c r="HD75" s="418"/>
      <c r="HE75" s="418"/>
      <c r="HF75" s="418"/>
      <c r="HG75" s="418"/>
      <c r="HH75" s="418"/>
      <c r="HI75" s="418"/>
      <c r="HJ75" s="418"/>
      <c r="HK75" s="418"/>
      <c r="HL75" s="418"/>
      <c r="HM75" s="418"/>
      <c r="HN75" s="418"/>
      <c r="HO75" s="418"/>
      <c r="HP75" s="418"/>
      <c r="HQ75" s="418"/>
      <c r="HR75" s="418"/>
      <c r="HS75" s="418"/>
      <c r="HT75" s="418"/>
      <c r="HU75" s="418"/>
      <c r="HV75" s="418"/>
      <c r="HW75" s="418"/>
      <c r="HX75" s="418"/>
      <c r="HY75" s="418"/>
      <c r="HZ75" s="418"/>
      <c r="IA75" s="418"/>
      <c r="IB75" s="418"/>
      <c r="IC75" s="418"/>
      <c r="ID75" s="418"/>
      <c r="IE75" s="418"/>
      <c r="IF75" s="418"/>
      <c r="IG75" s="418"/>
      <c r="IH75" s="418"/>
      <c r="II75" s="418"/>
      <c r="IJ75" s="418"/>
      <c r="IK75" s="418"/>
      <c r="IL75" s="418"/>
      <c r="IM75" s="418"/>
      <c r="IN75" s="418"/>
      <c r="IO75" s="418"/>
      <c r="IP75" s="418"/>
      <c r="IQ75" s="418"/>
      <c r="IR75" s="418"/>
      <c r="IS75" s="418"/>
      <c r="IT75" s="418"/>
      <c r="IU75" s="418"/>
      <c r="IV75" s="418"/>
      <c r="IW75" s="418"/>
      <c r="IX75" s="418"/>
      <c r="IY75" s="418"/>
      <c r="IZ75" s="418"/>
      <c r="JA75" s="418"/>
    </row>
    <row r="76" spans="1:261" s="758" customFormat="1" ht="18" customHeight="1" x14ac:dyDescent="0.35">
      <c r="A76" s="773">
        <v>66</v>
      </c>
      <c r="B76" s="766"/>
      <c r="C76" s="420"/>
      <c r="D76" s="576" t="s">
        <v>1250</v>
      </c>
      <c r="E76" s="430"/>
      <c r="F76" s="762"/>
      <c r="G76" s="431"/>
      <c r="H76" s="999"/>
      <c r="I76" s="995"/>
      <c r="J76" s="759"/>
      <c r="K76" s="759">
        <f>SUM(K74:K75)</f>
        <v>9860</v>
      </c>
      <c r="L76" s="759"/>
      <c r="M76" s="759">
        <f t="shared" ref="M76" si="11">SUM(M74:M75)</f>
        <v>462287</v>
      </c>
      <c r="N76" s="759"/>
      <c r="O76" s="767">
        <f>SUM(I76:N76)</f>
        <v>472147</v>
      </c>
      <c r="P76" s="763"/>
      <c r="Q76" s="418"/>
      <c r="R76" s="418"/>
      <c r="S76" s="418"/>
      <c r="T76" s="418"/>
      <c r="U76" s="418"/>
      <c r="V76" s="418"/>
      <c r="W76" s="418"/>
      <c r="X76" s="418"/>
      <c r="Y76" s="418"/>
      <c r="Z76" s="418"/>
      <c r="AA76" s="418"/>
      <c r="AB76" s="418"/>
      <c r="AC76" s="418"/>
      <c r="AD76" s="418"/>
      <c r="AE76" s="418"/>
      <c r="AF76" s="418"/>
      <c r="AG76" s="418"/>
      <c r="AH76" s="418"/>
      <c r="AI76" s="418"/>
      <c r="AJ76" s="418"/>
      <c r="AK76" s="418"/>
      <c r="AL76" s="418"/>
      <c r="AM76" s="418"/>
      <c r="AN76" s="418"/>
      <c r="AO76" s="418"/>
      <c r="AP76" s="418"/>
      <c r="AQ76" s="418"/>
      <c r="AR76" s="418"/>
      <c r="AS76" s="418"/>
      <c r="AT76" s="418"/>
      <c r="AU76" s="418"/>
      <c r="AV76" s="418"/>
      <c r="AW76" s="418"/>
      <c r="AX76" s="418"/>
      <c r="AY76" s="418"/>
      <c r="AZ76" s="418"/>
      <c r="BA76" s="418"/>
      <c r="BB76" s="418"/>
      <c r="BC76" s="418"/>
      <c r="BD76" s="418"/>
      <c r="BE76" s="418"/>
      <c r="BF76" s="418"/>
      <c r="BG76" s="418"/>
      <c r="BH76" s="418"/>
      <c r="BI76" s="418"/>
      <c r="BJ76" s="418"/>
      <c r="BK76" s="418"/>
      <c r="BL76" s="418"/>
      <c r="BM76" s="418"/>
      <c r="BN76" s="418"/>
      <c r="BO76" s="418"/>
      <c r="BP76" s="418"/>
      <c r="BQ76" s="418"/>
      <c r="BR76" s="418"/>
      <c r="BS76" s="418"/>
      <c r="BT76" s="418"/>
      <c r="BU76" s="418"/>
      <c r="BV76" s="418"/>
      <c r="BW76" s="418"/>
      <c r="BX76" s="418"/>
      <c r="BY76" s="418"/>
      <c r="BZ76" s="418"/>
      <c r="CA76" s="418"/>
      <c r="CB76" s="418"/>
      <c r="CC76" s="418"/>
      <c r="CD76" s="418"/>
      <c r="CE76" s="418"/>
      <c r="CF76" s="418"/>
      <c r="CG76" s="418"/>
      <c r="CH76" s="418"/>
      <c r="CI76" s="418"/>
      <c r="CJ76" s="418"/>
      <c r="CK76" s="418"/>
      <c r="CL76" s="418"/>
      <c r="CM76" s="418"/>
      <c r="CN76" s="418"/>
      <c r="CO76" s="418"/>
      <c r="CP76" s="418"/>
      <c r="CQ76" s="418"/>
      <c r="CR76" s="418"/>
      <c r="CS76" s="418"/>
      <c r="CT76" s="418"/>
      <c r="CU76" s="418"/>
      <c r="CV76" s="418"/>
      <c r="CW76" s="418"/>
      <c r="CX76" s="418"/>
      <c r="CY76" s="418"/>
      <c r="CZ76" s="418"/>
      <c r="DA76" s="418"/>
      <c r="DB76" s="418"/>
      <c r="DC76" s="418"/>
      <c r="DD76" s="418"/>
      <c r="DE76" s="418"/>
      <c r="DF76" s="418"/>
      <c r="DG76" s="418"/>
      <c r="DH76" s="418"/>
      <c r="DI76" s="418"/>
      <c r="DJ76" s="418"/>
      <c r="DK76" s="418"/>
      <c r="DL76" s="418"/>
      <c r="DM76" s="418"/>
      <c r="DN76" s="418"/>
      <c r="DO76" s="418"/>
      <c r="DP76" s="418"/>
      <c r="DQ76" s="418"/>
      <c r="DR76" s="418"/>
      <c r="DS76" s="418"/>
      <c r="DT76" s="418"/>
      <c r="DU76" s="418"/>
      <c r="DV76" s="418"/>
      <c r="DW76" s="418"/>
      <c r="DX76" s="418"/>
      <c r="DY76" s="418"/>
      <c r="DZ76" s="418"/>
      <c r="EA76" s="418"/>
      <c r="EB76" s="418"/>
      <c r="EC76" s="418"/>
      <c r="ED76" s="418"/>
      <c r="EE76" s="418"/>
      <c r="EF76" s="418"/>
      <c r="EG76" s="418"/>
      <c r="EH76" s="418"/>
      <c r="EI76" s="418"/>
      <c r="EJ76" s="418"/>
      <c r="EK76" s="418"/>
      <c r="EL76" s="418"/>
      <c r="EM76" s="418"/>
      <c r="EN76" s="418"/>
      <c r="EO76" s="418"/>
      <c r="EP76" s="418"/>
      <c r="EQ76" s="418"/>
      <c r="ER76" s="418"/>
      <c r="ES76" s="418"/>
      <c r="ET76" s="418"/>
      <c r="EU76" s="418"/>
      <c r="EV76" s="418"/>
      <c r="EW76" s="418"/>
      <c r="EX76" s="418"/>
      <c r="EY76" s="418"/>
      <c r="EZ76" s="418"/>
      <c r="FA76" s="418"/>
      <c r="FB76" s="418"/>
      <c r="FC76" s="418"/>
      <c r="FD76" s="418"/>
      <c r="FE76" s="418"/>
      <c r="FF76" s="418"/>
      <c r="FG76" s="418"/>
      <c r="FH76" s="418"/>
      <c r="FI76" s="418"/>
      <c r="FJ76" s="418"/>
      <c r="FK76" s="418"/>
      <c r="FL76" s="418"/>
      <c r="FM76" s="418"/>
      <c r="FN76" s="418"/>
      <c r="FO76" s="418"/>
      <c r="FP76" s="418"/>
      <c r="FQ76" s="418"/>
      <c r="FR76" s="418"/>
      <c r="FS76" s="418"/>
      <c r="FT76" s="418"/>
      <c r="FU76" s="418"/>
      <c r="FV76" s="418"/>
      <c r="FW76" s="418"/>
      <c r="FX76" s="418"/>
      <c r="FY76" s="418"/>
      <c r="FZ76" s="418"/>
      <c r="GA76" s="418"/>
      <c r="GB76" s="418"/>
      <c r="GC76" s="418"/>
      <c r="GD76" s="418"/>
      <c r="GE76" s="418"/>
      <c r="GF76" s="418"/>
      <c r="GG76" s="418"/>
      <c r="GH76" s="418"/>
      <c r="GI76" s="418"/>
      <c r="GJ76" s="418"/>
      <c r="GK76" s="418"/>
      <c r="GL76" s="418"/>
      <c r="GM76" s="418"/>
      <c r="GN76" s="418"/>
      <c r="GO76" s="418"/>
      <c r="GP76" s="418"/>
      <c r="GQ76" s="418"/>
      <c r="GR76" s="418"/>
      <c r="GS76" s="418"/>
      <c r="GT76" s="418"/>
      <c r="GU76" s="418"/>
      <c r="GV76" s="418"/>
      <c r="GW76" s="418"/>
      <c r="GX76" s="418"/>
      <c r="GY76" s="418"/>
      <c r="GZ76" s="418"/>
      <c r="HA76" s="418"/>
      <c r="HB76" s="418"/>
      <c r="HC76" s="418"/>
      <c r="HD76" s="418"/>
      <c r="HE76" s="418"/>
      <c r="HF76" s="418"/>
      <c r="HG76" s="418"/>
      <c r="HH76" s="418"/>
      <c r="HI76" s="418"/>
      <c r="HJ76" s="418"/>
      <c r="HK76" s="418"/>
      <c r="HL76" s="418"/>
      <c r="HM76" s="418"/>
      <c r="HN76" s="418"/>
      <c r="HO76" s="418"/>
      <c r="HP76" s="418"/>
      <c r="HQ76" s="418"/>
      <c r="HR76" s="418"/>
      <c r="HS76" s="418"/>
      <c r="HT76" s="418"/>
      <c r="HU76" s="418"/>
      <c r="HV76" s="418"/>
      <c r="HW76" s="418"/>
      <c r="HX76" s="418"/>
      <c r="HY76" s="418"/>
      <c r="HZ76" s="418"/>
      <c r="IA76" s="418"/>
      <c r="IB76" s="418"/>
      <c r="IC76" s="418"/>
      <c r="ID76" s="418"/>
      <c r="IE76" s="418"/>
      <c r="IF76" s="418"/>
      <c r="IG76" s="418"/>
      <c r="IH76" s="418"/>
      <c r="II76" s="418"/>
      <c r="IJ76" s="418"/>
      <c r="IK76" s="418"/>
      <c r="IL76" s="418"/>
      <c r="IM76" s="418"/>
      <c r="IN76" s="418"/>
      <c r="IO76" s="418"/>
      <c r="IP76" s="418"/>
      <c r="IQ76" s="418"/>
      <c r="IR76" s="418"/>
      <c r="IS76" s="418"/>
      <c r="IT76" s="418"/>
      <c r="IU76" s="418"/>
      <c r="IV76" s="418"/>
      <c r="IW76" s="418"/>
      <c r="IX76" s="418"/>
      <c r="IY76" s="418"/>
      <c r="IZ76" s="418"/>
      <c r="JA76" s="418"/>
    </row>
    <row r="77" spans="1:261" s="758" customFormat="1" ht="49.5" x14ac:dyDescent="0.35">
      <c r="A77" s="773">
        <v>67</v>
      </c>
      <c r="B77" s="766"/>
      <c r="C77" s="420">
        <v>14</v>
      </c>
      <c r="D77" s="422" t="s">
        <v>457</v>
      </c>
      <c r="E77" s="430"/>
      <c r="F77" s="762"/>
      <c r="G77" s="431"/>
      <c r="H77" s="1025" t="s">
        <v>24</v>
      </c>
      <c r="I77" s="1017"/>
      <c r="J77" s="1013"/>
      <c r="K77" s="1013"/>
      <c r="L77" s="1013"/>
      <c r="M77" s="1013"/>
      <c r="N77" s="1013"/>
      <c r="O77" s="982"/>
      <c r="P77" s="763"/>
      <c r="Q77" s="418"/>
      <c r="R77" s="418"/>
      <c r="S77" s="418"/>
      <c r="T77" s="418"/>
      <c r="U77" s="418"/>
      <c r="V77" s="418"/>
      <c r="W77" s="418"/>
      <c r="X77" s="418"/>
      <c r="Y77" s="418"/>
      <c r="Z77" s="418"/>
      <c r="AA77" s="418"/>
      <c r="AB77" s="418"/>
      <c r="AC77" s="418"/>
      <c r="AD77" s="418"/>
      <c r="AE77" s="418"/>
      <c r="AF77" s="418"/>
      <c r="AG77" s="418"/>
      <c r="AH77" s="418"/>
      <c r="AI77" s="418"/>
      <c r="AJ77" s="418"/>
      <c r="AK77" s="418"/>
      <c r="AL77" s="418"/>
      <c r="AM77" s="418"/>
      <c r="AN77" s="418"/>
      <c r="AO77" s="418"/>
      <c r="AP77" s="418"/>
      <c r="AQ77" s="418"/>
      <c r="AR77" s="418"/>
      <c r="AS77" s="418"/>
      <c r="AT77" s="418"/>
      <c r="AU77" s="418"/>
      <c r="AV77" s="418"/>
      <c r="AW77" s="418"/>
      <c r="AX77" s="418"/>
      <c r="AY77" s="418"/>
      <c r="AZ77" s="418"/>
      <c r="BA77" s="418"/>
      <c r="BB77" s="418"/>
      <c r="BC77" s="418"/>
      <c r="BD77" s="418"/>
      <c r="BE77" s="418"/>
      <c r="BF77" s="418"/>
      <c r="BG77" s="418"/>
      <c r="BH77" s="418"/>
      <c r="BI77" s="418"/>
      <c r="BJ77" s="418"/>
      <c r="BK77" s="418"/>
      <c r="BL77" s="418"/>
      <c r="BM77" s="418"/>
      <c r="BN77" s="418"/>
      <c r="BO77" s="418"/>
      <c r="BP77" s="418"/>
      <c r="BQ77" s="418"/>
      <c r="BR77" s="418"/>
      <c r="BS77" s="418"/>
      <c r="BT77" s="418"/>
      <c r="BU77" s="418"/>
      <c r="BV77" s="418"/>
      <c r="BW77" s="418"/>
      <c r="BX77" s="418"/>
      <c r="BY77" s="418"/>
      <c r="BZ77" s="418"/>
      <c r="CA77" s="418"/>
      <c r="CB77" s="418"/>
      <c r="CC77" s="418"/>
      <c r="CD77" s="418"/>
      <c r="CE77" s="418"/>
      <c r="CF77" s="418"/>
      <c r="CG77" s="418"/>
      <c r="CH77" s="418"/>
      <c r="CI77" s="418"/>
      <c r="CJ77" s="418"/>
      <c r="CK77" s="418"/>
      <c r="CL77" s="418"/>
      <c r="CM77" s="418"/>
      <c r="CN77" s="418"/>
      <c r="CO77" s="418"/>
      <c r="CP77" s="418"/>
      <c r="CQ77" s="418"/>
      <c r="CR77" s="418"/>
      <c r="CS77" s="418"/>
      <c r="CT77" s="418"/>
      <c r="CU77" s="418"/>
      <c r="CV77" s="418"/>
      <c r="CW77" s="418"/>
      <c r="CX77" s="418"/>
      <c r="CY77" s="418"/>
      <c r="CZ77" s="418"/>
      <c r="DA77" s="418"/>
      <c r="DB77" s="418"/>
      <c r="DC77" s="418"/>
      <c r="DD77" s="418"/>
      <c r="DE77" s="418"/>
      <c r="DF77" s="418"/>
      <c r="DG77" s="418"/>
      <c r="DH77" s="418"/>
      <c r="DI77" s="418"/>
      <c r="DJ77" s="418"/>
      <c r="DK77" s="418"/>
      <c r="DL77" s="418"/>
      <c r="DM77" s="418"/>
      <c r="DN77" s="418"/>
      <c r="DO77" s="418"/>
      <c r="DP77" s="418"/>
      <c r="DQ77" s="418"/>
      <c r="DR77" s="418"/>
      <c r="DS77" s="418"/>
      <c r="DT77" s="418"/>
      <c r="DU77" s="418"/>
      <c r="DV77" s="418"/>
      <c r="DW77" s="418"/>
      <c r="DX77" s="418"/>
      <c r="DY77" s="418"/>
      <c r="DZ77" s="418"/>
      <c r="EA77" s="418"/>
      <c r="EB77" s="418"/>
      <c r="EC77" s="418"/>
      <c r="ED77" s="418"/>
      <c r="EE77" s="418"/>
      <c r="EF77" s="418"/>
      <c r="EG77" s="418"/>
      <c r="EH77" s="418"/>
      <c r="EI77" s="418"/>
      <c r="EJ77" s="418"/>
      <c r="EK77" s="418"/>
      <c r="EL77" s="418"/>
      <c r="EM77" s="418"/>
      <c r="EN77" s="418"/>
      <c r="EO77" s="418"/>
      <c r="EP77" s="418"/>
      <c r="EQ77" s="418"/>
      <c r="ER77" s="418"/>
      <c r="ES77" s="418"/>
      <c r="ET77" s="418"/>
      <c r="EU77" s="418"/>
      <c r="EV77" s="418"/>
      <c r="EW77" s="418"/>
      <c r="EX77" s="418"/>
      <c r="EY77" s="418"/>
      <c r="EZ77" s="418"/>
      <c r="FA77" s="418"/>
      <c r="FB77" s="418"/>
      <c r="FC77" s="418"/>
      <c r="FD77" s="418"/>
      <c r="FE77" s="418"/>
      <c r="FF77" s="418"/>
      <c r="FG77" s="418"/>
      <c r="FH77" s="418"/>
      <c r="FI77" s="418"/>
      <c r="FJ77" s="418"/>
      <c r="FK77" s="418"/>
      <c r="FL77" s="418"/>
      <c r="FM77" s="418"/>
      <c r="FN77" s="418"/>
      <c r="FO77" s="418"/>
      <c r="FP77" s="418"/>
      <c r="FQ77" s="418"/>
      <c r="FR77" s="418"/>
      <c r="FS77" s="418"/>
      <c r="FT77" s="418"/>
      <c r="FU77" s="418"/>
      <c r="FV77" s="418"/>
      <c r="FW77" s="418"/>
      <c r="FX77" s="418"/>
      <c r="FY77" s="418"/>
      <c r="FZ77" s="418"/>
      <c r="GA77" s="418"/>
      <c r="GB77" s="418"/>
      <c r="GC77" s="418"/>
      <c r="GD77" s="418"/>
      <c r="GE77" s="418"/>
      <c r="GF77" s="418"/>
      <c r="GG77" s="418"/>
      <c r="GH77" s="418"/>
      <c r="GI77" s="418"/>
      <c r="GJ77" s="418"/>
      <c r="GK77" s="418"/>
      <c r="GL77" s="418"/>
      <c r="GM77" s="418"/>
      <c r="GN77" s="418"/>
      <c r="GO77" s="418"/>
      <c r="GP77" s="418"/>
      <c r="GQ77" s="418"/>
      <c r="GR77" s="418"/>
      <c r="GS77" s="418"/>
      <c r="GT77" s="418"/>
      <c r="GU77" s="418"/>
      <c r="GV77" s="418"/>
      <c r="GW77" s="418"/>
      <c r="GX77" s="418"/>
      <c r="GY77" s="418"/>
      <c r="GZ77" s="418"/>
      <c r="HA77" s="418"/>
      <c r="HB77" s="418"/>
      <c r="HC77" s="418"/>
      <c r="HD77" s="418"/>
      <c r="HE77" s="418"/>
      <c r="HF77" s="418"/>
      <c r="HG77" s="418"/>
      <c r="HH77" s="418"/>
      <c r="HI77" s="418"/>
      <c r="HJ77" s="418"/>
      <c r="HK77" s="418"/>
      <c r="HL77" s="418"/>
      <c r="HM77" s="418"/>
      <c r="HN77" s="418"/>
      <c r="HO77" s="418"/>
      <c r="HP77" s="418"/>
      <c r="HQ77" s="418"/>
      <c r="HR77" s="418"/>
      <c r="HS77" s="418"/>
      <c r="HT77" s="418"/>
      <c r="HU77" s="418"/>
      <c r="HV77" s="418"/>
      <c r="HW77" s="418"/>
      <c r="HX77" s="418"/>
      <c r="HY77" s="418"/>
      <c r="HZ77" s="418"/>
      <c r="IA77" s="418"/>
      <c r="IB77" s="418"/>
      <c r="IC77" s="418"/>
      <c r="ID77" s="418"/>
      <c r="IE77" s="418"/>
      <c r="IF77" s="418"/>
      <c r="IG77" s="418"/>
      <c r="IH77" s="418"/>
      <c r="II77" s="418"/>
      <c r="IJ77" s="418"/>
      <c r="IK77" s="418"/>
      <c r="IL77" s="418"/>
      <c r="IM77" s="418"/>
      <c r="IN77" s="418"/>
      <c r="IO77" s="418"/>
      <c r="IP77" s="418"/>
      <c r="IQ77" s="418"/>
      <c r="IR77" s="418"/>
      <c r="IS77" s="418"/>
      <c r="IT77" s="418"/>
      <c r="IU77" s="418"/>
      <c r="IV77" s="418"/>
      <c r="IW77" s="418"/>
      <c r="IX77" s="418"/>
      <c r="IY77" s="418"/>
      <c r="IZ77" s="418"/>
      <c r="JA77" s="418"/>
    </row>
    <row r="78" spans="1:261" s="758" customFormat="1" ht="18" customHeight="1" x14ac:dyDescent="0.35">
      <c r="A78" s="773">
        <v>68</v>
      </c>
      <c r="B78" s="766"/>
      <c r="C78" s="420"/>
      <c r="D78" s="992" t="s">
        <v>308</v>
      </c>
      <c r="E78" s="430">
        <f>F78+G78+O81+P81</f>
        <v>1147594</v>
      </c>
      <c r="F78" s="762">
        <f>25062+32060+393153</f>
        <v>450275</v>
      </c>
      <c r="G78" s="431">
        <f>682686+5740+11</f>
        <v>688437</v>
      </c>
      <c r="H78" s="999"/>
      <c r="I78" s="1017"/>
      <c r="J78" s="1013"/>
      <c r="K78" s="1013">
        <v>8968</v>
      </c>
      <c r="L78" s="1013"/>
      <c r="M78" s="1013"/>
      <c r="N78" s="1013"/>
      <c r="O78" s="982">
        <f>SUM(I78:N78)</f>
        <v>8968</v>
      </c>
      <c r="P78" s="763"/>
      <c r="Q78" s="418"/>
      <c r="R78" s="418"/>
      <c r="S78" s="418"/>
      <c r="T78" s="418"/>
      <c r="U78" s="418"/>
      <c r="V78" s="418"/>
      <c r="W78" s="418"/>
      <c r="X78" s="418"/>
      <c r="Y78" s="418"/>
      <c r="Z78" s="418"/>
      <c r="AA78" s="418"/>
      <c r="AB78" s="418"/>
      <c r="AC78" s="418"/>
      <c r="AD78" s="418"/>
      <c r="AE78" s="418"/>
      <c r="AF78" s="418"/>
      <c r="AG78" s="418"/>
      <c r="AH78" s="418"/>
      <c r="AI78" s="418"/>
      <c r="AJ78" s="418"/>
      <c r="AK78" s="418"/>
      <c r="AL78" s="418"/>
      <c r="AM78" s="418"/>
      <c r="AN78" s="418"/>
      <c r="AO78" s="418"/>
      <c r="AP78" s="418"/>
      <c r="AQ78" s="418"/>
      <c r="AR78" s="418"/>
      <c r="AS78" s="418"/>
      <c r="AT78" s="418"/>
      <c r="AU78" s="418"/>
      <c r="AV78" s="418"/>
      <c r="AW78" s="418"/>
      <c r="AX78" s="418"/>
      <c r="AY78" s="418"/>
      <c r="AZ78" s="418"/>
      <c r="BA78" s="418"/>
      <c r="BB78" s="418"/>
      <c r="BC78" s="418"/>
      <c r="BD78" s="418"/>
      <c r="BE78" s="418"/>
      <c r="BF78" s="418"/>
      <c r="BG78" s="418"/>
      <c r="BH78" s="418"/>
      <c r="BI78" s="418"/>
      <c r="BJ78" s="418"/>
      <c r="BK78" s="418"/>
      <c r="BL78" s="418"/>
      <c r="BM78" s="418"/>
      <c r="BN78" s="418"/>
      <c r="BO78" s="418"/>
      <c r="BP78" s="418"/>
      <c r="BQ78" s="418"/>
      <c r="BR78" s="418"/>
      <c r="BS78" s="418"/>
      <c r="BT78" s="418"/>
      <c r="BU78" s="418"/>
      <c r="BV78" s="418"/>
      <c r="BW78" s="418"/>
      <c r="BX78" s="418"/>
      <c r="BY78" s="418"/>
      <c r="BZ78" s="418"/>
      <c r="CA78" s="418"/>
      <c r="CB78" s="418"/>
      <c r="CC78" s="418"/>
      <c r="CD78" s="418"/>
      <c r="CE78" s="418"/>
      <c r="CF78" s="418"/>
      <c r="CG78" s="418"/>
      <c r="CH78" s="418"/>
      <c r="CI78" s="418"/>
      <c r="CJ78" s="418"/>
      <c r="CK78" s="418"/>
      <c r="CL78" s="418"/>
      <c r="CM78" s="418"/>
      <c r="CN78" s="418"/>
      <c r="CO78" s="418"/>
      <c r="CP78" s="418"/>
      <c r="CQ78" s="418"/>
      <c r="CR78" s="418"/>
      <c r="CS78" s="418"/>
      <c r="CT78" s="418"/>
      <c r="CU78" s="418"/>
      <c r="CV78" s="418"/>
      <c r="CW78" s="418"/>
      <c r="CX78" s="418"/>
      <c r="CY78" s="418"/>
      <c r="CZ78" s="418"/>
      <c r="DA78" s="418"/>
      <c r="DB78" s="418"/>
      <c r="DC78" s="418"/>
      <c r="DD78" s="418"/>
      <c r="DE78" s="418"/>
      <c r="DF78" s="418"/>
      <c r="DG78" s="418"/>
      <c r="DH78" s="418"/>
      <c r="DI78" s="418"/>
      <c r="DJ78" s="418"/>
      <c r="DK78" s="418"/>
      <c r="DL78" s="418"/>
      <c r="DM78" s="418"/>
      <c r="DN78" s="418"/>
      <c r="DO78" s="418"/>
      <c r="DP78" s="418"/>
      <c r="DQ78" s="418"/>
      <c r="DR78" s="418"/>
      <c r="DS78" s="418"/>
      <c r="DT78" s="418"/>
      <c r="DU78" s="418"/>
      <c r="DV78" s="418"/>
      <c r="DW78" s="418"/>
      <c r="DX78" s="418"/>
      <c r="DY78" s="418"/>
      <c r="DZ78" s="418"/>
      <c r="EA78" s="418"/>
      <c r="EB78" s="418"/>
      <c r="EC78" s="418"/>
      <c r="ED78" s="418"/>
      <c r="EE78" s="418"/>
      <c r="EF78" s="418"/>
      <c r="EG78" s="418"/>
      <c r="EH78" s="418"/>
      <c r="EI78" s="418"/>
      <c r="EJ78" s="418"/>
      <c r="EK78" s="418"/>
      <c r="EL78" s="418"/>
      <c r="EM78" s="418"/>
      <c r="EN78" s="418"/>
      <c r="EO78" s="418"/>
      <c r="EP78" s="418"/>
      <c r="EQ78" s="418"/>
      <c r="ER78" s="418"/>
      <c r="ES78" s="418"/>
      <c r="ET78" s="418"/>
      <c r="EU78" s="418"/>
      <c r="EV78" s="418"/>
      <c r="EW78" s="418"/>
      <c r="EX78" s="418"/>
      <c r="EY78" s="418"/>
      <c r="EZ78" s="418"/>
      <c r="FA78" s="418"/>
      <c r="FB78" s="418"/>
      <c r="FC78" s="418"/>
      <c r="FD78" s="418"/>
      <c r="FE78" s="418"/>
      <c r="FF78" s="418"/>
      <c r="FG78" s="418"/>
      <c r="FH78" s="418"/>
      <c r="FI78" s="418"/>
      <c r="FJ78" s="418"/>
      <c r="FK78" s="418"/>
      <c r="FL78" s="418"/>
      <c r="FM78" s="418"/>
      <c r="FN78" s="418"/>
      <c r="FO78" s="418"/>
      <c r="FP78" s="418"/>
      <c r="FQ78" s="418"/>
      <c r="FR78" s="418"/>
      <c r="FS78" s="418"/>
      <c r="FT78" s="418"/>
      <c r="FU78" s="418"/>
      <c r="FV78" s="418"/>
      <c r="FW78" s="418"/>
      <c r="FX78" s="418"/>
      <c r="FY78" s="418"/>
      <c r="FZ78" s="418"/>
      <c r="GA78" s="418"/>
      <c r="GB78" s="418"/>
      <c r="GC78" s="418"/>
      <c r="GD78" s="418"/>
      <c r="GE78" s="418"/>
      <c r="GF78" s="418"/>
      <c r="GG78" s="418"/>
      <c r="GH78" s="418"/>
      <c r="GI78" s="418"/>
      <c r="GJ78" s="418"/>
      <c r="GK78" s="418"/>
      <c r="GL78" s="418"/>
      <c r="GM78" s="418"/>
      <c r="GN78" s="418"/>
      <c r="GO78" s="418"/>
      <c r="GP78" s="418"/>
      <c r="GQ78" s="418"/>
      <c r="GR78" s="418"/>
      <c r="GS78" s="418"/>
      <c r="GT78" s="418"/>
      <c r="GU78" s="418"/>
      <c r="GV78" s="418"/>
      <c r="GW78" s="418"/>
      <c r="GX78" s="418"/>
      <c r="GY78" s="418"/>
      <c r="GZ78" s="418"/>
      <c r="HA78" s="418"/>
      <c r="HB78" s="418"/>
      <c r="HC78" s="418"/>
      <c r="HD78" s="418"/>
      <c r="HE78" s="418"/>
      <c r="HF78" s="418"/>
      <c r="HG78" s="418"/>
      <c r="HH78" s="418"/>
      <c r="HI78" s="418"/>
      <c r="HJ78" s="418"/>
      <c r="HK78" s="418"/>
      <c r="HL78" s="418"/>
      <c r="HM78" s="418"/>
      <c r="HN78" s="418"/>
      <c r="HO78" s="418"/>
      <c r="HP78" s="418"/>
      <c r="HQ78" s="418"/>
      <c r="HR78" s="418"/>
      <c r="HS78" s="418"/>
      <c r="HT78" s="418"/>
      <c r="HU78" s="418"/>
      <c r="HV78" s="418"/>
      <c r="HW78" s="418"/>
      <c r="HX78" s="418"/>
      <c r="HY78" s="418"/>
      <c r="HZ78" s="418"/>
      <c r="IA78" s="418"/>
      <c r="IB78" s="418"/>
      <c r="IC78" s="418"/>
      <c r="ID78" s="418"/>
      <c r="IE78" s="418"/>
      <c r="IF78" s="418"/>
      <c r="IG78" s="418"/>
      <c r="IH78" s="418"/>
      <c r="II78" s="418"/>
      <c r="IJ78" s="418"/>
      <c r="IK78" s="418"/>
      <c r="IL78" s="418"/>
      <c r="IM78" s="418"/>
      <c r="IN78" s="418"/>
      <c r="IO78" s="418"/>
      <c r="IP78" s="418"/>
      <c r="IQ78" s="418"/>
      <c r="IR78" s="418"/>
      <c r="IS78" s="418"/>
      <c r="IT78" s="418"/>
      <c r="IU78" s="418"/>
      <c r="IV78" s="418"/>
      <c r="IW78" s="418"/>
      <c r="IX78" s="418"/>
      <c r="IY78" s="418"/>
      <c r="IZ78" s="418"/>
      <c r="JA78" s="418"/>
    </row>
    <row r="79" spans="1:261" s="758" customFormat="1" ht="18" customHeight="1" x14ac:dyDescent="0.35">
      <c r="A79" s="773">
        <v>69</v>
      </c>
      <c r="B79" s="766"/>
      <c r="C79" s="420"/>
      <c r="D79" s="576" t="s">
        <v>1158</v>
      </c>
      <c r="E79" s="430"/>
      <c r="F79" s="762"/>
      <c r="G79" s="431"/>
      <c r="H79" s="999"/>
      <c r="I79" s="1017"/>
      <c r="J79" s="1013"/>
      <c r="K79" s="759">
        <v>8882</v>
      </c>
      <c r="L79" s="1013"/>
      <c r="M79" s="1013"/>
      <c r="N79" s="1013"/>
      <c r="O79" s="767">
        <f>SUM(I79:N79)</f>
        <v>8882</v>
      </c>
      <c r="P79" s="763"/>
      <c r="Q79" s="418"/>
      <c r="R79" s="418"/>
      <c r="S79" s="418"/>
      <c r="T79" s="418"/>
      <c r="U79" s="418"/>
      <c r="V79" s="418"/>
      <c r="W79" s="418"/>
      <c r="X79" s="418"/>
      <c r="Y79" s="418"/>
      <c r="Z79" s="418"/>
      <c r="AA79" s="418"/>
      <c r="AB79" s="418"/>
      <c r="AC79" s="418"/>
      <c r="AD79" s="418"/>
      <c r="AE79" s="418"/>
      <c r="AF79" s="418"/>
      <c r="AG79" s="418"/>
      <c r="AH79" s="418"/>
      <c r="AI79" s="418"/>
      <c r="AJ79" s="418"/>
      <c r="AK79" s="418"/>
      <c r="AL79" s="418"/>
      <c r="AM79" s="418"/>
      <c r="AN79" s="418"/>
      <c r="AO79" s="418"/>
      <c r="AP79" s="418"/>
      <c r="AQ79" s="418"/>
      <c r="AR79" s="418"/>
      <c r="AS79" s="418"/>
      <c r="AT79" s="418"/>
      <c r="AU79" s="418"/>
      <c r="AV79" s="418"/>
      <c r="AW79" s="418"/>
      <c r="AX79" s="418"/>
      <c r="AY79" s="418"/>
      <c r="AZ79" s="418"/>
      <c r="BA79" s="418"/>
      <c r="BB79" s="418"/>
      <c r="BC79" s="418"/>
      <c r="BD79" s="418"/>
      <c r="BE79" s="418"/>
      <c r="BF79" s="418"/>
      <c r="BG79" s="418"/>
      <c r="BH79" s="418"/>
      <c r="BI79" s="418"/>
      <c r="BJ79" s="418"/>
      <c r="BK79" s="418"/>
      <c r="BL79" s="418"/>
      <c r="BM79" s="418"/>
      <c r="BN79" s="418"/>
      <c r="BO79" s="418"/>
      <c r="BP79" s="418"/>
      <c r="BQ79" s="418"/>
      <c r="BR79" s="418"/>
      <c r="BS79" s="418"/>
      <c r="BT79" s="418"/>
      <c r="BU79" s="418"/>
      <c r="BV79" s="418"/>
      <c r="BW79" s="418"/>
      <c r="BX79" s="418"/>
      <c r="BY79" s="418"/>
      <c r="BZ79" s="418"/>
      <c r="CA79" s="418"/>
      <c r="CB79" s="418"/>
      <c r="CC79" s="418"/>
      <c r="CD79" s="418"/>
      <c r="CE79" s="418"/>
      <c r="CF79" s="418"/>
      <c r="CG79" s="418"/>
      <c r="CH79" s="418"/>
      <c r="CI79" s="418"/>
      <c r="CJ79" s="418"/>
      <c r="CK79" s="418"/>
      <c r="CL79" s="418"/>
      <c r="CM79" s="418"/>
      <c r="CN79" s="418"/>
      <c r="CO79" s="418"/>
      <c r="CP79" s="418"/>
      <c r="CQ79" s="418"/>
      <c r="CR79" s="418"/>
      <c r="CS79" s="418"/>
      <c r="CT79" s="418"/>
      <c r="CU79" s="418"/>
      <c r="CV79" s="418"/>
      <c r="CW79" s="418"/>
      <c r="CX79" s="418"/>
      <c r="CY79" s="418"/>
      <c r="CZ79" s="418"/>
      <c r="DA79" s="418"/>
      <c r="DB79" s="418"/>
      <c r="DC79" s="418"/>
      <c r="DD79" s="418"/>
      <c r="DE79" s="418"/>
      <c r="DF79" s="418"/>
      <c r="DG79" s="418"/>
      <c r="DH79" s="418"/>
      <c r="DI79" s="418"/>
      <c r="DJ79" s="418"/>
      <c r="DK79" s="418"/>
      <c r="DL79" s="418"/>
      <c r="DM79" s="418"/>
      <c r="DN79" s="418"/>
      <c r="DO79" s="418"/>
      <c r="DP79" s="418"/>
      <c r="DQ79" s="418"/>
      <c r="DR79" s="418"/>
      <c r="DS79" s="418"/>
      <c r="DT79" s="418"/>
      <c r="DU79" s="418"/>
      <c r="DV79" s="418"/>
      <c r="DW79" s="418"/>
      <c r="DX79" s="418"/>
      <c r="DY79" s="418"/>
      <c r="DZ79" s="418"/>
      <c r="EA79" s="418"/>
      <c r="EB79" s="418"/>
      <c r="EC79" s="418"/>
      <c r="ED79" s="418"/>
      <c r="EE79" s="418"/>
      <c r="EF79" s="418"/>
      <c r="EG79" s="418"/>
      <c r="EH79" s="418"/>
      <c r="EI79" s="418"/>
      <c r="EJ79" s="418"/>
      <c r="EK79" s="418"/>
      <c r="EL79" s="418"/>
      <c r="EM79" s="418"/>
      <c r="EN79" s="418"/>
      <c r="EO79" s="418"/>
      <c r="EP79" s="418"/>
      <c r="EQ79" s="418"/>
      <c r="ER79" s="418"/>
      <c r="ES79" s="418"/>
      <c r="ET79" s="418"/>
      <c r="EU79" s="418"/>
      <c r="EV79" s="418"/>
      <c r="EW79" s="418"/>
      <c r="EX79" s="418"/>
      <c r="EY79" s="418"/>
      <c r="EZ79" s="418"/>
      <c r="FA79" s="418"/>
      <c r="FB79" s="418"/>
      <c r="FC79" s="418"/>
      <c r="FD79" s="418"/>
      <c r="FE79" s="418"/>
      <c r="FF79" s="418"/>
      <c r="FG79" s="418"/>
      <c r="FH79" s="418"/>
      <c r="FI79" s="418"/>
      <c r="FJ79" s="418"/>
      <c r="FK79" s="418"/>
      <c r="FL79" s="418"/>
      <c r="FM79" s="418"/>
      <c r="FN79" s="418"/>
      <c r="FO79" s="418"/>
      <c r="FP79" s="418"/>
      <c r="FQ79" s="418"/>
      <c r="FR79" s="418"/>
      <c r="FS79" s="418"/>
      <c r="FT79" s="418"/>
      <c r="FU79" s="418"/>
      <c r="FV79" s="418"/>
      <c r="FW79" s="418"/>
      <c r="FX79" s="418"/>
      <c r="FY79" s="418"/>
      <c r="FZ79" s="418"/>
      <c r="GA79" s="418"/>
      <c r="GB79" s="418"/>
      <c r="GC79" s="418"/>
      <c r="GD79" s="418"/>
      <c r="GE79" s="418"/>
      <c r="GF79" s="418"/>
      <c r="GG79" s="418"/>
      <c r="GH79" s="418"/>
      <c r="GI79" s="418"/>
      <c r="GJ79" s="418"/>
      <c r="GK79" s="418"/>
      <c r="GL79" s="418"/>
      <c r="GM79" s="418"/>
      <c r="GN79" s="418"/>
      <c r="GO79" s="418"/>
      <c r="GP79" s="418"/>
      <c r="GQ79" s="418"/>
      <c r="GR79" s="418"/>
      <c r="GS79" s="418"/>
      <c r="GT79" s="418"/>
      <c r="GU79" s="418"/>
      <c r="GV79" s="418"/>
      <c r="GW79" s="418"/>
      <c r="GX79" s="418"/>
      <c r="GY79" s="418"/>
      <c r="GZ79" s="418"/>
      <c r="HA79" s="418"/>
      <c r="HB79" s="418"/>
      <c r="HC79" s="418"/>
      <c r="HD79" s="418"/>
      <c r="HE79" s="418"/>
      <c r="HF79" s="418"/>
      <c r="HG79" s="418"/>
      <c r="HH79" s="418"/>
      <c r="HI79" s="418"/>
      <c r="HJ79" s="418"/>
      <c r="HK79" s="418"/>
      <c r="HL79" s="418"/>
      <c r="HM79" s="418"/>
      <c r="HN79" s="418"/>
      <c r="HO79" s="418"/>
      <c r="HP79" s="418"/>
      <c r="HQ79" s="418"/>
      <c r="HR79" s="418"/>
      <c r="HS79" s="418"/>
      <c r="HT79" s="418"/>
      <c r="HU79" s="418"/>
      <c r="HV79" s="418"/>
      <c r="HW79" s="418"/>
      <c r="HX79" s="418"/>
      <c r="HY79" s="418"/>
      <c r="HZ79" s="418"/>
      <c r="IA79" s="418"/>
      <c r="IB79" s="418"/>
      <c r="IC79" s="418"/>
      <c r="ID79" s="418"/>
      <c r="IE79" s="418"/>
      <c r="IF79" s="418"/>
      <c r="IG79" s="418"/>
      <c r="IH79" s="418"/>
      <c r="II79" s="418"/>
      <c r="IJ79" s="418"/>
      <c r="IK79" s="418"/>
      <c r="IL79" s="418"/>
      <c r="IM79" s="418"/>
      <c r="IN79" s="418"/>
      <c r="IO79" s="418"/>
      <c r="IP79" s="418"/>
      <c r="IQ79" s="418"/>
      <c r="IR79" s="418"/>
      <c r="IS79" s="418"/>
      <c r="IT79" s="418"/>
      <c r="IU79" s="418"/>
      <c r="IV79" s="418"/>
      <c r="IW79" s="418"/>
      <c r="IX79" s="418"/>
      <c r="IY79" s="418"/>
      <c r="IZ79" s="418"/>
      <c r="JA79" s="418"/>
    </row>
    <row r="80" spans="1:261" s="758" customFormat="1" ht="18" customHeight="1" x14ac:dyDescent="0.35">
      <c r="A80" s="773">
        <v>70</v>
      </c>
      <c r="B80" s="766"/>
      <c r="C80" s="420"/>
      <c r="D80" s="1318" t="s">
        <v>970</v>
      </c>
      <c r="E80" s="430"/>
      <c r="F80" s="762"/>
      <c r="G80" s="431"/>
      <c r="H80" s="999"/>
      <c r="I80" s="995"/>
      <c r="J80" s="759"/>
      <c r="K80" s="1771"/>
      <c r="L80" s="759"/>
      <c r="M80" s="759"/>
      <c r="N80" s="759"/>
      <c r="O80" s="1599">
        <f>SUM(I80:N80)</f>
        <v>0</v>
      </c>
      <c r="P80" s="763"/>
      <c r="Q80" s="418"/>
      <c r="R80" s="418"/>
      <c r="S80" s="418"/>
      <c r="T80" s="418"/>
      <c r="U80" s="418"/>
      <c r="V80" s="418"/>
      <c r="W80" s="418"/>
      <c r="X80" s="418"/>
      <c r="Y80" s="418"/>
      <c r="Z80" s="418"/>
      <c r="AA80" s="418"/>
      <c r="AB80" s="418"/>
      <c r="AC80" s="418"/>
      <c r="AD80" s="418"/>
      <c r="AE80" s="418"/>
      <c r="AF80" s="418"/>
      <c r="AG80" s="418"/>
      <c r="AH80" s="418"/>
      <c r="AI80" s="418"/>
      <c r="AJ80" s="418"/>
      <c r="AK80" s="418"/>
      <c r="AL80" s="418"/>
      <c r="AM80" s="418"/>
      <c r="AN80" s="418"/>
      <c r="AO80" s="418"/>
      <c r="AP80" s="418"/>
      <c r="AQ80" s="418"/>
      <c r="AR80" s="418"/>
      <c r="AS80" s="418"/>
      <c r="AT80" s="418"/>
      <c r="AU80" s="418"/>
      <c r="AV80" s="418"/>
      <c r="AW80" s="418"/>
      <c r="AX80" s="418"/>
      <c r="AY80" s="418"/>
      <c r="AZ80" s="418"/>
      <c r="BA80" s="418"/>
      <c r="BB80" s="418"/>
      <c r="BC80" s="418"/>
      <c r="BD80" s="418"/>
      <c r="BE80" s="418"/>
      <c r="BF80" s="418"/>
      <c r="BG80" s="418"/>
      <c r="BH80" s="418"/>
      <c r="BI80" s="418"/>
      <c r="BJ80" s="418"/>
      <c r="BK80" s="418"/>
      <c r="BL80" s="418"/>
      <c r="BM80" s="418"/>
      <c r="BN80" s="418"/>
      <c r="BO80" s="418"/>
      <c r="BP80" s="418"/>
      <c r="BQ80" s="418"/>
      <c r="BR80" s="418"/>
      <c r="BS80" s="418"/>
      <c r="BT80" s="418"/>
      <c r="BU80" s="418"/>
      <c r="BV80" s="418"/>
      <c r="BW80" s="418"/>
      <c r="BX80" s="418"/>
      <c r="BY80" s="418"/>
      <c r="BZ80" s="418"/>
      <c r="CA80" s="418"/>
      <c r="CB80" s="418"/>
      <c r="CC80" s="418"/>
      <c r="CD80" s="418"/>
      <c r="CE80" s="418"/>
      <c r="CF80" s="418"/>
      <c r="CG80" s="418"/>
      <c r="CH80" s="418"/>
      <c r="CI80" s="418"/>
      <c r="CJ80" s="418"/>
      <c r="CK80" s="418"/>
      <c r="CL80" s="418"/>
      <c r="CM80" s="418"/>
      <c r="CN80" s="418"/>
      <c r="CO80" s="418"/>
      <c r="CP80" s="418"/>
      <c r="CQ80" s="418"/>
      <c r="CR80" s="418"/>
      <c r="CS80" s="418"/>
      <c r="CT80" s="418"/>
      <c r="CU80" s="418"/>
      <c r="CV80" s="418"/>
      <c r="CW80" s="418"/>
      <c r="CX80" s="418"/>
      <c r="CY80" s="418"/>
      <c r="CZ80" s="418"/>
      <c r="DA80" s="418"/>
      <c r="DB80" s="418"/>
      <c r="DC80" s="418"/>
      <c r="DD80" s="418"/>
      <c r="DE80" s="418"/>
      <c r="DF80" s="418"/>
      <c r="DG80" s="418"/>
      <c r="DH80" s="418"/>
      <c r="DI80" s="418"/>
      <c r="DJ80" s="418"/>
      <c r="DK80" s="418"/>
      <c r="DL80" s="418"/>
      <c r="DM80" s="418"/>
      <c r="DN80" s="418"/>
      <c r="DO80" s="418"/>
      <c r="DP80" s="418"/>
      <c r="DQ80" s="418"/>
      <c r="DR80" s="418"/>
      <c r="DS80" s="418"/>
      <c r="DT80" s="418"/>
      <c r="DU80" s="418"/>
      <c r="DV80" s="418"/>
      <c r="DW80" s="418"/>
      <c r="DX80" s="418"/>
      <c r="DY80" s="418"/>
      <c r="DZ80" s="418"/>
      <c r="EA80" s="418"/>
      <c r="EB80" s="418"/>
      <c r="EC80" s="418"/>
      <c r="ED80" s="418"/>
      <c r="EE80" s="418"/>
      <c r="EF80" s="418"/>
      <c r="EG80" s="418"/>
      <c r="EH80" s="418"/>
      <c r="EI80" s="418"/>
      <c r="EJ80" s="418"/>
      <c r="EK80" s="418"/>
      <c r="EL80" s="418"/>
      <c r="EM80" s="418"/>
      <c r="EN80" s="418"/>
      <c r="EO80" s="418"/>
      <c r="EP80" s="418"/>
      <c r="EQ80" s="418"/>
      <c r="ER80" s="418"/>
      <c r="ES80" s="418"/>
      <c r="ET80" s="418"/>
      <c r="EU80" s="418"/>
      <c r="EV80" s="418"/>
      <c r="EW80" s="418"/>
      <c r="EX80" s="418"/>
      <c r="EY80" s="418"/>
      <c r="EZ80" s="418"/>
      <c r="FA80" s="418"/>
      <c r="FB80" s="418"/>
      <c r="FC80" s="418"/>
      <c r="FD80" s="418"/>
      <c r="FE80" s="418"/>
      <c r="FF80" s="418"/>
      <c r="FG80" s="418"/>
      <c r="FH80" s="418"/>
      <c r="FI80" s="418"/>
      <c r="FJ80" s="418"/>
      <c r="FK80" s="418"/>
      <c r="FL80" s="418"/>
      <c r="FM80" s="418"/>
      <c r="FN80" s="418"/>
      <c r="FO80" s="418"/>
      <c r="FP80" s="418"/>
      <c r="FQ80" s="418"/>
      <c r="FR80" s="418"/>
      <c r="FS80" s="418"/>
      <c r="FT80" s="418"/>
      <c r="FU80" s="418"/>
      <c r="FV80" s="418"/>
      <c r="FW80" s="418"/>
      <c r="FX80" s="418"/>
      <c r="FY80" s="418"/>
      <c r="FZ80" s="418"/>
      <c r="GA80" s="418"/>
      <c r="GB80" s="418"/>
      <c r="GC80" s="418"/>
      <c r="GD80" s="418"/>
      <c r="GE80" s="418"/>
      <c r="GF80" s="418"/>
      <c r="GG80" s="418"/>
      <c r="GH80" s="418"/>
      <c r="GI80" s="418"/>
      <c r="GJ80" s="418"/>
      <c r="GK80" s="418"/>
      <c r="GL80" s="418"/>
      <c r="GM80" s="418"/>
      <c r="GN80" s="418"/>
      <c r="GO80" s="418"/>
      <c r="GP80" s="418"/>
      <c r="GQ80" s="418"/>
      <c r="GR80" s="418"/>
      <c r="GS80" s="418"/>
      <c r="GT80" s="418"/>
      <c r="GU80" s="418"/>
      <c r="GV80" s="418"/>
      <c r="GW80" s="418"/>
      <c r="GX80" s="418"/>
      <c r="GY80" s="418"/>
      <c r="GZ80" s="418"/>
      <c r="HA80" s="418"/>
      <c r="HB80" s="418"/>
      <c r="HC80" s="418"/>
      <c r="HD80" s="418"/>
      <c r="HE80" s="418"/>
      <c r="HF80" s="418"/>
      <c r="HG80" s="418"/>
      <c r="HH80" s="418"/>
      <c r="HI80" s="418"/>
      <c r="HJ80" s="418"/>
      <c r="HK80" s="418"/>
      <c r="HL80" s="418"/>
      <c r="HM80" s="418"/>
      <c r="HN80" s="418"/>
      <c r="HO80" s="418"/>
      <c r="HP80" s="418"/>
      <c r="HQ80" s="418"/>
      <c r="HR80" s="418"/>
      <c r="HS80" s="418"/>
      <c r="HT80" s="418"/>
      <c r="HU80" s="418"/>
      <c r="HV80" s="418"/>
      <c r="HW80" s="418"/>
      <c r="HX80" s="418"/>
      <c r="HY80" s="418"/>
      <c r="HZ80" s="418"/>
      <c r="IA80" s="418"/>
      <c r="IB80" s="418"/>
      <c r="IC80" s="418"/>
      <c r="ID80" s="418"/>
      <c r="IE80" s="418"/>
      <c r="IF80" s="418"/>
      <c r="IG80" s="418"/>
      <c r="IH80" s="418"/>
      <c r="II80" s="418"/>
      <c r="IJ80" s="418"/>
      <c r="IK80" s="418"/>
      <c r="IL80" s="418"/>
      <c r="IM80" s="418"/>
      <c r="IN80" s="418"/>
      <c r="IO80" s="418"/>
      <c r="IP80" s="418"/>
      <c r="IQ80" s="418"/>
      <c r="IR80" s="418"/>
      <c r="IS80" s="418"/>
      <c r="IT80" s="418"/>
      <c r="IU80" s="418"/>
      <c r="IV80" s="418"/>
      <c r="IW80" s="418"/>
      <c r="IX80" s="418"/>
      <c r="IY80" s="418"/>
      <c r="IZ80" s="418"/>
      <c r="JA80" s="418"/>
    </row>
    <row r="81" spans="1:261" s="758" customFormat="1" ht="18" customHeight="1" x14ac:dyDescent="0.35">
      <c r="A81" s="773">
        <v>71</v>
      </c>
      <c r="B81" s="766"/>
      <c r="C81" s="420"/>
      <c r="D81" s="576" t="s">
        <v>1250</v>
      </c>
      <c r="E81" s="430"/>
      <c r="F81" s="762"/>
      <c r="G81" s="431"/>
      <c r="H81" s="999"/>
      <c r="I81" s="995"/>
      <c r="J81" s="759"/>
      <c r="K81" s="759">
        <f>SUM(K79:K80)</f>
        <v>8882</v>
      </c>
      <c r="L81" s="759"/>
      <c r="M81" s="759"/>
      <c r="N81" s="759"/>
      <c r="O81" s="767">
        <f>SUM(I81:N81)</f>
        <v>8882</v>
      </c>
      <c r="P81" s="763"/>
      <c r="Q81" s="418"/>
      <c r="R81" s="418"/>
      <c r="S81" s="418"/>
      <c r="T81" s="418"/>
      <c r="U81" s="418"/>
      <c r="V81" s="418"/>
      <c r="W81" s="418"/>
      <c r="X81" s="418"/>
      <c r="Y81" s="418"/>
      <c r="Z81" s="418"/>
      <c r="AA81" s="418"/>
      <c r="AB81" s="418"/>
      <c r="AC81" s="418"/>
      <c r="AD81" s="418"/>
      <c r="AE81" s="418"/>
      <c r="AF81" s="418"/>
      <c r="AG81" s="418"/>
      <c r="AH81" s="418"/>
      <c r="AI81" s="418"/>
      <c r="AJ81" s="418"/>
      <c r="AK81" s="418"/>
      <c r="AL81" s="418"/>
      <c r="AM81" s="418"/>
      <c r="AN81" s="418"/>
      <c r="AO81" s="418"/>
      <c r="AP81" s="418"/>
      <c r="AQ81" s="418"/>
      <c r="AR81" s="418"/>
      <c r="AS81" s="418"/>
      <c r="AT81" s="418"/>
      <c r="AU81" s="418"/>
      <c r="AV81" s="418"/>
      <c r="AW81" s="418"/>
      <c r="AX81" s="418"/>
      <c r="AY81" s="418"/>
      <c r="AZ81" s="418"/>
      <c r="BA81" s="418"/>
      <c r="BB81" s="418"/>
      <c r="BC81" s="418"/>
      <c r="BD81" s="418"/>
      <c r="BE81" s="418"/>
      <c r="BF81" s="418"/>
      <c r="BG81" s="418"/>
      <c r="BH81" s="418"/>
      <c r="BI81" s="418"/>
      <c r="BJ81" s="418"/>
      <c r="BK81" s="418"/>
      <c r="BL81" s="418"/>
      <c r="BM81" s="418"/>
      <c r="BN81" s="418"/>
      <c r="BO81" s="418"/>
      <c r="BP81" s="418"/>
      <c r="BQ81" s="418"/>
      <c r="BR81" s="418"/>
      <c r="BS81" s="418"/>
      <c r="BT81" s="418"/>
      <c r="BU81" s="418"/>
      <c r="BV81" s="418"/>
      <c r="BW81" s="418"/>
      <c r="BX81" s="418"/>
      <c r="BY81" s="418"/>
      <c r="BZ81" s="418"/>
      <c r="CA81" s="418"/>
      <c r="CB81" s="418"/>
      <c r="CC81" s="418"/>
      <c r="CD81" s="418"/>
      <c r="CE81" s="418"/>
      <c r="CF81" s="418"/>
      <c r="CG81" s="418"/>
      <c r="CH81" s="418"/>
      <c r="CI81" s="418"/>
      <c r="CJ81" s="418"/>
      <c r="CK81" s="418"/>
      <c r="CL81" s="418"/>
      <c r="CM81" s="418"/>
      <c r="CN81" s="418"/>
      <c r="CO81" s="418"/>
      <c r="CP81" s="418"/>
      <c r="CQ81" s="418"/>
      <c r="CR81" s="418"/>
      <c r="CS81" s="418"/>
      <c r="CT81" s="418"/>
      <c r="CU81" s="418"/>
      <c r="CV81" s="418"/>
      <c r="CW81" s="418"/>
      <c r="CX81" s="418"/>
      <c r="CY81" s="418"/>
      <c r="CZ81" s="418"/>
      <c r="DA81" s="418"/>
      <c r="DB81" s="418"/>
      <c r="DC81" s="418"/>
      <c r="DD81" s="418"/>
      <c r="DE81" s="418"/>
      <c r="DF81" s="418"/>
      <c r="DG81" s="418"/>
      <c r="DH81" s="418"/>
      <c r="DI81" s="418"/>
      <c r="DJ81" s="418"/>
      <c r="DK81" s="418"/>
      <c r="DL81" s="418"/>
      <c r="DM81" s="418"/>
      <c r="DN81" s="418"/>
      <c r="DO81" s="418"/>
      <c r="DP81" s="418"/>
      <c r="DQ81" s="418"/>
      <c r="DR81" s="418"/>
      <c r="DS81" s="418"/>
      <c r="DT81" s="418"/>
      <c r="DU81" s="418"/>
      <c r="DV81" s="418"/>
      <c r="DW81" s="418"/>
      <c r="DX81" s="418"/>
      <c r="DY81" s="418"/>
      <c r="DZ81" s="418"/>
      <c r="EA81" s="418"/>
      <c r="EB81" s="418"/>
      <c r="EC81" s="418"/>
      <c r="ED81" s="418"/>
      <c r="EE81" s="418"/>
      <c r="EF81" s="418"/>
      <c r="EG81" s="418"/>
      <c r="EH81" s="418"/>
      <c r="EI81" s="418"/>
      <c r="EJ81" s="418"/>
      <c r="EK81" s="418"/>
      <c r="EL81" s="418"/>
      <c r="EM81" s="418"/>
      <c r="EN81" s="418"/>
      <c r="EO81" s="418"/>
      <c r="EP81" s="418"/>
      <c r="EQ81" s="418"/>
      <c r="ER81" s="418"/>
      <c r="ES81" s="418"/>
      <c r="ET81" s="418"/>
      <c r="EU81" s="418"/>
      <c r="EV81" s="418"/>
      <c r="EW81" s="418"/>
      <c r="EX81" s="418"/>
      <c r="EY81" s="418"/>
      <c r="EZ81" s="418"/>
      <c r="FA81" s="418"/>
      <c r="FB81" s="418"/>
      <c r="FC81" s="418"/>
      <c r="FD81" s="418"/>
      <c r="FE81" s="418"/>
      <c r="FF81" s="418"/>
      <c r="FG81" s="418"/>
      <c r="FH81" s="418"/>
      <c r="FI81" s="418"/>
      <c r="FJ81" s="418"/>
      <c r="FK81" s="418"/>
      <c r="FL81" s="418"/>
      <c r="FM81" s="418"/>
      <c r="FN81" s="418"/>
      <c r="FO81" s="418"/>
      <c r="FP81" s="418"/>
      <c r="FQ81" s="418"/>
      <c r="FR81" s="418"/>
      <c r="FS81" s="418"/>
      <c r="FT81" s="418"/>
      <c r="FU81" s="418"/>
      <c r="FV81" s="418"/>
      <c r="FW81" s="418"/>
      <c r="FX81" s="418"/>
      <c r="FY81" s="418"/>
      <c r="FZ81" s="418"/>
      <c r="GA81" s="418"/>
      <c r="GB81" s="418"/>
      <c r="GC81" s="418"/>
      <c r="GD81" s="418"/>
      <c r="GE81" s="418"/>
      <c r="GF81" s="418"/>
      <c r="GG81" s="418"/>
      <c r="GH81" s="418"/>
      <c r="GI81" s="418"/>
      <c r="GJ81" s="418"/>
      <c r="GK81" s="418"/>
      <c r="GL81" s="418"/>
      <c r="GM81" s="418"/>
      <c r="GN81" s="418"/>
      <c r="GO81" s="418"/>
      <c r="GP81" s="418"/>
      <c r="GQ81" s="418"/>
      <c r="GR81" s="418"/>
      <c r="GS81" s="418"/>
      <c r="GT81" s="418"/>
      <c r="GU81" s="418"/>
      <c r="GV81" s="418"/>
      <c r="GW81" s="418"/>
      <c r="GX81" s="418"/>
      <c r="GY81" s="418"/>
      <c r="GZ81" s="418"/>
      <c r="HA81" s="418"/>
      <c r="HB81" s="418"/>
      <c r="HC81" s="418"/>
      <c r="HD81" s="418"/>
      <c r="HE81" s="418"/>
      <c r="HF81" s="418"/>
      <c r="HG81" s="418"/>
      <c r="HH81" s="418"/>
      <c r="HI81" s="418"/>
      <c r="HJ81" s="418"/>
      <c r="HK81" s="418"/>
      <c r="HL81" s="418"/>
      <c r="HM81" s="418"/>
      <c r="HN81" s="418"/>
      <c r="HO81" s="418"/>
      <c r="HP81" s="418"/>
      <c r="HQ81" s="418"/>
      <c r="HR81" s="418"/>
      <c r="HS81" s="418"/>
      <c r="HT81" s="418"/>
      <c r="HU81" s="418"/>
      <c r="HV81" s="418"/>
      <c r="HW81" s="418"/>
      <c r="HX81" s="418"/>
      <c r="HY81" s="418"/>
      <c r="HZ81" s="418"/>
      <c r="IA81" s="418"/>
      <c r="IB81" s="418"/>
      <c r="IC81" s="418"/>
      <c r="ID81" s="418"/>
      <c r="IE81" s="418"/>
      <c r="IF81" s="418"/>
      <c r="IG81" s="418"/>
      <c r="IH81" s="418"/>
      <c r="II81" s="418"/>
      <c r="IJ81" s="418"/>
      <c r="IK81" s="418"/>
      <c r="IL81" s="418"/>
      <c r="IM81" s="418"/>
      <c r="IN81" s="418"/>
      <c r="IO81" s="418"/>
      <c r="IP81" s="418"/>
      <c r="IQ81" s="418"/>
      <c r="IR81" s="418"/>
      <c r="IS81" s="418"/>
      <c r="IT81" s="418"/>
      <c r="IU81" s="418"/>
      <c r="IV81" s="418"/>
      <c r="IW81" s="418"/>
      <c r="IX81" s="418"/>
      <c r="IY81" s="418"/>
      <c r="IZ81" s="418"/>
      <c r="JA81" s="418"/>
    </row>
    <row r="82" spans="1:261" ht="38.25" customHeight="1" x14ac:dyDescent="0.35">
      <c r="A82" s="773">
        <v>72</v>
      </c>
      <c r="B82" s="618"/>
      <c r="C82" s="420">
        <v>15</v>
      </c>
      <c r="D82" s="1139" t="s">
        <v>1305</v>
      </c>
      <c r="E82" s="430"/>
      <c r="F82" s="762"/>
      <c r="G82" s="431"/>
      <c r="H82" s="999" t="s">
        <v>24</v>
      </c>
      <c r="I82" s="1017"/>
      <c r="J82" s="1013"/>
      <c r="K82" s="1013"/>
      <c r="L82" s="1013"/>
      <c r="M82" s="1013"/>
      <c r="N82" s="1013"/>
      <c r="O82" s="982"/>
      <c r="P82" s="763"/>
    </row>
    <row r="83" spans="1:261" s="758" customFormat="1" ht="18" customHeight="1" x14ac:dyDescent="0.35">
      <c r="A83" s="773">
        <v>73</v>
      </c>
      <c r="B83" s="766"/>
      <c r="C83" s="420"/>
      <c r="D83" s="992" t="s">
        <v>308</v>
      </c>
      <c r="E83" s="430">
        <f>F83+G83+O86+P86</f>
        <v>906000</v>
      </c>
      <c r="F83" s="762"/>
      <c r="G83" s="431"/>
      <c r="H83" s="999"/>
      <c r="I83" s="1017"/>
      <c r="J83" s="1013"/>
      <c r="K83" s="1013"/>
      <c r="L83" s="1013"/>
      <c r="M83" s="1013">
        <v>906000</v>
      </c>
      <c r="N83" s="1013"/>
      <c r="O83" s="982">
        <f>SUM(I83:N83)</f>
        <v>906000</v>
      </c>
      <c r="P83" s="763"/>
      <c r="Q83" s="418"/>
      <c r="R83" s="418"/>
      <c r="S83" s="418"/>
      <c r="T83" s="418"/>
      <c r="U83" s="418"/>
      <c r="V83" s="418"/>
      <c r="W83" s="418"/>
      <c r="X83" s="418"/>
      <c r="Y83" s="418"/>
      <c r="Z83" s="418"/>
      <c r="AA83" s="418"/>
      <c r="AB83" s="418"/>
      <c r="AC83" s="418"/>
      <c r="AD83" s="418"/>
      <c r="AE83" s="418"/>
      <c r="AF83" s="418"/>
      <c r="AG83" s="418"/>
      <c r="AH83" s="418"/>
      <c r="AI83" s="418"/>
      <c r="AJ83" s="418"/>
      <c r="AK83" s="418"/>
      <c r="AL83" s="418"/>
      <c r="AM83" s="418"/>
      <c r="AN83" s="418"/>
      <c r="AO83" s="418"/>
      <c r="AP83" s="418"/>
      <c r="AQ83" s="418"/>
      <c r="AR83" s="418"/>
      <c r="AS83" s="418"/>
      <c r="AT83" s="418"/>
      <c r="AU83" s="418"/>
      <c r="AV83" s="418"/>
      <c r="AW83" s="418"/>
      <c r="AX83" s="418"/>
      <c r="AY83" s="418"/>
      <c r="AZ83" s="418"/>
      <c r="BA83" s="418"/>
      <c r="BB83" s="418"/>
      <c r="BC83" s="418"/>
      <c r="BD83" s="418"/>
      <c r="BE83" s="418"/>
      <c r="BF83" s="418"/>
      <c r="BG83" s="418"/>
      <c r="BH83" s="418"/>
      <c r="BI83" s="418"/>
      <c r="BJ83" s="418"/>
      <c r="BK83" s="418"/>
      <c r="BL83" s="418"/>
      <c r="BM83" s="418"/>
      <c r="BN83" s="418"/>
      <c r="BO83" s="418"/>
      <c r="BP83" s="418"/>
      <c r="BQ83" s="418"/>
      <c r="BR83" s="418"/>
      <c r="BS83" s="418"/>
      <c r="BT83" s="418"/>
      <c r="BU83" s="418"/>
      <c r="BV83" s="418"/>
      <c r="BW83" s="418"/>
      <c r="BX83" s="418"/>
      <c r="BY83" s="418"/>
      <c r="BZ83" s="418"/>
      <c r="CA83" s="418"/>
      <c r="CB83" s="418"/>
      <c r="CC83" s="418"/>
      <c r="CD83" s="418"/>
      <c r="CE83" s="418"/>
      <c r="CF83" s="418"/>
      <c r="CG83" s="418"/>
      <c r="CH83" s="418"/>
      <c r="CI83" s="418"/>
      <c r="CJ83" s="418"/>
      <c r="CK83" s="418"/>
      <c r="CL83" s="418"/>
      <c r="CM83" s="418"/>
      <c r="CN83" s="418"/>
      <c r="CO83" s="418"/>
      <c r="CP83" s="418"/>
      <c r="CQ83" s="418"/>
      <c r="CR83" s="418"/>
      <c r="CS83" s="418"/>
      <c r="CT83" s="418"/>
      <c r="CU83" s="418"/>
      <c r="CV83" s="418"/>
      <c r="CW83" s="418"/>
      <c r="CX83" s="418"/>
      <c r="CY83" s="418"/>
      <c r="CZ83" s="418"/>
      <c r="DA83" s="418"/>
      <c r="DB83" s="418"/>
      <c r="DC83" s="418"/>
      <c r="DD83" s="418"/>
      <c r="DE83" s="418"/>
      <c r="DF83" s="418"/>
      <c r="DG83" s="418"/>
      <c r="DH83" s="418"/>
      <c r="DI83" s="418"/>
      <c r="DJ83" s="418"/>
      <c r="DK83" s="418"/>
      <c r="DL83" s="418"/>
      <c r="DM83" s="418"/>
      <c r="DN83" s="418"/>
      <c r="DO83" s="418"/>
      <c r="DP83" s="418"/>
      <c r="DQ83" s="418"/>
      <c r="DR83" s="418"/>
      <c r="DS83" s="418"/>
      <c r="DT83" s="418"/>
      <c r="DU83" s="418"/>
      <c r="DV83" s="418"/>
      <c r="DW83" s="418"/>
      <c r="DX83" s="418"/>
      <c r="DY83" s="418"/>
      <c r="DZ83" s="418"/>
      <c r="EA83" s="418"/>
      <c r="EB83" s="418"/>
      <c r="EC83" s="418"/>
      <c r="ED83" s="418"/>
      <c r="EE83" s="418"/>
      <c r="EF83" s="418"/>
      <c r="EG83" s="418"/>
      <c r="EH83" s="418"/>
      <c r="EI83" s="418"/>
      <c r="EJ83" s="418"/>
      <c r="EK83" s="418"/>
      <c r="EL83" s="418"/>
      <c r="EM83" s="418"/>
      <c r="EN83" s="418"/>
      <c r="EO83" s="418"/>
      <c r="EP83" s="418"/>
      <c r="EQ83" s="418"/>
      <c r="ER83" s="418"/>
      <c r="ES83" s="418"/>
      <c r="ET83" s="418"/>
      <c r="EU83" s="418"/>
      <c r="EV83" s="418"/>
      <c r="EW83" s="418"/>
      <c r="EX83" s="418"/>
      <c r="EY83" s="418"/>
      <c r="EZ83" s="418"/>
      <c r="FA83" s="418"/>
      <c r="FB83" s="418"/>
      <c r="FC83" s="418"/>
      <c r="FD83" s="418"/>
      <c r="FE83" s="418"/>
      <c r="FF83" s="418"/>
      <c r="FG83" s="418"/>
      <c r="FH83" s="418"/>
      <c r="FI83" s="418"/>
      <c r="FJ83" s="418"/>
      <c r="FK83" s="418"/>
      <c r="FL83" s="418"/>
      <c r="FM83" s="418"/>
      <c r="FN83" s="418"/>
      <c r="FO83" s="418"/>
      <c r="FP83" s="418"/>
      <c r="FQ83" s="418"/>
      <c r="FR83" s="418"/>
      <c r="FS83" s="418"/>
      <c r="FT83" s="418"/>
      <c r="FU83" s="418"/>
      <c r="FV83" s="418"/>
      <c r="FW83" s="418"/>
      <c r="FX83" s="418"/>
      <c r="FY83" s="418"/>
      <c r="FZ83" s="418"/>
      <c r="GA83" s="418"/>
      <c r="GB83" s="418"/>
      <c r="GC83" s="418"/>
      <c r="GD83" s="418"/>
      <c r="GE83" s="418"/>
      <c r="GF83" s="418"/>
      <c r="GG83" s="418"/>
      <c r="GH83" s="418"/>
      <c r="GI83" s="418"/>
      <c r="GJ83" s="418"/>
      <c r="GK83" s="418"/>
      <c r="GL83" s="418"/>
      <c r="GM83" s="418"/>
      <c r="GN83" s="418"/>
      <c r="GO83" s="418"/>
      <c r="GP83" s="418"/>
      <c r="GQ83" s="418"/>
      <c r="GR83" s="418"/>
      <c r="GS83" s="418"/>
      <c r="GT83" s="418"/>
      <c r="GU83" s="418"/>
      <c r="GV83" s="418"/>
      <c r="GW83" s="418"/>
      <c r="GX83" s="418"/>
      <c r="GY83" s="418"/>
      <c r="GZ83" s="418"/>
      <c r="HA83" s="418"/>
      <c r="HB83" s="418"/>
      <c r="HC83" s="418"/>
      <c r="HD83" s="418"/>
      <c r="HE83" s="418"/>
      <c r="HF83" s="418"/>
      <c r="HG83" s="418"/>
      <c r="HH83" s="418"/>
      <c r="HI83" s="418"/>
      <c r="HJ83" s="418"/>
      <c r="HK83" s="418"/>
      <c r="HL83" s="418"/>
      <c r="HM83" s="418"/>
      <c r="HN83" s="418"/>
      <c r="HO83" s="418"/>
      <c r="HP83" s="418"/>
      <c r="HQ83" s="418"/>
      <c r="HR83" s="418"/>
      <c r="HS83" s="418"/>
      <c r="HT83" s="418"/>
      <c r="HU83" s="418"/>
      <c r="HV83" s="418"/>
      <c r="HW83" s="418"/>
      <c r="HX83" s="418"/>
      <c r="HY83" s="418"/>
      <c r="HZ83" s="418"/>
      <c r="IA83" s="418"/>
      <c r="IB83" s="418"/>
      <c r="IC83" s="418"/>
      <c r="ID83" s="418"/>
      <c r="IE83" s="418"/>
      <c r="IF83" s="418"/>
      <c r="IG83" s="418"/>
      <c r="IH83" s="418"/>
      <c r="II83" s="418"/>
      <c r="IJ83" s="418"/>
      <c r="IK83" s="418"/>
      <c r="IL83" s="418"/>
      <c r="IM83" s="418"/>
      <c r="IN83" s="418"/>
      <c r="IO83" s="418"/>
      <c r="IP83" s="418"/>
      <c r="IQ83" s="418"/>
      <c r="IR83" s="418"/>
      <c r="IS83" s="418"/>
      <c r="IT83" s="418"/>
      <c r="IU83" s="418"/>
      <c r="IV83" s="418"/>
      <c r="IW83" s="418"/>
      <c r="IX83" s="418"/>
      <c r="IY83" s="418"/>
      <c r="IZ83" s="418"/>
      <c r="JA83" s="418"/>
    </row>
    <row r="84" spans="1:261" s="758" customFormat="1" ht="18" customHeight="1" x14ac:dyDescent="0.35">
      <c r="A84" s="773">
        <v>74</v>
      </c>
      <c r="B84" s="766"/>
      <c r="C84" s="420"/>
      <c r="D84" s="576" t="s">
        <v>1158</v>
      </c>
      <c r="E84" s="430"/>
      <c r="F84" s="762"/>
      <c r="G84" s="431"/>
      <c r="H84" s="999"/>
      <c r="I84" s="1017"/>
      <c r="J84" s="1013"/>
      <c r="K84" s="1013"/>
      <c r="L84" s="1013"/>
      <c r="M84" s="759">
        <v>906000</v>
      </c>
      <c r="N84" s="1013"/>
      <c r="O84" s="767">
        <f>SUM(I84:N84)</f>
        <v>906000</v>
      </c>
      <c r="P84" s="763"/>
      <c r="Q84" s="418"/>
      <c r="R84" s="418"/>
      <c r="S84" s="418"/>
      <c r="T84" s="418"/>
      <c r="U84" s="418"/>
      <c r="V84" s="418"/>
      <c r="W84" s="418"/>
      <c r="X84" s="418"/>
      <c r="Y84" s="418"/>
      <c r="Z84" s="418"/>
      <c r="AA84" s="418"/>
      <c r="AB84" s="418"/>
      <c r="AC84" s="418"/>
      <c r="AD84" s="418"/>
      <c r="AE84" s="418"/>
      <c r="AF84" s="418"/>
      <c r="AG84" s="418"/>
      <c r="AH84" s="418"/>
      <c r="AI84" s="418"/>
      <c r="AJ84" s="418"/>
      <c r="AK84" s="418"/>
      <c r="AL84" s="418"/>
      <c r="AM84" s="418"/>
      <c r="AN84" s="418"/>
      <c r="AO84" s="418"/>
      <c r="AP84" s="418"/>
      <c r="AQ84" s="418"/>
      <c r="AR84" s="418"/>
      <c r="AS84" s="418"/>
      <c r="AT84" s="418"/>
      <c r="AU84" s="418"/>
      <c r="AV84" s="418"/>
      <c r="AW84" s="418"/>
      <c r="AX84" s="418"/>
      <c r="AY84" s="418"/>
      <c r="AZ84" s="418"/>
      <c r="BA84" s="418"/>
      <c r="BB84" s="418"/>
      <c r="BC84" s="418"/>
      <c r="BD84" s="418"/>
      <c r="BE84" s="418"/>
      <c r="BF84" s="418"/>
      <c r="BG84" s="418"/>
      <c r="BH84" s="418"/>
      <c r="BI84" s="418"/>
      <c r="BJ84" s="418"/>
      <c r="BK84" s="418"/>
      <c r="BL84" s="418"/>
      <c r="BM84" s="418"/>
      <c r="BN84" s="418"/>
      <c r="BO84" s="418"/>
      <c r="BP84" s="418"/>
      <c r="BQ84" s="418"/>
      <c r="BR84" s="418"/>
      <c r="BS84" s="418"/>
      <c r="BT84" s="418"/>
      <c r="BU84" s="418"/>
      <c r="BV84" s="418"/>
      <c r="BW84" s="418"/>
      <c r="BX84" s="418"/>
      <c r="BY84" s="418"/>
      <c r="BZ84" s="418"/>
      <c r="CA84" s="418"/>
      <c r="CB84" s="418"/>
      <c r="CC84" s="418"/>
      <c r="CD84" s="418"/>
      <c r="CE84" s="418"/>
      <c r="CF84" s="418"/>
      <c r="CG84" s="418"/>
      <c r="CH84" s="418"/>
      <c r="CI84" s="418"/>
      <c r="CJ84" s="418"/>
      <c r="CK84" s="418"/>
      <c r="CL84" s="418"/>
      <c r="CM84" s="418"/>
      <c r="CN84" s="418"/>
      <c r="CO84" s="418"/>
      <c r="CP84" s="418"/>
      <c r="CQ84" s="418"/>
      <c r="CR84" s="418"/>
      <c r="CS84" s="418"/>
      <c r="CT84" s="418"/>
      <c r="CU84" s="418"/>
      <c r="CV84" s="418"/>
      <c r="CW84" s="418"/>
      <c r="CX84" s="418"/>
      <c r="CY84" s="418"/>
      <c r="CZ84" s="418"/>
      <c r="DA84" s="418"/>
      <c r="DB84" s="418"/>
      <c r="DC84" s="418"/>
      <c r="DD84" s="418"/>
      <c r="DE84" s="418"/>
      <c r="DF84" s="418"/>
      <c r="DG84" s="418"/>
      <c r="DH84" s="418"/>
      <c r="DI84" s="418"/>
      <c r="DJ84" s="418"/>
      <c r="DK84" s="418"/>
      <c r="DL84" s="418"/>
      <c r="DM84" s="418"/>
      <c r="DN84" s="418"/>
      <c r="DO84" s="418"/>
      <c r="DP84" s="418"/>
      <c r="DQ84" s="418"/>
      <c r="DR84" s="418"/>
      <c r="DS84" s="418"/>
      <c r="DT84" s="418"/>
      <c r="DU84" s="418"/>
      <c r="DV84" s="418"/>
      <c r="DW84" s="418"/>
      <c r="DX84" s="418"/>
      <c r="DY84" s="418"/>
      <c r="DZ84" s="418"/>
      <c r="EA84" s="418"/>
      <c r="EB84" s="418"/>
      <c r="EC84" s="418"/>
      <c r="ED84" s="418"/>
      <c r="EE84" s="418"/>
      <c r="EF84" s="418"/>
      <c r="EG84" s="418"/>
      <c r="EH84" s="418"/>
      <c r="EI84" s="418"/>
      <c r="EJ84" s="418"/>
      <c r="EK84" s="418"/>
      <c r="EL84" s="418"/>
      <c r="EM84" s="418"/>
      <c r="EN84" s="418"/>
      <c r="EO84" s="418"/>
      <c r="EP84" s="418"/>
      <c r="EQ84" s="418"/>
      <c r="ER84" s="418"/>
      <c r="ES84" s="418"/>
      <c r="ET84" s="418"/>
      <c r="EU84" s="418"/>
      <c r="EV84" s="418"/>
      <c r="EW84" s="418"/>
      <c r="EX84" s="418"/>
      <c r="EY84" s="418"/>
      <c r="EZ84" s="418"/>
      <c r="FA84" s="418"/>
      <c r="FB84" s="418"/>
      <c r="FC84" s="418"/>
      <c r="FD84" s="418"/>
      <c r="FE84" s="418"/>
      <c r="FF84" s="418"/>
      <c r="FG84" s="418"/>
      <c r="FH84" s="418"/>
      <c r="FI84" s="418"/>
      <c r="FJ84" s="418"/>
      <c r="FK84" s="418"/>
      <c r="FL84" s="418"/>
      <c r="FM84" s="418"/>
      <c r="FN84" s="418"/>
      <c r="FO84" s="418"/>
      <c r="FP84" s="418"/>
      <c r="FQ84" s="418"/>
      <c r="FR84" s="418"/>
      <c r="FS84" s="418"/>
      <c r="FT84" s="418"/>
      <c r="FU84" s="418"/>
      <c r="FV84" s="418"/>
      <c r="FW84" s="418"/>
      <c r="FX84" s="418"/>
      <c r="FY84" s="418"/>
      <c r="FZ84" s="418"/>
      <c r="GA84" s="418"/>
      <c r="GB84" s="418"/>
      <c r="GC84" s="418"/>
      <c r="GD84" s="418"/>
      <c r="GE84" s="418"/>
      <c r="GF84" s="418"/>
      <c r="GG84" s="418"/>
      <c r="GH84" s="418"/>
      <c r="GI84" s="418"/>
      <c r="GJ84" s="418"/>
      <c r="GK84" s="418"/>
      <c r="GL84" s="418"/>
      <c r="GM84" s="418"/>
      <c r="GN84" s="418"/>
      <c r="GO84" s="418"/>
      <c r="GP84" s="418"/>
      <c r="GQ84" s="418"/>
      <c r="GR84" s="418"/>
      <c r="GS84" s="418"/>
      <c r="GT84" s="418"/>
      <c r="GU84" s="418"/>
      <c r="GV84" s="418"/>
      <c r="GW84" s="418"/>
      <c r="GX84" s="418"/>
      <c r="GY84" s="418"/>
      <c r="GZ84" s="418"/>
      <c r="HA84" s="418"/>
      <c r="HB84" s="418"/>
      <c r="HC84" s="418"/>
      <c r="HD84" s="418"/>
      <c r="HE84" s="418"/>
      <c r="HF84" s="418"/>
      <c r="HG84" s="418"/>
      <c r="HH84" s="418"/>
      <c r="HI84" s="418"/>
      <c r="HJ84" s="418"/>
      <c r="HK84" s="418"/>
      <c r="HL84" s="418"/>
      <c r="HM84" s="418"/>
      <c r="HN84" s="418"/>
      <c r="HO84" s="418"/>
      <c r="HP84" s="418"/>
      <c r="HQ84" s="418"/>
      <c r="HR84" s="418"/>
      <c r="HS84" s="418"/>
      <c r="HT84" s="418"/>
      <c r="HU84" s="418"/>
      <c r="HV84" s="418"/>
      <c r="HW84" s="418"/>
      <c r="HX84" s="418"/>
      <c r="HY84" s="418"/>
      <c r="HZ84" s="418"/>
      <c r="IA84" s="418"/>
      <c r="IB84" s="418"/>
      <c r="IC84" s="418"/>
      <c r="ID84" s="418"/>
      <c r="IE84" s="418"/>
      <c r="IF84" s="418"/>
      <c r="IG84" s="418"/>
      <c r="IH84" s="418"/>
      <c r="II84" s="418"/>
      <c r="IJ84" s="418"/>
      <c r="IK84" s="418"/>
      <c r="IL84" s="418"/>
      <c r="IM84" s="418"/>
      <c r="IN84" s="418"/>
      <c r="IO84" s="418"/>
      <c r="IP84" s="418"/>
      <c r="IQ84" s="418"/>
      <c r="IR84" s="418"/>
      <c r="IS84" s="418"/>
      <c r="IT84" s="418"/>
      <c r="IU84" s="418"/>
      <c r="IV84" s="418"/>
      <c r="IW84" s="418"/>
      <c r="IX84" s="418"/>
      <c r="IY84" s="418"/>
      <c r="IZ84" s="418"/>
      <c r="JA84" s="418"/>
    </row>
    <row r="85" spans="1:261" s="758" customFormat="1" ht="18" customHeight="1" x14ac:dyDescent="0.35">
      <c r="A85" s="773">
        <v>75</v>
      </c>
      <c r="B85" s="766"/>
      <c r="C85" s="420"/>
      <c r="D85" s="1318" t="s">
        <v>947</v>
      </c>
      <c r="E85" s="430"/>
      <c r="F85" s="762"/>
      <c r="G85" s="431"/>
      <c r="H85" s="999"/>
      <c r="I85" s="995"/>
      <c r="J85" s="759"/>
      <c r="K85" s="759"/>
      <c r="L85" s="759"/>
      <c r="M85" s="759"/>
      <c r="N85" s="759"/>
      <c r="O85" s="1599">
        <f>SUM(I85:N85)</f>
        <v>0</v>
      </c>
      <c r="P85" s="763"/>
      <c r="Q85" s="418"/>
      <c r="R85" s="418"/>
      <c r="S85" s="418"/>
      <c r="T85" s="418"/>
      <c r="U85" s="418"/>
      <c r="V85" s="418"/>
      <c r="W85" s="418"/>
      <c r="X85" s="418"/>
      <c r="Y85" s="418"/>
      <c r="Z85" s="418"/>
      <c r="AA85" s="418"/>
      <c r="AB85" s="418"/>
      <c r="AC85" s="418"/>
      <c r="AD85" s="418"/>
      <c r="AE85" s="418"/>
      <c r="AF85" s="418"/>
      <c r="AG85" s="418"/>
      <c r="AH85" s="418"/>
      <c r="AI85" s="418"/>
      <c r="AJ85" s="418"/>
      <c r="AK85" s="418"/>
      <c r="AL85" s="418"/>
      <c r="AM85" s="418"/>
      <c r="AN85" s="418"/>
      <c r="AO85" s="418"/>
      <c r="AP85" s="418"/>
      <c r="AQ85" s="418"/>
      <c r="AR85" s="418"/>
      <c r="AS85" s="418"/>
      <c r="AT85" s="418"/>
      <c r="AU85" s="418"/>
      <c r="AV85" s="418"/>
      <c r="AW85" s="418"/>
      <c r="AX85" s="418"/>
      <c r="AY85" s="418"/>
      <c r="AZ85" s="418"/>
      <c r="BA85" s="418"/>
      <c r="BB85" s="418"/>
      <c r="BC85" s="418"/>
      <c r="BD85" s="418"/>
      <c r="BE85" s="418"/>
      <c r="BF85" s="418"/>
      <c r="BG85" s="418"/>
      <c r="BH85" s="418"/>
      <c r="BI85" s="418"/>
      <c r="BJ85" s="418"/>
      <c r="BK85" s="418"/>
      <c r="BL85" s="418"/>
      <c r="BM85" s="418"/>
      <c r="BN85" s="418"/>
      <c r="BO85" s="418"/>
      <c r="BP85" s="418"/>
      <c r="BQ85" s="418"/>
      <c r="BR85" s="418"/>
      <c r="BS85" s="418"/>
      <c r="BT85" s="418"/>
      <c r="BU85" s="418"/>
      <c r="BV85" s="418"/>
      <c r="BW85" s="418"/>
      <c r="BX85" s="418"/>
      <c r="BY85" s="418"/>
      <c r="BZ85" s="418"/>
      <c r="CA85" s="418"/>
      <c r="CB85" s="418"/>
      <c r="CC85" s="418"/>
      <c r="CD85" s="418"/>
      <c r="CE85" s="418"/>
      <c r="CF85" s="418"/>
      <c r="CG85" s="418"/>
      <c r="CH85" s="418"/>
      <c r="CI85" s="418"/>
      <c r="CJ85" s="418"/>
      <c r="CK85" s="418"/>
      <c r="CL85" s="418"/>
      <c r="CM85" s="418"/>
      <c r="CN85" s="418"/>
      <c r="CO85" s="418"/>
      <c r="CP85" s="418"/>
      <c r="CQ85" s="418"/>
      <c r="CR85" s="418"/>
      <c r="CS85" s="418"/>
      <c r="CT85" s="418"/>
      <c r="CU85" s="418"/>
      <c r="CV85" s="418"/>
      <c r="CW85" s="418"/>
      <c r="CX85" s="418"/>
      <c r="CY85" s="418"/>
      <c r="CZ85" s="418"/>
      <c r="DA85" s="418"/>
      <c r="DB85" s="418"/>
      <c r="DC85" s="418"/>
      <c r="DD85" s="418"/>
      <c r="DE85" s="418"/>
      <c r="DF85" s="418"/>
      <c r="DG85" s="418"/>
      <c r="DH85" s="418"/>
      <c r="DI85" s="418"/>
      <c r="DJ85" s="418"/>
      <c r="DK85" s="418"/>
      <c r="DL85" s="418"/>
      <c r="DM85" s="418"/>
      <c r="DN85" s="418"/>
      <c r="DO85" s="418"/>
      <c r="DP85" s="418"/>
      <c r="DQ85" s="418"/>
      <c r="DR85" s="418"/>
      <c r="DS85" s="418"/>
      <c r="DT85" s="418"/>
      <c r="DU85" s="418"/>
      <c r="DV85" s="418"/>
      <c r="DW85" s="418"/>
      <c r="DX85" s="418"/>
      <c r="DY85" s="418"/>
      <c r="DZ85" s="418"/>
      <c r="EA85" s="418"/>
      <c r="EB85" s="418"/>
      <c r="EC85" s="418"/>
      <c r="ED85" s="418"/>
      <c r="EE85" s="418"/>
      <c r="EF85" s="418"/>
      <c r="EG85" s="418"/>
      <c r="EH85" s="418"/>
      <c r="EI85" s="418"/>
      <c r="EJ85" s="418"/>
      <c r="EK85" s="418"/>
      <c r="EL85" s="418"/>
      <c r="EM85" s="418"/>
      <c r="EN85" s="418"/>
      <c r="EO85" s="418"/>
      <c r="EP85" s="418"/>
      <c r="EQ85" s="418"/>
      <c r="ER85" s="418"/>
      <c r="ES85" s="418"/>
      <c r="ET85" s="418"/>
      <c r="EU85" s="418"/>
      <c r="EV85" s="418"/>
      <c r="EW85" s="418"/>
      <c r="EX85" s="418"/>
      <c r="EY85" s="418"/>
      <c r="EZ85" s="418"/>
      <c r="FA85" s="418"/>
      <c r="FB85" s="418"/>
      <c r="FC85" s="418"/>
      <c r="FD85" s="418"/>
      <c r="FE85" s="418"/>
      <c r="FF85" s="418"/>
      <c r="FG85" s="418"/>
      <c r="FH85" s="418"/>
      <c r="FI85" s="418"/>
      <c r="FJ85" s="418"/>
      <c r="FK85" s="418"/>
      <c r="FL85" s="418"/>
      <c r="FM85" s="418"/>
      <c r="FN85" s="418"/>
      <c r="FO85" s="418"/>
      <c r="FP85" s="418"/>
      <c r="FQ85" s="418"/>
      <c r="FR85" s="418"/>
      <c r="FS85" s="418"/>
      <c r="FT85" s="418"/>
      <c r="FU85" s="418"/>
      <c r="FV85" s="418"/>
      <c r="FW85" s="418"/>
      <c r="FX85" s="418"/>
      <c r="FY85" s="418"/>
      <c r="FZ85" s="418"/>
      <c r="GA85" s="418"/>
      <c r="GB85" s="418"/>
      <c r="GC85" s="418"/>
      <c r="GD85" s="418"/>
      <c r="GE85" s="418"/>
      <c r="GF85" s="418"/>
      <c r="GG85" s="418"/>
      <c r="GH85" s="418"/>
      <c r="GI85" s="418"/>
      <c r="GJ85" s="418"/>
      <c r="GK85" s="418"/>
      <c r="GL85" s="418"/>
      <c r="GM85" s="418"/>
      <c r="GN85" s="418"/>
      <c r="GO85" s="418"/>
      <c r="GP85" s="418"/>
      <c r="GQ85" s="418"/>
      <c r="GR85" s="418"/>
      <c r="GS85" s="418"/>
      <c r="GT85" s="418"/>
      <c r="GU85" s="418"/>
      <c r="GV85" s="418"/>
      <c r="GW85" s="418"/>
      <c r="GX85" s="418"/>
      <c r="GY85" s="418"/>
      <c r="GZ85" s="418"/>
      <c r="HA85" s="418"/>
      <c r="HB85" s="418"/>
      <c r="HC85" s="418"/>
      <c r="HD85" s="418"/>
      <c r="HE85" s="418"/>
      <c r="HF85" s="418"/>
      <c r="HG85" s="418"/>
      <c r="HH85" s="418"/>
      <c r="HI85" s="418"/>
      <c r="HJ85" s="418"/>
      <c r="HK85" s="418"/>
      <c r="HL85" s="418"/>
      <c r="HM85" s="418"/>
      <c r="HN85" s="418"/>
      <c r="HO85" s="418"/>
      <c r="HP85" s="418"/>
      <c r="HQ85" s="418"/>
      <c r="HR85" s="418"/>
      <c r="HS85" s="418"/>
      <c r="HT85" s="418"/>
      <c r="HU85" s="418"/>
      <c r="HV85" s="418"/>
      <c r="HW85" s="418"/>
      <c r="HX85" s="418"/>
      <c r="HY85" s="418"/>
      <c r="HZ85" s="418"/>
      <c r="IA85" s="418"/>
      <c r="IB85" s="418"/>
      <c r="IC85" s="418"/>
      <c r="ID85" s="418"/>
      <c r="IE85" s="418"/>
      <c r="IF85" s="418"/>
      <c r="IG85" s="418"/>
      <c r="IH85" s="418"/>
      <c r="II85" s="418"/>
      <c r="IJ85" s="418"/>
      <c r="IK85" s="418"/>
      <c r="IL85" s="418"/>
      <c r="IM85" s="418"/>
      <c r="IN85" s="418"/>
      <c r="IO85" s="418"/>
      <c r="IP85" s="418"/>
      <c r="IQ85" s="418"/>
      <c r="IR85" s="418"/>
      <c r="IS85" s="418"/>
      <c r="IT85" s="418"/>
      <c r="IU85" s="418"/>
      <c r="IV85" s="418"/>
      <c r="IW85" s="418"/>
      <c r="IX85" s="418"/>
      <c r="IY85" s="418"/>
      <c r="IZ85" s="418"/>
      <c r="JA85" s="418"/>
    </row>
    <row r="86" spans="1:261" s="758" customFormat="1" ht="18" customHeight="1" x14ac:dyDescent="0.35">
      <c r="A86" s="773">
        <v>76</v>
      </c>
      <c r="B86" s="766"/>
      <c r="C86" s="420"/>
      <c r="D86" s="576" t="s">
        <v>1250</v>
      </c>
      <c r="E86" s="430"/>
      <c r="F86" s="762"/>
      <c r="G86" s="431"/>
      <c r="H86" s="999"/>
      <c r="I86" s="995"/>
      <c r="J86" s="759"/>
      <c r="K86" s="759"/>
      <c r="L86" s="759"/>
      <c r="M86" s="759">
        <f>SUM(M84:M85)</f>
        <v>906000</v>
      </c>
      <c r="N86" s="759"/>
      <c r="O86" s="767">
        <f>SUM(I86:N86)</f>
        <v>906000</v>
      </c>
      <c r="P86" s="763"/>
      <c r="Q86" s="418"/>
      <c r="R86" s="418"/>
      <c r="S86" s="418"/>
      <c r="T86" s="418"/>
      <c r="U86" s="418"/>
      <c r="V86" s="418"/>
      <c r="W86" s="418"/>
      <c r="X86" s="418"/>
      <c r="Y86" s="418"/>
      <c r="Z86" s="418"/>
      <c r="AA86" s="418"/>
      <c r="AB86" s="418"/>
      <c r="AC86" s="418"/>
      <c r="AD86" s="418"/>
      <c r="AE86" s="418"/>
      <c r="AF86" s="418"/>
      <c r="AG86" s="418"/>
      <c r="AH86" s="418"/>
      <c r="AI86" s="418"/>
      <c r="AJ86" s="418"/>
      <c r="AK86" s="418"/>
      <c r="AL86" s="418"/>
      <c r="AM86" s="418"/>
      <c r="AN86" s="418"/>
      <c r="AO86" s="418"/>
      <c r="AP86" s="418"/>
      <c r="AQ86" s="418"/>
      <c r="AR86" s="418"/>
      <c r="AS86" s="418"/>
      <c r="AT86" s="418"/>
      <c r="AU86" s="418"/>
      <c r="AV86" s="418"/>
      <c r="AW86" s="418"/>
      <c r="AX86" s="418"/>
      <c r="AY86" s="418"/>
      <c r="AZ86" s="418"/>
      <c r="BA86" s="418"/>
      <c r="BB86" s="418"/>
      <c r="BC86" s="418"/>
      <c r="BD86" s="418"/>
      <c r="BE86" s="418"/>
      <c r="BF86" s="418"/>
      <c r="BG86" s="418"/>
      <c r="BH86" s="418"/>
      <c r="BI86" s="418"/>
      <c r="BJ86" s="418"/>
      <c r="BK86" s="418"/>
      <c r="BL86" s="418"/>
      <c r="BM86" s="418"/>
      <c r="BN86" s="418"/>
      <c r="BO86" s="418"/>
      <c r="BP86" s="418"/>
      <c r="BQ86" s="418"/>
      <c r="BR86" s="418"/>
      <c r="BS86" s="418"/>
      <c r="BT86" s="418"/>
      <c r="BU86" s="418"/>
      <c r="BV86" s="418"/>
      <c r="BW86" s="418"/>
      <c r="BX86" s="418"/>
      <c r="BY86" s="418"/>
      <c r="BZ86" s="418"/>
      <c r="CA86" s="418"/>
      <c r="CB86" s="418"/>
      <c r="CC86" s="418"/>
      <c r="CD86" s="418"/>
      <c r="CE86" s="418"/>
      <c r="CF86" s="418"/>
      <c r="CG86" s="418"/>
      <c r="CH86" s="418"/>
      <c r="CI86" s="418"/>
      <c r="CJ86" s="418"/>
      <c r="CK86" s="418"/>
      <c r="CL86" s="418"/>
      <c r="CM86" s="418"/>
      <c r="CN86" s="418"/>
      <c r="CO86" s="418"/>
      <c r="CP86" s="418"/>
      <c r="CQ86" s="418"/>
      <c r="CR86" s="418"/>
      <c r="CS86" s="418"/>
      <c r="CT86" s="418"/>
      <c r="CU86" s="418"/>
      <c r="CV86" s="418"/>
      <c r="CW86" s="418"/>
      <c r="CX86" s="418"/>
      <c r="CY86" s="418"/>
      <c r="CZ86" s="418"/>
      <c r="DA86" s="418"/>
      <c r="DB86" s="418"/>
      <c r="DC86" s="418"/>
      <c r="DD86" s="418"/>
      <c r="DE86" s="418"/>
      <c r="DF86" s="418"/>
      <c r="DG86" s="418"/>
      <c r="DH86" s="418"/>
      <c r="DI86" s="418"/>
      <c r="DJ86" s="418"/>
      <c r="DK86" s="418"/>
      <c r="DL86" s="418"/>
      <c r="DM86" s="418"/>
      <c r="DN86" s="418"/>
      <c r="DO86" s="418"/>
      <c r="DP86" s="418"/>
      <c r="DQ86" s="418"/>
      <c r="DR86" s="418"/>
      <c r="DS86" s="418"/>
      <c r="DT86" s="418"/>
      <c r="DU86" s="418"/>
      <c r="DV86" s="418"/>
      <c r="DW86" s="418"/>
      <c r="DX86" s="418"/>
      <c r="DY86" s="418"/>
      <c r="DZ86" s="418"/>
      <c r="EA86" s="418"/>
      <c r="EB86" s="418"/>
      <c r="EC86" s="418"/>
      <c r="ED86" s="418"/>
      <c r="EE86" s="418"/>
      <c r="EF86" s="418"/>
      <c r="EG86" s="418"/>
      <c r="EH86" s="418"/>
      <c r="EI86" s="418"/>
      <c r="EJ86" s="418"/>
      <c r="EK86" s="418"/>
      <c r="EL86" s="418"/>
      <c r="EM86" s="418"/>
      <c r="EN86" s="418"/>
      <c r="EO86" s="418"/>
      <c r="EP86" s="418"/>
      <c r="EQ86" s="418"/>
      <c r="ER86" s="418"/>
      <c r="ES86" s="418"/>
      <c r="ET86" s="418"/>
      <c r="EU86" s="418"/>
      <c r="EV86" s="418"/>
      <c r="EW86" s="418"/>
      <c r="EX86" s="418"/>
      <c r="EY86" s="418"/>
      <c r="EZ86" s="418"/>
      <c r="FA86" s="418"/>
      <c r="FB86" s="418"/>
      <c r="FC86" s="418"/>
      <c r="FD86" s="418"/>
      <c r="FE86" s="418"/>
      <c r="FF86" s="418"/>
      <c r="FG86" s="418"/>
      <c r="FH86" s="418"/>
      <c r="FI86" s="418"/>
      <c r="FJ86" s="418"/>
      <c r="FK86" s="418"/>
      <c r="FL86" s="418"/>
      <c r="FM86" s="418"/>
      <c r="FN86" s="418"/>
      <c r="FO86" s="418"/>
      <c r="FP86" s="418"/>
      <c r="FQ86" s="418"/>
      <c r="FR86" s="418"/>
      <c r="FS86" s="418"/>
      <c r="FT86" s="418"/>
      <c r="FU86" s="418"/>
      <c r="FV86" s="418"/>
      <c r="FW86" s="418"/>
      <c r="FX86" s="418"/>
      <c r="FY86" s="418"/>
      <c r="FZ86" s="418"/>
      <c r="GA86" s="418"/>
      <c r="GB86" s="418"/>
      <c r="GC86" s="418"/>
      <c r="GD86" s="418"/>
      <c r="GE86" s="418"/>
      <c r="GF86" s="418"/>
      <c r="GG86" s="418"/>
      <c r="GH86" s="418"/>
      <c r="GI86" s="418"/>
      <c r="GJ86" s="418"/>
      <c r="GK86" s="418"/>
      <c r="GL86" s="418"/>
      <c r="GM86" s="418"/>
      <c r="GN86" s="418"/>
      <c r="GO86" s="418"/>
      <c r="GP86" s="418"/>
      <c r="GQ86" s="418"/>
      <c r="GR86" s="418"/>
      <c r="GS86" s="418"/>
      <c r="GT86" s="418"/>
      <c r="GU86" s="418"/>
      <c r="GV86" s="418"/>
      <c r="GW86" s="418"/>
      <c r="GX86" s="418"/>
      <c r="GY86" s="418"/>
      <c r="GZ86" s="418"/>
      <c r="HA86" s="418"/>
      <c r="HB86" s="418"/>
      <c r="HC86" s="418"/>
      <c r="HD86" s="418"/>
      <c r="HE86" s="418"/>
      <c r="HF86" s="418"/>
      <c r="HG86" s="418"/>
      <c r="HH86" s="418"/>
      <c r="HI86" s="418"/>
      <c r="HJ86" s="418"/>
      <c r="HK86" s="418"/>
      <c r="HL86" s="418"/>
      <c r="HM86" s="418"/>
      <c r="HN86" s="418"/>
      <c r="HO86" s="418"/>
      <c r="HP86" s="418"/>
      <c r="HQ86" s="418"/>
      <c r="HR86" s="418"/>
      <c r="HS86" s="418"/>
      <c r="HT86" s="418"/>
      <c r="HU86" s="418"/>
      <c r="HV86" s="418"/>
      <c r="HW86" s="418"/>
      <c r="HX86" s="418"/>
      <c r="HY86" s="418"/>
      <c r="HZ86" s="418"/>
      <c r="IA86" s="418"/>
      <c r="IB86" s="418"/>
      <c r="IC86" s="418"/>
      <c r="ID86" s="418"/>
      <c r="IE86" s="418"/>
      <c r="IF86" s="418"/>
      <c r="IG86" s="418"/>
      <c r="IH86" s="418"/>
      <c r="II86" s="418"/>
      <c r="IJ86" s="418"/>
      <c r="IK86" s="418"/>
      <c r="IL86" s="418"/>
      <c r="IM86" s="418"/>
      <c r="IN86" s="418"/>
      <c r="IO86" s="418"/>
      <c r="IP86" s="418"/>
      <c r="IQ86" s="418"/>
      <c r="IR86" s="418"/>
      <c r="IS86" s="418"/>
      <c r="IT86" s="418"/>
      <c r="IU86" s="418"/>
      <c r="IV86" s="418"/>
      <c r="IW86" s="418"/>
      <c r="IX86" s="418"/>
      <c r="IY86" s="418"/>
      <c r="IZ86" s="418"/>
      <c r="JA86" s="418"/>
    </row>
    <row r="87" spans="1:261" ht="33" x14ac:dyDescent="0.35">
      <c r="A87" s="773">
        <v>77</v>
      </c>
      <c r="B87" s="618"/>
      <c r="C87" s="420">
        <v>16</v>
      </c>
      <c r="D87" s="422" t="s">
        <v>500</v>
      </c>
      <c r="E87" s="430"/>
      <c r="F87" s="762"/>
      <c r="G87" s="431"/>
      <c r="H87" s="999" t="s">
        <v>24</v>
      </c>
      <c r="I87" s="1017"/>
      <c r="J87" s="1013"/>
      <c r="K87" s="1013"/>
      <c r="L87" s="1013"/>
      <c r="M87" s="1013"/>
      <c r="N87" s="1013"/>
      <c r="O87" s="982"/>
      <c r="P87" s="763"/>
    </row>
    <row r="88" spans="1:261" s="758" customFormat="1" ht="18" customHeight="1" x14ac:dyDescent="0.35">
      <c r="A88" s="773">
        <v>78</v>
      </c>
      <c r="B88" s="766"/>
      <c r="C88" s="420"/>
      <c r="D88" s="992" t="s">
        <v>308</v>
      </c>
      <c r="E88" s="430">
        <f>F88+G88+O91+P91+5962</f>
        <v>300876</v>
      </c>
      <c r="F88" s="762">
        <v>4460</v>
      </c>
      <c r="G88" s="431">
        <f>264851+2602</f>
        <v>267453</v>
      </c>
      <c r="H88" s="999"/>
      <c r="I88" s="1017"/>
      <c r="J88" s="1013"/>
      <c r="K88" s="1013">
        <v>1087</v>
      </c>
      <c r="L88" s="1013"/>
      <c r="M88" s="1013">
        <v>21914</v>
      </c>
      <c r="N88" s="1013"/>
      <c r="O88" s="982">
        <f>SUM(I88:N88)</f>
        <v>23001</v>
      </c>
      <c r="P88" s="763"/>
      <c r="Q88" s="418"/>
      <c r="R88" s="418"/>
      <c r="S88" s="418"/>
      <c r="T88" s="418"/>
      <c r="U88" s="418"/>
      <c r="V88" s="418"/>
      <c r="W88" s="418"/>
      <c r="X88" s="418"/>
      <c r="Y88" s="418"/>
      <c r="Z88" s="418"/>
      <c r="AA88" s="418"/>
      <c r="AB88" s="418"/>
      <c r="AC88" s="418"/>
      <c r="AD88" s="418"/>
      <c r="AE88" s="418"/>
      <c r="AF88" s="418"/>
      <c r="AG88" s="418"/>
      <c r="AH88" s="418"/>
      <c r="AI88" s="418"/>
      <c r="AJ88" s="418"/>
      <c r="AK88" s="418"/>
      <c r="AL88" s="418"/>
      <c r="AM88" s="418"/>
      <c r="AN88" s="418"/>
      <c r="AO88" s="418"/>
      <c r="AP88" s="418"/>
      <c r="AQ88" s="418"/>
      <c r="AR88" s="418"/>
      <c r="AS88" s="418"/>
      <c r="AT88" s="418"/>
      <c r="AU88" s="418"/>
      <c r="AV88" s="418"/>
      <c r="AW88" s="418"/>
      <c r="AX88" s="418"/>
      <c r="AY88" s="418"/>
      <c r="AZ88" s="418"/>
      <c r="BA88" s="418"/>
      <c r="BB88" s="418"/>
      <c r="BC88" s="418"/>
      <c r="BD88" s="418"/>
      <c r="BE88" s="418"/>
      <c r="BF88" s="418"/>
      <c r="BG88" s="418"/>
      <c r="BH88" s="418"/>
      <c r="BI88" s="418"/>
      <c r="BJ88" s="418"/>
      <c r="BK88" s="418"/>
      <c r="BL88" s="418"/>
      <c r="BM88" s="418"/>
      <c r="BN88" s="418"/>
      <c r="BO88" s="418"/>
      <c r="BP88" s="418"/>
      <c r="BQ88" s="418"/>
      <c r="BR88" s="418"/>
      <c r="BS88" s="418"/>
      <c r="BT88" s="418"/>
      <c r="BU88" s="418"/>
      <c r="BV88" s="418"/>
      <c r="BW88" s="418"/>
      <c r="BX88" s="418"/>
      <c r="BY88" s="418"/>
      <c r="BZ88" s="418"/>
      <c r="CA88" s="418"/>
      <c r="CB88" s="418"/>
      <c r="CC88" s="418"/>
      <c r="CD88" s="418"/>
      <c r="CE88" s="418"/>
      <c r="CF88" s="418"/>
      <c r="CG88" s="418"/>
      <c r="CH88" s="418"/>
      <c r="CI88" s="418"/>
      <c r="CJ88" s="418"/>
      <c r="CK88" s="418"/>
      <c r="CL88" s="418"/>
      <c r="CM88" s="418"/>
      <c r="CN88" s="418"/>
      <c r="CO88" s="418"/>
      <c r="CP88" s="418"/>
      <c r="CQ88" s="418"/>
      <c r="CR88" s="418"/>
      <c r="CS88" s="418"/>
      <c r="CT88" s="418"/>
      <c r="CU88" s="418"/>
      <c r="CV88" s="418"/>
      <c r="CW88" s="418"/>
      <c r="CX88" s="418"/>
      <c r="CY88" s="418"/>
      <c r="CZ88" s="418"/>
      <c r="DA88" s="418"/>
      <c r="DB88" s="418"/>
      <c r="DC88" s="418"/>
      <c r="DD88" s="418"/>
      <c r="DE88" s="418"/>
      <c r="DF88" s="418"/>
      <c r="DG88" s="418"/>
      <c r="DH88" s="418"/>
      <c r="DI88" s="418"/>
      <c r="DJ88" s="418"/>
      <c r="DK88" s="418"/>
      <c r="DL88" s="418"/>
      <c r="DM88" s="418"/>
      <c r="DN88" s="418"/>
      <c r="DO88" s="418"/>
      <c r="DP88" s="418"/>
      <c r="DQ88" s="418"/>
      <c r="DR88" s="418"/>
      <c r="DS88" s="418"/>
      <c r="DT88" s="418"/>
      <c r="DU88" s="418"/>
      <c r="DV88" s="418"/>
      <c r="DW88" s="418"/>
      <c r="DX88" s="418"/>
      <c r="DY88" s="418"/>
      <c r="DZ88" s="418"/>
      <c r="EA88" s="418"/>
      <c r="EB88" s="418"/>
      <c r="EC88" s="418"/>
      <c r="ED88" s="418"/>
      <c r="EE88" s="418"/>
      <c r="EF88" s="418"/>
      <c r="EG88" s="418"/>
      <c r="EH88" s="418"/>
      <c r="EI88" s="418"/>
      <c r="EJ88" s="418"/>
      <c r="EK88" s="418"/>
      <c r="EL88" s="418"/>
      <c r="EM88" s="418"/>
      <c r="EN88" s="418"/>
      <c r="EO88" s="418"/>
      <c r="EP88" s="418"/>
      <c r="EQ88" s="418"/>
      <c r="ER88" s="418"/>
      <c r="ES88" s="418"/>
      <c r="ET88" s="418"/>
      <c r="EU88" s="418"/>
      <c r="EV88" s="418"/>
      <c r="EW88" s="418"/>
      <c r="EX88" s="418"/>
      <c r="EY88" s="418"/>
      <c r="EZ88" s="418"/>
      <c r="FA88" s="418"/>
      <c r="FB88" s="418"/>
      <c r="FC88" s="418"/>
      <c r="FD88" s="418"/>
      <c r="FE88" s="418"/>
      <c r="FF88" s="418"/>
      <c r="FG88" s="418"/>
      <c r="FH88" s="418"/>
      <c r="FI88" s="418"/>
      <c r="FJ88" s="418"/>
      <c r="FK88" s="418"/>
      <c r="FL88" s="418"/>
      <c r="FM88" s="418"/>
      <c r="FN88" s="418"/>
      <c r="FO88" s="418"/>
      <c r="FP88" s="418"/>
      <c r="FQ88" s="418"/>
      <c r="FR88" s="418"/>
      <c r="FS88" s="418"/>
      <c r="FT88" s="418"/>
      <c r="FU88" s="418"/>
      <c r="FV88" s="418"/>
      <c r="FW88" s="418"/>
      <c r="FX88" s="418"/>
      <c r="FY88" s="418"/>
      <c r="FZ88" s="418"/>
      <c r="GA88" s="418"/>
      <c r="GB88" s="418"/>
      <c r="GC88" s="418"/>
      <c r="GD88" s="418"/>
      <c r="GE88" s="418"/>
      <c r="GF88" s="418"/>
      <c r="GG88" s="418"/>
      <c r="GH88" s="418"/>
      <c r="GI88" s="418"/>
      <c r="GJ88" s="418"/>
      <c r="GK88" s="418"/>
      <c r="GL88" s="418"/>
      <c r="GM88" s="418"/>
      <c r="GN88" s="418"/>
      <c r="GO88" s="418"/>
      <c r="GP88" s="418"/>
      <c r="GQ88" s="418"/>
      <c r="GR88" s="418"/>
      <c r="GS88" s="418"/>
      <c r="GT88" s="418"/>
      <c r="GU88" s="418"/>
      <c r="GV88" s="418"/>
      <c r="GW88" s="418"/>
      <c r="GX88" s="418"/>
      <c r="GY88" s="418"/>
      <c r="GZ88" s="418"/>
      <c r="HA88" s="418"/>
      <c r="HB88" s="418"/>
      <c r="HC88" s="418"/>
      <c r="HD88" s="418"/>
      <c r="HE88" s="418"/>
      <c r="HF88" s="418"/>
      <c r="HG88" s="418"/>
      <c r="HH88" s="418"/>
      <c r="HI88" s="418"/>
      <c r="HJ88" s="418"/>
      <c r="HK88" s="418"/>
      <c r="HL88" s="418"/>
      <c r="HM88" s="418"/>
      <c r="HN88" s="418"/>
      <c r="HO88" s="418"/>
      <c r="HP88" s="418"/>
      <c r="HQ88" s="418"/>
      <c r="HR88" s="418"/>
      <c r="HS88" s="418"/>
      <c r="HT88" s="418"/>
      <c r="HU88" s="418"/>
      <c r="HV88" s="418"/>
      <c r="HW88" s="418"/>
      <c r="HX88" s="418"/>
      <c r="HY88" s="418"/>
      <c r="HZ88" s="418"/>
      <c r="IA88" s="418"/>
      <c r="IB88" s="418"/>
      <c r="IC88" s="418"/>
      <c r="ID88" s="418"/>
      <c r="IE88" s="418"/>
      <c r="IF88" s="418"/>
      <c r="IG88" s="418"/>
      <c r="IH88" s="418"/>
      <c r="II88" s="418"/>
      <c r="IJ88" s="418"/>
      <c r="IK88" s="418"/>
      <c r="IL88" s="418"/>
      <c r="IM88" s="418"/>
      <c r="IN88" s="418"/>
      <c r="IO88" s="418"/>
      <c r="IP88" s="418"/>
      <c r="IQ88" s="418"/>
      <c r="IR88" s="418"/>
      <c r="IS88" s="418"/>
      <c r="IT88" s="418"/>
      <c r="IU88" s="418"/>
      <c r="IV88" s="418"/>
      <c r="IW88" s="418"/>
      <c r="IX88" s="418"/>
      <c r="IY88" s="418"/>
      <c r="IZ88" s="418"/>
      <c r="JA88" s="418"/>
    </row>
    <row r="89" spans="1:261" s="758" customFormat="1" ht="18" customHeight="1" x14ac:dyDescent="0.35">
      <c r="A89" s="773">
        <v>79</v>
      </c>
      <c r="B89" s="766"/>
      <c r="C89" s="420"/>
      <c r="D89" s="576" t="s">
        <v>1158</v>
      </c>
      <c r="E89" s="430"/>
      <c r="F89" s="762"/>
      <c r="G89" s="431"/>
      <c r="H89" s="999"/>
      <c r="I89" s="1017"/>
      <c r="J89" s="1013"/>
      <c r="K89" s="759">
        <v>1087</v>
      </c>
      <c r="L89" s="759"/>
      <c r="M89" s="759">
        <v>21914</v>
      </c>
      <c r="N89" s="1013"/>
      <c r="O89" s="767">
        <f>SUM(I89:N89)</f>
        <v>23001</v>
      </c>
      <c r="P89" s="763"/>
      <c r="Q89" s="418"/>
      <c r="R89" s="418"/>
      <c r="S89" s="418"/>
      <c r="T89" s="418"/>
      <c r="U89" s="418"/>
      <c r="V89" s="418"/>
      <c r="W89" s="418"/>
      <c r="X89" s="418"/>
      <c r="Y89" s="418"/>
      <c r="Z89" s="418"/>
      <c r="AA89" s="418"/>
      <c r="AB89" s="418"/>
      <c r="AC89" s="418"/>
      <c r="AD89" s="418"/>
      <c r="AE89" s="418"/>
      <c r="AF89" s="418"/>
      <c r="AG89" s="418"/>
      <c r="AH89" s="418"/>
      <c r="AI89" s="418"/>
      <c r="AJ89" s="418"/>
      <c r="AK89" s="418"/>
      <c r="AL89" s="418"/>
      <c r="AM89" s="418"/>
      <c r="AN89" s="418"/>
      <c r="AO89" s="418"/>
      <c r="AP89" s="418"/>
      <c r="AQ89" s="418"/>
      <c r="AR89" s="418"/>
      <c r="AS89" s="418"/>
      <c r="AT89" s="418"/>
      <c r="AU89" s="418"/>
      <c r="AV89" s="418"/>
      <c r="AW89" s="418"/>
      <c r="AX89" s="418"/>
      <c r="AY89" s="418"/>
      <c r="AZ89" s="418"/>
      <c r="BA89" s="418"/>
      <c r="BB89" s="418"/>
      <c r="BC89" s="418"/>
      <c r="BD89" s="418"/>
      <c r="BE89" s="418"/>
      <c r="BF89" s="418"/>
      <c r="BG89" s="418"/>
      <c r="BH89" s="418"/>
      <c r="BI89" s="418"/>
      <c r="BJ89" s="418"/>
      <c r="BK89" s="418"/>
      <c r="BL89" s="418"/>
      <c r="BM89" s="418"/>
      <c r="BN89" s="418"/>
      <c r="BO89" s="418"/>
      <c r="BP89" s="418"/>
      <c r="BQ89" s="418"/>
      <c r="BR89" s="418"/>
      <c r="BS89" s="418"/>
      <c r="BT89" s="418"/>
      <c r="BU89" s="418"/>
      <c r="BV89" s="418"/>
      <c r="BW89" s="418"/>
      <c r="BX89" s="418"/>
      <c r="BY89" s="418"/>
      <c r="BZ89" s="418"/>
      <c r="CA89" s="418"/>
      <c r="CB89" s="418"/>
      <c r="CC89" s="418"/>
      <c r="CD89" s="418"/>
      <c r="CE89" s="418"/>
      <c r="CF89" s="418"/>
      <c r="CG89" s="418"/>
      <c r="CH89" s="418"/>
      <c r="CI89" s="418"/>
      <c r="CJ89" s="418"/>
      <c r="CK89" s="418"/>
      <c r="CL89" s="418"/>
      <c r="CM89" s="418"/>
      <c r="CN89" s="418"/>
      <c r="CO89" s="418"/>
      <c r="CP89" s="418"/>
      <c r="CQ89" s="418"/>
      <c r="CR89" s="418"/>
      <c r="CS89" s="418"/>
      <c r="CT89" s="418"/>
      <c r="CU89" s="418"/>
      <c r="CV89" s="418"/>
      <c r="CW89" s="418"/>
      <c r="CX89" s="418"/>
      <c r="CY89" s="418"/>
      <c r="CZ89" s="418"/>
      <c r="DA89" s="418"/>
      <c r="DB89" s="418"/>
      <c r="DC89" s="418"/>
      <c r="DD89" s="418"/>
      <c r="DE89" s="418"/>
      <c r="DF89" s="418"/>
      <c r="DG89" s="418"/>
      <c r="DH89" s="418"/>
      <c r="DI89" s="418"/>
      <c r="DJ89" s="418"/>
      <c r="DK89" s="418"/>
      <c r="DL89" s="418"/>
      <c r="DM89" s="418"/>
      <c r="DN89" s="418"/>
      <c r="DO89" s="418"/>
      <c r="DP89" s="418"/>
      <c r="DQ89" s="418"/>
      <c r="DR89" s="418"/>
      <c r="DS89" s="418"/>
      <c r="DT89" s="418"/>
      <c r="DU89" s="418"/>
      <c r="DV89" s="418"/>
      <c r="DW89" s="418"/>
      <c r="DX89" s="418"/>
      <c r="DY89" s="418"/>
      <c r="DZ89" s="418"/>
      <c r="EA89" s="418"/>
      <c r="EB89" s="418"/>
      <c r="EC89" s="418"/>
      <c r="ED89" s="418"/>
      <c r="EE89" s="418"/>
      <c r="EF89" s="418"/>
      <c r="EG89" s="418"/>
      <c r="EH89" s="418"/>
      <c r="EI89" s="418"/>
      <c r="EJ89" s="418"/>
      <c r="EK89" s="418"/>
      <c r="EL89" s="418"/>
      <c r="EM89" s="418"/>
      <c r="EN89" s="418"/>
      <c r="EO89" s="418"/>
      <c r="EP89" s="418"/>
      <c r="EQ89" s="418"/>
      <c r="ER89" s="418"/>
      <c r="ES89" s="418"/>
      <c r="ET89" s="418"/>
      <c r="EU89" s="418"/>
      <c r="EV89" s="418"/>
      <c r="EW89" s="418"/>
      <c r="EX89" s="418"/>
      <c r="EY89" s="418"/>
      <c r="EZ89" s="418"/>
      <c r="FA89" s="418"/>
      <c r="FB89" s="418"/>
      <c r="FC89" s="418"/>
      <c r="FD89" s="418"/>
      <c r="FE89" s="418"/>
      <c r="FF89" s="418"/>
      <c r="FG89" s="418"/>
      <c r="FH89" s="418"/>
      <c r="FI89" s="418"/>
      <c r="FJ89" s="418"/>
      <c r="FK89" s="418"/>
      <c r="FL89" s="418"/>
      <c r="FM89" s="418"/>
      <c r="FN89" s="418"/>
      <c r="FO89" s="418"/>
      <c r="FP89" s="418"/>
      <c r="FQ89" s="418"/>
      <c r="FR89" s="418"/>
      <c r="FS89" s="418"/>
      <c r="FT89" s="418"/>
      <c r="FU89" s="418"/>
      <c r="FV89" s="418"/>
      <c r="FW89" s="418"/>
      <c r="FX89" s="418"/>
      <c r="FY89" s="418"/>
      <c r="FZ89" s="418"/>
      <c r="GA89" s="418"/>
      <c r="GB89" s="418"/>
      <c r="GC89" s="418"/>
      <c r="GD89" s="418"/>
      <c r="GE89" s="418"/>
      <c r="GF89" s="418"/>
      <c r="GG89" s="418"/>
      <c r="GH89" s="418"/>
      <c r="GI89" s="418"/>
      <c r="GJ89" s="418"/>
      <c r="GK89" s="418"/>
      <c r="GL89" s="418"/>
      <c r="GM89" s="418"/>
      <c r="GN89" s="418"/>
      <c r="GO89" s="418"/>
      <c r="GP89" s="418"/>
      <c r="GQ89" s="418"/>
      <c r="GR89" s="418"/>
      <c r="GS89" s="418"/>
      <c r="GT89" s="418"/>
      <c r="GU89" s="418"/>
      <c r="GV89" s="418"/>
      <c r="GW89" s="418"/>
      <c r="GX89" s="418"/>
      <c r="GY89" s="418"/>
      <c r="GZ89" s="418"/>
      <c r="HA89" s="418"/>
      <c r="HB89" s="418"/>
      <c r="HC89" s="418"/>
      <c r="HD89" s="418"/>
      <c r="HE89" s="418"/>
      <c r="HF89" s="418"/>
      <c r="HG89" s="418"/>
      <c r="HH89" s="418"/>
      <c r="HI89" s="418"/>
      <c r="HJ89" s="418"/>
      <c r="HK89" s="418"/>
      <c r="HL89" s="418"/>
      <c r="HM89" s="418"/>
      <c r="HN89" s="418"/>
      <c r="HO89" s="418"/>
      <c r="HP89" s="418"/>
      <c r="HQ89" s="418"/>
      <c r="HR89" s="418"/>
      <c r="HS89" s="418"/>
      <c r="HT89" s="418"/>
      <c r="HU89" s="418"/>
      <c r="HV89" s="418"/>
      <c r="HW89" s="418"/>
      <c r="HX89" s="418"/>
      <c r="HY89" s="418"/>
      <c r="HZ89" s="418"/>
      <c r="IA89" s="418"/>
      <c r="IB89" s="418"/>
      <c r="IC89" s="418"/>
      <c r="ID89" s="418"/>
      <c r="IE89" s="418"/>
      <c r="IF89" s="418"/>
      <c r="IG89" s="418"/>
      <c r="IH89" s="418"/>
      <c r="II89" s="418"/>
      <c r="IJ89" s="418"/>
      <c r="IK89" s="418"/>
      <c r="IL89" s="418"/>
      <c r="IM89" s="418"/>
      <c r="IN89" s="418"/>
      <c r="IO89" s="418"/>
      <c r="IP89" s="418"/>
      <c r="IQ89" s="418"/>
      <c r="IR89" s="418"/>
      <c r="IS89" s="418"/>
      <c r="IT89" s="418"/>
      <c r="IU89" s="418"/>
      <c r="IV89" s="418"/>
      <c r="IW89" s="418"/>
      <c r="IX89" s="418"/>
      <c r="IY89" s="418"/>
      <c r="IZ89" s="418"/>
      <c r="JA89" s="418"/>
    </row>
    <row r="90" spans="1:261" s="758" customFormat="1" ht="18" customHeight="1" x14ac:dyDescent="0.35">
      <c r="A90" s="773">
        <v>80</v>
      </c>
      <c r="B90" s="766"/>
      <c r="C90" s="420"/>
      <c r="D90" s="1318" t="s">
        <v>947</v>
      </c>
      <c r="E90" s="430"/>
      <c r="F90" s="762"/>
      <c r="G90" s="431"/>
      <c r="H90" s="999"/>
      <c r="I90" s="995"/>
      <c r="J90" s="759"/>
      <c r="K90" s="759"/>
      <c r="L90" s="759"/>
      <c r="M90" s="759"/>
      <c r="N90" s="759"/>
      <c r="O90" s="1599">
        <f>SUM(I90:N90)</f>
        <v>0</v>
      </c>
      <c r="P90" s="763"/>
      <c r="Q90" s="418"/>
      <c r="R90" s="418"/>
      <c r="S90" s="418"/>
      <c r="T90" s="418"/>
      <c r="U90" s="418"/>
      <c r="V90" s="418"/>
      <c r="W90" s="418"/>
      <c r="X90" s="418"/>
      <c r="Y90" s="418"/>
      <c r="Z90" s="418"/>
      <c r="AA90" s="418"/>
      <c r="AB90" s="418"/>
      <c r="AC90" s="418"/>
      <c r="AD90" s="418"/>
      <c r="AE90" s="418"/>
      <c r="AF90" s="418"/>
      <c r="AG90" s="418"/>
      <c r="AH90" s="418"/>
      <c r="AI90" s="418"/>
      <c r="AJ90" s="418"/>
      <c r="AK90" s="418"/>
      <c r="AL90" s="418"/>
      <c r="AM90" s="418"/>
      <c r="AN90" s="418"/>
      <c r="AO90" s="418"/>
      <c r="AP90" s="418"/>
      <c r="AQ90" s="418"/>
      <c r="AR90" s="418"/>
      <c r="AS90" s="418"/>
      <c r="AT90" s="418"/>
      <c r="AU90" s="418"/>
      <c r="AV90" s="418"/>
      <c r="AW90" s="418"/>
      <c r="AX90" s="418"/>
      <c r="AY90" s="418"/>
      <c r="AZ90" s="418"/>
      <c r="BA90" s="418"/>
      <c r="BB90" s="418"/>
      <c r="BC90" s="418"/>
      <c r="BD90" s="418"/>
      <c r="BE90" s="418"/>
      <c r="BF90" s="418"/>
      <c r="BG90" s="418"/>
      <c r="BH90" s="418"/>
      <c r="BI90" s="418"/>
      <c r="BJ90" s="418"/>
      <c r="BK90" s="418"/>
      <c r="BL90" s="418"/>
      <c r="BM90" s="418"/>
      <c r="BN90" s="418"/>
      <c r="BO90" s="418"/>
      <c r="BP90" s="418"/>
      <c r="BQ90" s="418"/>
      <c r="BR90" s="418"/>
      <c r="BS90" s="418"/>
      <c r="BT90" s="418"/>
      <c r="BU90" s="418"/>
      <c r="BV90" s="418"/>
      <c r="BW90" s="418"/>
      <c r="BX90" s="418"/>
      <c r="BY90" s="418"/>
      <c r="BZ90" s="418"/>
      <c r="CA90" s="418"/>
      <c r="CB90" s="418"/>
      <c r="CC90" s="418"/>
      <c r="CD90" s="418"/>
      <c r="CE90" s="418"/>
      <c r="CF90" s="418"/>
      <c r="CG90" s="418"/>
      <c r="CH90" s="418"/>
      <c r="CI90" s="418"/>
      <c r="CJ90" s="418"/>
      <c r="CK90" s="418"/>
      <c r="CL90" s="418"/>
      <c r="CM90" s="418"/>
      <c r="CN90" s="418"/>
      <c r="CO90" s="418"/>
      <c r="CP90" s="418"/>
      <c r="CQ90" s="418"/>
      <c r="CR90" s="418"/>
      <c r="CS90" s="418"/>
      <c r="CT90" s="418"/>
      <c r="CU90" s="418"/>
      <c r="CV90" s="418"/>
      <c r="CW90" s="418"/>
      <c r="CX90" s="418"/>
      <c r="CY90" s="418"/>
      <c r="CZ90" s="418"/>
      <c r="DA90" s="418"/>
      <c r="DB90" s="418"/>
      <c r="DC90" s="418"/>
      <c r="DD90" s="418"/>
      <c r="DE90" s="418"/>
      <c r="DF90" s="418"/>
      <c r="DG90" s="418"/>
      <c r="DH90" s="418"/>
      <c r="DI90" s="418"/>
      <c r="DJ90" s="418"/>
      <c r="DK90" s="418"/>
      <c r="DL90" s="418"/>
      <c r="DM90" s="418"/>
      <c r="DN90" s="418"/>
      <c r="DO90" s="418"/>
      <c r="DP90" s="418"/>
      <c r="DQ90" s="418"/>
      <c r="DR90" s="418"/>
      <c r="DS90" s="418"/>
      <c r="DT90" s="418"/>
      <c r="DU90" s="418"/>
      <c r="DV90" s="418"/>
      <c r="DW90" s="418"/>
      <c r="DX90" s="418"/>
      <c r="DY90" s="418"/>
      <c r="DZ90" s="418"/>
      <c r="EA90" s="418"/>
      <c r="EB90" s="418"/>
      <c r="EC90" s="418"/>
      <c r="ED90" s="418"/>
      <c r="EE90" s="418"/>
      <c r="EF90" s="418"/>
      <c r="EG90" s="418"/>
      <c r="EH90" s="418"/>
      <c r="EI90" s="418"/>
      <c r="EJ90" s="418"/>
      <c r="EK90" s="418"/>
      <c r="EL90" s="418"/>
      <c r="EM90" s="418"/>
      <c r="EN90" s="418"/>
      <c r="EO90" s="418"/>
      <c r="EP90" s="418"/>
      <c r="EQ90" s="418"/>
      <c r="ER90" s="418"/>
      <c r="ES90" s="418"/>
      <c r="ET90" s="418"/>
      <c r="EU90" s="418"/>
      <c r="EV90" s="418"/>
      <c r="EW90" s="418"/>
      <c r="EX90" s="418"/>
      <c r="EY90" s="418"/>
      <c r="EZ90" s="418"/>
      <c r="FA90" s="418"/>
      <c r="FB90" s="418"/>
      <c r="FC90" s="418"/>
      <c r="FD90" s="418"/>
      <c r="FE90" s="418"/>
      <c r="FF90" s="418"/>
      <c r="FG90" s="418"/>
      <c r="FH90" s="418"/>
      <c r="FI90" s="418"/>
      <c r="FJ90" s="418"/>
      <c r="FK90" s="418"/>
      <c r="FL90" s="418"/>
      <c r="FM90" s="418"/>
      <c r="FN90" s="418"/>
      <c r="FO90" s="418"/>
      <c r="FP90" s="418"/>
      <c r="FQ90" s="418"/>
      <c r="FR90" s="418"/>
      <c r="FS90" s="418"/>
      <c r="FT90" s="418"/>
      <c r="FU90" s="418"/>
      <c r="FV90" s="418"/>
      <c r="FW90" s="418"/>
      <c r="FX90" s="418"/>
      <c r="FY90" s="418"/>
      <c r="FZ90" s="418"/>
      <c r="GA90" s="418"/>
      <c r="GB90" s="418"/>
      <c r="GC90" s="418"/>
      <c r="GD90" s="418"/>
      <c r="GE90" s="418"/>
      <c r="GF90" s="418"/>
      <c r="GG90" s="418"/>
      <c r="GH90" s="418"/>
      <c r="GI90" s="418"/>
      <c r="GJ90" s="418"/>
      <c r="GK90" s="418"/>
      <c r="GL90" s="418"/>
      <c r="GM90" s="418"/>
      <c r="GN90" s="418"/>
      <c r="GO90" s="418"/>
      <c r="GP90" s="418"/>
      <c r="GQ90" s="418"/>
      <c r="GR90" s="418"/>
      <c r="GS90" s="418"/>
      <c r="GT90" s="418"/>
      <c r="GU90" s="418"/>
      <c r="GV90" s="418"/>
      <c r="GW90" s="418"/>
      <c r="GX90" s="418"/>
      <c r="GY90" s="418"/>
      <c r="GZ90" s="418"/>
      <c r="HA90" s="418"/>
      <c r="HB90" s="418"/>
      <c r="HC90" s="418"/>
      <c r="HD90" s="418"/>
      <c r="HE90" s="418"/>
      <c r="HF90" s="418"/>
      <c r="HG90" s="418"/>
      <c r="HH90" s="418"/>
      <c r="HI90" s="418"/>
      <c r="HJ90" s="418"/>
      <c r="HK90" s="418"/>
      <c r="HL90" s="418"/>
      <c r="HM90" s="418"/>
      <c r="HN90" s="418"/>
      <c r="HO90" s="418"/>
      <c r="HP90" s="418"/>
      <c r="HQ90" s="418"/>
      <c r="HR90" s="418"/>
      <c r="HS90" s="418"/>
      <c r="HT90" s="418"/>
      <c r="HU90" s="418"/>
      <c r="HV90" s="418"/>
      <c r="HW90" s="418"/>
      <c r="HX90" s="418"/>
      <c r="HY90" s="418"/>
      <c r="HZ90" s="418"/>
      <c r="IA90" s="418"/>
      <c r="IB90" s="418"/>
      <c r="IC90" s="418"/>
      <c r="ID90" s="418"/>
      <c r="IE90" s="418"/>
      <c r="IF90" s="418"/>
      <c r="IG90" s="418"/>
      <c r="IH90" s="418"/>
      <c r="II90" s="418"/>
      <c r="IJ90" s="418"/>
      <c r="IK90" s="418"/>
      <c r="IL90" s="418"/>
      <c r="IM90" s="418"/>
      <c r="IN90" s="418"/>
      <c r="IO90" s="418"/>
      <c r="IP90" s="418"/>
      <c r="IQ90" s="418"/>
      <c r="IR90" s="418"/>
      <c r="IS90" s="418"/>
      <c r="IT90" s="418"/>
      <c r="IU90" s="418"/>
      <c r="IV90" s="418"/>
      <c r="IW90" s="418"/>
      <c r="IX90" s="418"/>
      <c r="IY90" s="418"/>
      <c r="IZ90" s="418"/>
      <c r="JA90" s="418"/>
    </row>
    <row r="91" spans="1:261" s="758" customFormat="1" ht="18" customHeight="1" x14ac:dyDescent="0.35">
      <c r="A91" s="773">
        <v>81</v>
      </c>
      <c r="B91" s="766"/>
      <c r="C91" s="420"/>
      <c r="D91" s="576" t="s">
        <v>1250</v>
      </c>
      <c r="E91" s="430"/>
      <c r="F91" s="762"/>
      <c r="G91" s="431"/>
      <c r="H91" s="999"/>
      <c r="I91" s="995"/>
      <c r="J91" s="759"/>
      <c r="K91" s="759">
        <f>SUM(K89:K90)</f>
        <v>1087</v>
      </c>
      <c r="L91" s="759"/>
      <c r="M91" s="759">
        <f t="shared" ref="M91" si="12">SUM(M89:M90)</f>
        <v>21914</v>
      </c>
      <c r="N91" s="759"/>
      <c r="O91" s="767">
        <f>SUM(I91:N91)</f>
        <v>23001</v>
      </c>
      <c r="P91" s="763"/>
      <c r="Q91" s="418"/>
      <c r="R91" s="418"/>
      <c r="S91" s="418"/>
      <c r="T91" s="418"/>
      <c r="U91" s="418"/>
      <c r="V91" s="418"/>
      <c r="W91" s="418"/>
      <c r="X91" s="418"/>
      <c r="Y91" s="418"/>
      <c r="Z91" s="418"/>
      <c r="AA91" s="418"/>
      <c r="AB91" s="418"/>
      <c r="AC91" s="418"/>
      <c r="AD91" s="418"/>
      <c r="AE91" s="418"/>
      <c r="AF91" s="418"/>
      <c r="AG91" s="418"/>
      <c r="AH91" s="418"/>
      <c r="AI91" s="418"/>
      <c r="AJ91" s="418"/>
      <c r="AK91" s="418"/>
      <c r="AL91" s="418"/>
      <c r="AM91" s="418"/>
      <c r="AN91" s="418"/>
      <c r="AO91" s="418"/>
      <c r="AP91" s="418"/>
      <c r="AQ91" s="418"/>
      <c r="AR91" s="418"/>
      <c r="AS91" s="418"/>
      <c r="AT91" s="418"/>
      <c r="AU91" s="418"/>
      <c r="AV91" s="418"/>
      <c r="AW91" s="418"/>
      <c r="AX91" s="418"/>
      <c r="AY91" s="418"/>
      <c r="AZ91" s="418"/>
      <c r="BA91" s="418"/>
      <c r="BB91" s="418"/>
      <c r="BC91" s="418"/>
      <c r="BD91" s="418"/>
      <c r="BE91" s="418"/>
      <c r="BF91" s="418"/>
      <c r="BG91" s="418"/>
      <c r="BH91" s="418"/>
      <c r="BI91" s="418"/>
      <c r="BJ91" s="418"/>
      <c r="BK91" s="418"/>
      <c r="BL91" s="418"/>
      <c r="BM91" s="418"/>
      <c r="BN91" s="418"/>
      <c r="BO91" s="418"/>
      <c r="BP91" s="418"/>
      <c r="BQ91" s="418"/>
      <c r="BR91" s="418"/>
      <c r="BS91" s="418"/>
      <c r="BT91" s="418"/>
      <c r="BU91" s="418"/>
      <c r="BV91" s="418"/>
      <c r="BW91" s="418"/>
      <c r="BX91" s="418"/>
      <c r="BY91" s="418"/>
      <c r="BZ91" s="418"/>
      <c r="CA91" s="418"/>
      <c r="CB91" s="418"/>
      <c r="CC91" s="418"/>
      <c r="CD91" s="418"/>
      <c r="CE91" s="418"/>
      <c r="CF91" s="418"/>
      <c r="CG91" s="418"/>
      <c r="CH91" s="418"/>
      <c r="CI91" s="418"/>
      <c r="CJ91" s="418"/>
      <c r="CK91" s="418"/>
      <c r="CL91" s="418"/>
      <c r="CM91" s="418"/>
      <c r="CN91" s="418"/>
      <c r="CO91" s="418"/>
      <c r="CP91" s="418"/>
      <c r="CQ91" s="418"/>
      <c r="CR91" s="418"/>
      <c r="CS91" s="418"/>
      <c r="CT91" s="418"/>
      <c r="CU91" s="418"/>
      <c r="CV91" s="418"/>
      <c r="CW91" s="418"/>
      <c r="CX91" s="418"/>
      <c r="CY91" s="418"/>
      <c r="CZ91" s="418"/>
      <c r="DA91" s="418"/>
      <c r="DB91" s="418"/>
      <c r="DC91" s="418"/>
      <c r="DD91" s="418"/>
      <c r="DE91" s="418"/>
      <c r="DF91" s="418"/>
      <c r="DG91" s="418"/>
      <c r="DH91" s="418"/>
      <c r="DI91" s="418"/>
      <c r="DJ91" s="418"/>
      <c r="DK91" s="418"/>
      <c r="DL91" s="418"/>
      <c r="DM91" s="418"/>
      <c r="DN91" s="418"/>
      <c r="DO91" s="418"/>
      <c r="DP91" s="418"/>
      <c r="DQ91" s="418"/>
      <c r="DR91" s="418"/>
      <c r="DS91" s="418"/>
      <c r="DT91" s="418"/>
      <c r="DU91" s="418"/>
      <c r="DV91" s="418"/>
      <c r="DW91" s="418"/>
      <c r="DX91" s="418"/>
      <c r="DY91" s="418"/>
      <c r="DZ91" s="418"/>
      <c r="EA91" s="418"/>
      <c r="EB91" s="418"/>
      <c r="EC91" s="418"/>
      <c r="ED91" s="418"/>
      <c r="EE91" s="418"/>
      <c r="EF91" s="418"/>
      <c r="EG91" s="418"/>
      <c r="EH91" s="418"/>
      <c r="EI91" s="418"/>
      <c r="EJ91" s="418"/>
      <c r="EK91" s="418"/>
      <c r="EL91" s="418"/>
      <c r="EM91" s="418"/>
      <c r="EN91" s="418"/>
      <c r="EO91" s="418"/>
      <c r="EP91" s="418"/>
      <c r="EQ91" s="418"/>
      <c r="ER91" s="418"/>
      <c r="ES91" s="418"/>
      <c r="ET91" s="418"/>
      <c r="EU91" s="418"/>
      <c r="EV91" s="418"/>
      <c r="EW91" s="418"/>
      <c r="EX91" s="418"/>
      <c r="EY91" s="418"/>
      <c r="EZ91" s="418"/>
      <c r="FA91" s="418"/>
      <c r="FB91" s="418"/>
      <c r="FC91" s="418"/>
      <c r="FD91" s="418"/>
      <c r="FE91" s="418"/>
      <c r="FF91" s="418"/>
      <c r="FG91" s="418"/>
      <c r="FH91" s="418"/>
      <c r="FI91" s="418"/>
      <c r="FJ91" s="418"/>
      <c r="FK91" s="418"/>
      <c r="FL91" s="418"/>
      <c r="FM91" s="418"/>
      <c r="FN91" s="418"/>
      <c r="FO91" s="418"/>
      <c r="FP91" s="418"/>
      <c r="FQ91" s="418"/>
      <c r="FR91" s="418"/>
      <c r="FS91" s="418"/>
      <c r="FT91" s="418"/>
      <c r="FU91" s="418"/>
      <c r="FV91" s="418"/>
      <c r="FW91" s="418"/>
      <c r="FX91" s="418"/>
      <c r="FY91" s="418"/>
      <c r="FZ91" s="418"/>
      <c r="GA91" s="418"/>
      <c r="GB91" s="418"/>
      <c r="GC91" s="418"/>
      <c r="GD91" s="418"/>
      <c r="GE91" s="418"/>
      <c r="GF91" s="418"/>
      <c r="GG91" s="418"/>
      <c r="GH91" s="418"/>
      <c r="GI91" s="418"/>
      <c r="GJ91" s="418"/>
      <c r="GK91" s="418"/>
      <c r="GL91" s="418"/>
      <c r="GM91" s="418"/>
      <c r="GN91" s="418"/>
      <c r="GO91" s="418"/>
      <c r="GP91" s="418"/>
      <c r="GQ91" s="418"/>
      <c r="GR91" s="418"/>
      <c r="GS91" s="418"/>
      <c r="GT91" s="418"/>
      <c r="GU91" s="418"/>
      <c r="GV91" s="418"/>
      <c r="GW91" s="418"/>
      <c r="GX91" s="418"/>
      <c r="GY91" s="418"/>
      <c r="GZ91" s="418"/>
      <c r="HA91" s="418"/>
      <c r="HB91" s="418"/>
      <c r="HC91" s="418"/>
      <c r="HD91" s="418"/>
      <c r="HE91" s="418"/>
      <c r="HF91" s="418"/>
      <c r="HG91" s="418"/>
      <c r="HH91" s="418"/>
      <c r="HI91" s="418"/>
      <c r="HJ91" s="418"/>
      <c r="HK91" s="418"/>
      <c r="HL91" s="418"/>
      <c r="HM91" s="418"/>
      <c r="HN91" s="418"/>
      <c r="HO91" s="418"/>
      <c r="HP91" s="418"/>
      <c r="HQ91" s="418"/>
      <c r="HR91" s="418"/>
      <c r="HS91" s="418"/>
      <c r="HT91" s="418"/>
      <c r="HU91" s="418"/>
      <c r="HV91" s="418"/>
      <c r="HW91" s="418"/>
      <c r="HX91" s="418"/>
      <c r="HY91" s="418"/>
      <c r="HZ91" s="418"/>
      <c r="IA91" s="418"/>
      <c r="IB91" s="418"/>
      <c r="IC91" s="418"/>
      <c r="ID91" s="418"/>
      <c r="IE91" s="418"/>
      <c r="IF91" s="418"/>
      <c r="IG91" s="418"/>
      <c r="IH91" s="418"/>
      <c r="II91" s="418"/>
      <c r="IJ91" s="418"/>
      <c r="IK91" s="418"/>
      <c r="IL91" s="418"/>
      <c r="IM91" s="418"/>
      <c r="IN91" s="418"/>
      <c r="IO91" s="418"/>
      <c r="IP91" s="418"/>
      <c r="IQ91" s="418"/>
      <c r="IR91" s="418"/>
      <c r="IS91" s="418"/>
      <c r="IT91" s="418"/>
      <c r="IU91" s="418"/>
      <c r="IV91" s="418"/>
      <c r="IW91" s="418"/>
      <c r="IX91" s="418"/>
      <c r="IY91" s="418"/>
      <c r="IZ91" s="418"/>
      <c r="JA91" s="418"/>
    </row>
    <row r="92" spans="1:261" ht="33" x14ac:dyDescent="0.35">
      <c r="A92" s="773">
        <v>82</v>
      </c>
      <c r="B92" s="618"/>
      <c r="C92" s="420">
        <v>17</v>
      </c>
      <c r="D92" s="422" t="s">
        <v>612</v>
      </c>
      <c r="E92" s="430"/>
      <c r="F92" s="762"/>
      <c r="G92" s="431"/>
      <c r="H92" s="999" t="s">
        <v>24</v>
      </c>
      <c r="I92" s="1017"/>
      <c r="J92" s="1013"/>
      <c r="K92" s="1013"/>
      <c r="L92" s="1013"/>
      <c r="M92" s="1013"/>
      <c r="N92" s="1013"/>
      <c r="O92" s="982"/>
      <c r="P92" s="763"/>
    </row>
    <row r="93" spans="1:261" s="758" customFormat="1" ht="18" customHeight="1" x14ac:dyDescent="0.35">
      <c r="A93" s="773">
        <v>83</v>
      </c>
      <c r="B93" s="766"/>
      <c r="C93" s="420"/>
      <c r="D93" s="992" t="s">
        <v>308</v>
      </c>
      <c r="E93" s="430">
        <f>F93+G93+O96+P96</f>
        <v>821175</v>
      </c>
      <c r="F93" s="762">
        <v>6414</v>
      </c>
      <c r="G93" s="431">
        <f>26646</f>
        <v>26646</v>
      </c>
      <c r="H93" s="999"/>
      <c r="I93" s="1017"/>
      <c r="J93" s="1013"/>
      <c r="K93" s="1013">
        <v>10750</v>
      </c>
      <c r="L93" s="1013"/>
      <c r="M93" s="1013">
        <f>41400+730453</f>
        <v>771853</v>
      </c>
      <c r="N93" s="1013"/>
      <c r="O93" s="982">
        <f>SUM(I93:N93)</f>
        <v>782603</v>
      </c>
      <c r="P93" s="763"/>
      <c r="Q93" s="418"/>
      <c r="R93" s="418"/>
      <c r="S93" s="418"/>
      <c r="T93" s="418"/>
      <c r="U93" s="418"/>
      <c r="V93" s="418"/>
      <c r="W93" s="418"/>
      <c r="X93" s="418"/>
      <c r="Y93" s="418"/>
      <c r="Z93" s="418"/>
      <c r="AA93" s="418"/>
      <c r="AB93" s="418"/>
      <c r="AC93" s="418"/>
      <c r="AD93" s="418"/>
      <c r="AE93" s="418"/>
      <c r="AF93" s="418"/>
      <c r="AG93" s="418"/>
      <c r="AH93" s="418"/>
      <c r="AI93" s="418"/>
      <c r="AJ93" s="418"/>
      <c r="AK93" s="418"/>
      <c r="AL93" s="418"/>
      <c r="AM93" s="418"/>
      <c r="AN93" s="418"/>
      <c r="AO93" s="418"/>
      <c r="AP93" s="418"/>
      <c r="AQ93" s="418"/>
      <c r="AR93" s="418"/>
      <c r="AS93" s="418"/>
      <c r="AT93" s="418"/>
      <c r="AU93" s="418"/>
      <c r="AV93" s="418"/>
      <c r="AW93" s="418"/>
      <c r="AX93" s="418"/>
      <c r="AY93" s="418"/>
      <c r="AZ93" s="418"/>
      <c r="BA93" s="418"/>
      <c r="BB93" s="418"/>
      <c r="BC93" s="418"/>
      <c r="BD93" s="418"/>
      <c r="BE93" s="418"/>
      <c r="BF93" s="418"/>
      <c r="BG93" s="418"/>
      <c r="BH93" s="418"/>
      <c r="BI93" s="418"/>
      <c r="BJ93" s="418"/>
      <c r="BK93" s="418"/>
      <c r="BL93" s="418"/>
      <c r="BM93" s="418"/>
      <c r="BN93" s="418"/>
      <c r="BO93" s="418"/>
      <c r="BP93" s="418"/>
      <c r="BQ93" s="418"/>
      <c r="BR93" s="418"/>
      <c r="BS93" s="418"/>
      <c r="BT93" s="418"/>
      <c r="BU93" s="418"/>
      <c r="BV93" s="418"/>
      <c r="BW93" s="418"/>
      <c r="BX93" s="418"/>
      <c r="BY93" s="418"/>
      <c r="BZ93" s="418"/>
      <c r="CA93" s="418"/>
      <c r="CB93" s="418"/>
      <c r="CC93" s="418"/>
      <c r="CD93" s="418"/>
      <c r="CE93" s="418"/>
      <c r="CF93" s="418"/>
      <c r="CG93" s="418"/>
      <c r="CH93" s="418"/>
      <c r="CI93" s="418"/>
      <c r="CJ93" s="418"/>
      <c r="CK93" s="418"/>
      <c r="CL93" s="418"/>
      <c r="CM93" s="418"/>
      <c r="CN93" s="418"/>
      <c r="CO93" s="418"/>
      <c r="CP93" s="418"/>
      <c r="CQ93" s="418"/>
      <c r="CR93" s="418"/>
      <c r="CS93" s="418"/>
      <c r="CT93" s="418"/>
      <c r="CU93" s="418"/>
      <c r="CV93" s="418"/>
      <c r="CW93" s="418"/>
      <c r="CX93" s="418"/>
      <c r="CY93" s="418"/>
      <c r="CZ93" s="418"/>
      <c r="DA93" s="418"/>
      <c r="DB93" s="418"/>
      <c r="DC93" s="418"/>
      <c r="DD93" s="418"/>
      <c r="DE93" s="418"/>
      <c r="DF93" s="418"/>
      <c r="DG93" s="418"/>
      <c r="DH93" s="418"/>
      <c r="DI93" s="418"/>
      <c r="DJ93" s="418"/>
      <c r="DK93" s="418"/>
      <c r="DL93" s="418"/>
      <c r="DM93" s="418"/>
      <c r="DN93" s="418"/>
      <c r="DO93" s="418"/>
      <c r="DP93" s="418"/>
      <c r="DQ93" s="418"/>
      <c r="DR93" s="418"/>
      <c r="DS93" s="418"/>
      <c r="DT93" s="418"/>
      <c r="DU93" s="418"/>
      <c r="DV93" s="418"/>
      <c r="DW93" s="418"/>
      <c r="DX93" s="418"/>
      <c r="DY93" s="418"/>
      <c r="DZ93" s="418"/>
      <c r="EA93" s="418"/>
      <c r="EB93" s="418"/>
      <c r="EC93" s="418"/>
      <c r="ED93" s="418"/>
      <c r="EE93" s="418"/>
      <c r="EF93" s="418"/>
      <c r="EG93" s="418"/>
      <c r="EH93" s="418"/>
      <c r="EI93" s="418"/>
      <c r="EJ93" s="418"/>
      <c r="EK93" s="418"/>
      <c r="EL93" s="418"/>
      <c r="EM93" s="418"/>
      <c r="EN93" s="418"/>
      <c r="EO93" s="418"/>
      <c r="EP93" s="418"/>
      <c r="EQ93" s="418"/>
      <c r="ER93" s="418"/>
      <c r="ES93" s="418"/>
      <c r="ET93" s="418"/>
      <c r="EU93" s="418"/>
      <c r="EV93" s="418"/>
      <c r="EW93" s="418"/>
      <c r="EX93" s="418"/>
      <c r="EY93" s="418"/>
      <c r="EZ93" s="418"/>
      <c r="FA93" s="418"/>
      <c r="FB93" s="418"/>
      <c r="FC93" s="418"/>
      <c r="FD93" s="418"/>
      <c r="FE93" s="418"/>
      <c r="FF93" s="418"/>
      <c r="FG93" s="418"/>
      <c r="FH93" s="418"/>
      <c r="FI93" s="418"/>
      <c r="FJ93" s="418"/>
      <c r="FK93" s="418"/>
      <c r="FL93" s="418"/>
      <c r="FM93" s="418"/>
      <c r="FN93" s="418"/>
      <c r="FO93" s="418"/>
      <c r="FP93" s="418"/>
      <c r="FQ93" s="418"/>
      <c r="FR93" s="418"/>
      <c r="FS93" s="418"/>
      <c r="FT93" s="418"/>
      <c r="FU93" s="418"/>
      <c r="FV93" s="418"/>
      <c r="FW93" s="418"/>
      <c r="FX93" s="418"/>
      <c r="FY93" s="418"/>
      <c r="FZ93" s="418"/>
      <c r="GA93" s="418"/>
      <c r="GB93" s="418"/>
      <c r="GC93" s="418"/>
      <c r="GD93" s="418"/>
      <c r="GE93" s="418"/>
      <c r="GF93" s="418"/>
      <c r="GG93" s="418"/>
      <c r="GH93" s="418"/>
      <c r="GI93" s="418"/>
      <c r="GJ93" s="418"/>
      <c r="GK93" s="418"/>
      <c r="GL93" s="418"/>
      <c r="GM93" s="418"/>
      <c r="GN93" s="418"/>
      <c r="GO93" s="418"/>
      <c r="GP93" s="418"/>
      <c r="GQ93" s="418"/>
      <c r="GR93" s="418"/>
      <c r="GS93" s="418"/>
      <c r="GT93" s="418"/>
      <c r="GU93" s="418"/>
      <c r="GV93" s="418"/>
      <c r="GW93" s="418"/>
      <c r="GX93" s="418"/>
      <c r="GY93" s="418"/>
      <c r="GZ93" s="418"/>
      <c r="HA93" s="418"/>
      <c r="HB93" s="418"/>
      <c r="HC93" s="418"/>
      <c r="HD93" s="418"/>
      <c r="HE93" s="418"/>
      <c r="HF93" s="418"/>
      <c r="HG93" s="418"/>
      <c r="HH93" s="418"/>
      <c r="HI93" s="418"/>
      <c r="HJ93" s="418"/>
      <c r="HK93" s="418"/>
      <c r="HL93" s="418"/>
      <c r="HM93" s="418"/>
      <c r="HN93" s="418"/>
      <c r="HO93" s="418"/>
      <c r="HP93" s="418"/>
      <c r="HQ93" s="418"/>
      <c r="HR93" s="418"/>
      <c r="HS93" s="418"/>
      <c r="HT93" s="418"/>
      <c r="HU93" s="418"/>
      <c r="HV93" s="418"/>
      <c r="HW93" s="418"/>
      <c r="HX93" s="418"/>
      <c r="HY93" s="418"/>
      <c r="HZ93" s="418"/>
      <c r="IA93" s="418"/>
      <c r="IB93" s="418"/>
      <c r="IC93" s="418"/>
      <c r="ID93" s="418"/>
      <c r="IE93" s="418"/>
      <c r="IF93" s="418"/>
      <c r="IG93" s="418"/>
      <c r="IH93" s="418"/>
      <c r="II93" s="418"/>
      <c r="IJ93" s="418"/>
      <c r="IK93" s="418"/>
      <c r="IL93" s="418"/>
      <c r="IM93" s="418"/>
      <c r="IN93" s="418"/>
      <c r="IO93" s="418"/>
      <c r="IP93" s="418"/>
      <c r="IQ93" s="418"/>
      <c r="IR93" s="418"/>
      <c r="IS93" s="418"/>
      <c r="IT93" s="418"/>
      <c r="IU93" s="418"/>
      <c r="IV93" s="418"/>
      <c r="IW93" s="418"/>
      <c r="IX93" s="418"/>
      <c r="IY93" s="418"/>
      <c r="IZ93" s="418"/>
      <c r="JA93" s="418"/>
    </row>
    <row r="94" spans="1:261" s="758" customFormat="1" ht="18" customHeight="1" x14ac:dyDescent="0.35">
      <c r="A94" s="773">
        <v>84</v>
      </c>
      <c r="B94" s="766"/>
      <c r="C94" s="420"/>
      <c r="D94" s="576" t="s">
        <v>1158</v>
      </c>
      <c r="E94" s="430"/>
      <c r="F94" s="762"/>
      <c r="G94" s="431"/>
      <c r="H94" s="999"/>
      <c r="I94" s="1017"/>
      <c r="J94" s="1013"/>
      <c r="K94" s="759">
        <v>0</v>
      </c>
      <c r="L94" s="759">
        <v>24602</v>
      </c>
      <c r="M94" s="759">
        <v>0</v>
      </c>
      <c r="N94" s="759">
        <v>763513</v>
      </c>
      <c r="O94" s="767">
        <f>SUM(I94:N94)</f>
        <v>788115</v>
      </c>
      <c r="P94" s="763"/>
      <c r="Q94" s="418"/>
      <c r="R94" s="418"/>
      <c r="S94" s="418"/>
      <c r="T94" s="418"/>
      <c r="U94" s="418"/>
      <c r="V94" s="418"/>
      <c r="W94" s="418"/>
      <c r="X94" s="418"/>
      <c r="Y94" s="418"/>
      <c r="Z94" s="418"/>
      <c r="AA94" s="418"/>
      <c r="AB94" s="418"/>
      <c r="AC94" s="418"/>
      <c r="AD94" s="418"/>
      <c r="AE94" s="418"/>
      <c r="AF94" s="418"/>
      <c r="AG94" s="418"/>
      <c r="AH94" s="418"/>
      <c r="AI94" s="418"/>
      <c r="AJ94" s="418"/>
      <c r="AK94" s="418"/>
      <c r="AL94" s="418"/>
      <c r="AM94" s="418"/>
      <c r="AN94" s="418"/>
      <c r="AO94" s="418"/>
      <c r="AP94" s="418"/>
      <c r="AQ94" s="418"/>
      <c r="AR94" s="418"/>
      <c r="AS94" s="418"/>
      <c r="AT94" s="418"/>
      <c r="AU94" s="418"/>
      <c r="AV94" s="418"/>
      <c r="AW94" s="418"/>
      <c r="AX94" s="418"/>
      <c r="AY94" s="418"/>
      <c r="AZ94" s="418"/>
      <c r="BA94" s="418"/>
      <c r="BB94" s="418"/>
      <c r="BC94" s="418"/>
      <c r="BD94" s="418"/>
      <c r="BE94" s="418"/>
      <c r="BF94" s="418"/>
      <c r="BG94" s="418"/>
      <c r="BH94" s="418"/>
      <c r="BI94" s="418"/>
      <c r="BJ94" s="418"/>
      <c r="BK94" s="418"/>
      <c r="BL94" s="418"/>
      <c r="BM94" s="418"/>
      <c r="BN94" s="418"/>
      <c r="BO94" s="418"/>
      <c r="BP94" s="418"/>
      <c r="BQ94" s="418"/>
      <c r="BR94" s="418"/>
      <c r="BS94" s="418"/>
      <c r="BT94" s="418"/>
      <c r="BU94" s="418"/>
      <c r="BV94" s="418"/>
      <c r="BW94" s="418"/>
      <c r="BX94" s="418"/>
      <c r="BY94" s="418"/>
      <c r="BZ94" s="418"/>
      <c r="CA94" s="418"/>
      <c r="CB94" s="418"/>
      <c r="CC94" s="418"/>
      <c r="CD94" s="418"/>
      <c r="CE94" s="418"/>
      <c r="CF94" s="418"/>
      <c r="CG94" s="418"/>
      <c r="CH94" s="418"/>
      <c r="CI94" s="418"/>
      <c r="CJ94" s="418"/>
      <c r="CK94" s="418"/>
      <c r="CL94" s="418"/>
      <c r="CM94" s="418"/>
      <c r="CN94" s="418"/>
      <c r="CO94" s="418"/>
      <c r="CP94" s="418"/>
      <c r="CQ94" s="418"/>
      <c r="CR94" s="418"/>
      <c r="CS94" s="418"/>
      <c r="CT94" s="418"/>
      <c r="CU94" s="418"/>
      <c r="CV94" s="418"/>
      <c r="CW94" s="418"/>
      <c r="CX94" s="418"/>
      <c r="CY94" s="418"/>
      <c r="CZ94" s="418"/>
      <c r="DA94" s="418"/>
      <c r="DB94" s="418"/>
      <c r="DC94" s="418"/>
      <c r="DD94" s="418"/>
      <c r="DE94" s="418"/>
      <c r="DF94" s="418"/>
      <c r="DG94" s="418"/>
      <c r="DH94" s="418"/>
      <c r="DI94" s="418"/>
      <c r="DJ94" s="418"/>
      <c r="DK94" s="418"/>
      <c r="DL94" s="418"/>
      <c r="DM94" s="418"/>
      <c r="DN94" s="418"/>
      <c r="DO94" s="418"/>
      <c r="DP94" s="418"/>
      <c r="DQ94" s="418"/>
      <c r="DR94" s="418"/>
      <c r="DS94" s="418"/>
      <c r="DT94" s="418"/>
      <c r="DU94" s="418"/>
      <c r="DV94" s="418"/>
      <c r="DW94" s="418"/>
      <c r="DX94" s="418"/>
      <c r="DY94" s="418"/>
      <c r="DZ94" s="418"/>
      <c r="EA94" s="418"/>
      <c r="EB94" s="418"/>
      <c r="EC94" s="418"/>
      <c r="ED94" s="418"/>
      <c r="EE94" s="418"/>
      <c r="EF94" s="418"/>
      <c r="EG94" s="418"/>
      <c r="EH94" s="418"/>
      <c r="EI94" s="418"/>
      <c r="EJ94" s="418"/>
      <c r="EK94" s="418"/>
      <c r="EL94" s="418"/>
      <c r="EM94" s="418"/>
      <c r="EN94" s="418"/>
      <c r="EO94" s="418"/>
      <c r="EP94" s="418"/>
      <c r="EQ94" s="418"/>
      <c r="ER94" s="418"/>
      <c r="ES94" s="418"/>
      <c r="ET94" s="418"/>
      <c r="EU94" s="418"/>
      <c r="EV94" s="418"/>
      <c r="EW94" s="418"/>
      <c r="EX94" s="418"/>
      <c r="EY94" s="418"/>
      <c r="EZ94" s="418"/>
      <c r="FA94" s="418"/>
      <c r="FB94" s="418"/>
      <c r="FC94" s="418"/>
      <c r="FD94" s="418"/>
      <c r="FE94" s="418"/>
      <c r="FF94" s="418"/>
      <c r="FG94" s="418"/>
      <c r="FH94" s="418"/>
      <c r="FI94" s="418"/>
      <c r="FJ94" s="418"/>
      <c r="FK94" s="418"/>
      <c r="FL94" s="418"/>
      <c r="FM94" s="418"/>
      <c r="FN94" s="418"/>
      <c r="FO94" s="418"/>
      <c r="FP94" s="418"/>
      <c r="FQ94" s="418"/>
      <c r="FR94" s="418"/>
      <c r="FS94" s="418"/>
      <c r="FT94" s="418"/>
      <c r="FU94" s="418"/>
      <c r="FV94" s="418"/>
      <c r="FW94" s="418"/>
      <c r="FX94" s="418"/>
      <c r="FY94" s="418"/>
      <c r="FZ94" s="418"/>
      <c r="GA94" s="418"/>
      <c r="GB94" s="418"/>
      <c r="GC94" s="418"/>
      <c r="GD94" s="418"/>
      <c r="GE94" s="418"/>
      <c r="GF94" s="418"/>
      <c r="GG94" s="418"/>
      <c r="GH94" s="418"/>
      <c r="GI94" s="418"/>
      <c r="GJ94" s="418"/>
      <c r="GK94" s="418"/>
      <c r="GL94" s="418"/>
      <c r="GM94" s="418"/>
      <c r="GN94" s="418"/>
      <c r="GO94" s="418"/>
      <c r="GP94" s="418"/>
      <c r="GQ94" s="418"/>
      <c r="GR94" s="418"/>
      <c r="GS94" s="418"/>
      <c r="GT94" s="418"/>
      <c r="GU94" s="418"/>
      <c r="GV94" s="418"/>
      <c r="GW94" s="418"/>
      <c r="GX94" s="418"/>
      <c r="GY94" s="418"/>
      <c r="GZ94" s="418"/>
      <c r="HA94" s="418"/>
      <c r="HB94" s="418"/>
      <c r="HC94" s="418"/>
      <c r="HD94" s="418"/>
      <c r="HE94" s="418"/>
      <c r="HF94" s="418"/>
      <c r="HG94" s="418"/>
      <c r="HH94" s="418"/>
      <c r="HI94" s="418"/>
      <c r="HJ94" s="418"/>
      <c r="HK94" s="418"/>
      <c r="HL94" s="418"/>
      <c r="HM94" s="418"/>
      <c r="HN94" s="418"/>
      <c r="HO94" s="418"/>
      <c r="HP94" s="418"/>
      <c r="HQ94" s="418"/>
      <c r="HR94" s="418"/>
      <c r="HS94" s="418"/>
      <c r="HT94" s="418"/>
      <c r="HU94" s="418"/>
      <c r="HV94" s="418"/>
      <c r="HW94" s="418"/>
      <c r="HX94" s="418"/>
      <c r="HY94" s="418"/>
      <c r="HZ94" s="418"/>
      <c r="IA94" s="418"/>
      <c r="IB94" s="418"/>
      <c r="IC94" s="418"/>
      <c r="ID94" s="418"/>
      <c r="IE94" s="418"/>
      <c r="IF94" s="418"/>
      <c r="IG94" s="418"/>
      <c r="IH94" s="418"/>
      <c r="II94" s="418"/>
      <c r="IJ94" s="418"/>
      <c r="IK94" s="418"/>
      <c r="IL94" s="418"/>
      <c r="IM94" s="418"/>
      <c r="IN94" s="418"/>
      <c r="IO94" s="418"/>
      <c r="IP94" s="418"/>
      <c r="IQ94" s="418"/>
      <c r="IR94" s="418"/>
      <c r="IS94" s="418"/>
      <c r="IT94" s="418"/>
      <c r="IU94" s="418"/>
      <c r="IV94" s="418"/>
      <c r="IW94" s="418"/>
      <c r="IX94" s="418"/>
      <c r="IY94" s="418"/>
      <c r="IZ94" s="418"/>
      <c r="JA94" s="418"/>
    </row>
    <row r="95" spans="1:261" s="758" customFormat="1" ht="18" customHeight="1" x14ac:dyDescent="0.35">
      <c r="A95" s="773">
        <v>85</v>
      </c>
      <c r="B95" s="766"/>
      <c r="C95" s="420"/>
      <c r="D95" s="1318" t="s">
        <v>1125</v>
      </c>
      <c r="E95" s="430"/>
      <c r="F95" s="762"/>
      <c r="G95" s="431"/>
      <c r="H95" s="999"/>
      <c r="I95" s="1775"/>
      <c r="J95" s="1771"/>
      <c r="K95" s="1771"/>
      <c r="L95" s="1771"/>
      <c r="M95" s="1771"/>
      <c r="N95" s="1771"/>
      <c r="O95" s="1599">
        <f>SUM(I95:N95)</f>
        <v>0</v>
      </c>
      <c r="P95" s="763"/>
      <c r="Q95" s="418"/>
      <c r="R95" s="418"/>
      <c r="S95" s="418"/>
      <c r="T95" s="418"/>
      <c r="U95" s="418"/>
      <c r="V95" s="418"/>
      <c r="W95" s="418"/>
      <c r="X95" s="418"/>
      <c r="Y95" s="418"/>
      <c r="Z95" s="418"/>
      <c r="AA95" s="418"/>
      <c r="AB95" s="418"/>
      <c r="AC95" s="418"/>
      <c r="AD95" s="418"/>
      <c r="AE95" s="418"/>
      <c r="AF95" s="418"/>
      <c r="AG95" s="418"/>
      <c r="AH95" s="418"/>
      <c r="AI95" s="418"/>
      <c r="AJ95" s="418"/>
      <c r="AK95" s="418"/>
      <c r="AL95" s="418"/>
      <c r="AM95" s="418"/>
      <c r="AN95" s="418"/>
      <c r="AO95" s="418"/>
      <c r="AP95" s="418"/>
      <c r="AQ95" s="418"/>
      <c r="AR95" s="418"/>
      <c r="AS95" s="418"/>
      <c r="AT95" s="418"/>
      <c r="AU95" s="418"/>
      <c r="AV95" s="418"/>
      <c r="AW95" s="418"/>
      <c r="AX95" s="418"/>
      <c r="AY95" s="418"/>
      <c r="AZ95" s="418"/>
      <c r="BA95" s="418"/>
      <c r="BB95" s="418"/>
      <c r="BC95" s="418"/>
      <c r="BD95" s="418"/>
      <c r="BE95" s="418"/>
      <c r="BF95" s="418"/>
      <c r="BG95" s="418"/>
      <c r="BH95" s="418"/>
      <c r="BI95" s="418"/>
      <c r="BJ95" s="418"/>
      <c r="BK95" s="418"/>
      <c r="BL95" s="418"/>
      <c r="BM95" s="418"/>
      <c r="BN95" s="418"/>
      <c r="BO95" s="418"/>
      <c r="BP95" s="418"/>
      <c r="BQ95" s="418"/>
      <c r="BR95" s="418"/>
      <c r="BS95" s="418"/>
      <c r="BT95" s="418"/>
      <c r="BU95" s="418"/>
      <c r="BV95" s="418"/>
      <c r="BW95" s="418"/>
      <c r="BX95" s="418"/>
      <c r="BY95" s="418"/>
      <c r="BZ95" s="418"/>
      <c r="CA95" s="418"/>
      <c r="CB95" s="418"/>
      <c r="CC95" s="418"/>
      <c r="CD95" s="418"/>
      <c r="CE95" s="418"/>
      <c r="CF95" s="418"/>
      <c r="CG95" s="418"/>
      <c r="CH95" s="418"/>
      <c r="CI95" s="418"/>
      <c r="CJ95" s="418"/>
      <c r="CK95" s="418"/>
      <c r="CL95" s="418"/>
      <c r="CM95" s="418"/>
      <c r="CN95" s="418"/>
      <c r="CO95" s="418"/>
      <c r="CP95" s="418"/>
      <c r="CQ95" s="418"/>
      <c r="CR95" s="418"/>
      <c r="CS95" s="418"/>
      <c r="CT95" s="418"/>
      <c r="CU95" s="418"/>
      <c r="CV95" s="418"/>
      <c r="CW95" s="418"/>
      <c r="CX95" s="418"/>
      <c r="CY95" s="418"/>
      <c r="CZ95" s="418"/>
      <c r="DA95" s="418"/>
      <c r="DB95" s="418"/>
      <c r="DC95" s="418"/>
      <c r="DD95" s="418"/>
      <c r="DE95" s="418"/>
      <c r="DF95" s="418"/>
      <c r="DG95" s="418"/>
      <c r="DH95" s="418"/>
      <c r="DI95" s="418"/>
      <c r="DJ95" s="418"/>
      <c r="DK95" s="418"/>
      <c r="DL95" s="418"/>
      <c r="DM95" s="418"/>
      <c r="DN95" s="418"/>
      <c r="DO95" s="418"/>
      <c r="DP95" s="418"/>
      <c r="DQ95" s="418"/>
      <c r="DR95" s="418"/>
      <c r="DS95" s="418"/>
      <c r="DT95" s="418"/>
      <c r="DU95" s="418"/>
      <c r="DV95" s="418"/>
      <c r="DW95" s="418"/>
      <c r="DX95" s="418"/>
      <c r="DY95" s="418"/>
      <c r="DZ95" s="418"/>
      <c r="EA95" s="418"/>
      <c r="EB95" s="418"/>
      <c r="EC95" s="418"/>
      <c r="ED95" s="418"/>
      <c r="EE95" s="418"/>
      <c r="EF95" s="418"/>
      <c r="EG95" s="418"/>
      <c r="EH95" s="418"/>
      <c r="EI95" s="418"/>
      <c r="EJ95" s="418"/>
      <c r="EK95" s="418"/>
      <c r="EL95" s="418"/>
      <c r="EM95" s="418"/>
      <c r="EN95" s="418"/>
      <c r="EO95" s="418"/>
      <c r="EP95" s="418"/>
      <c r="EQ95" s="418"/>
      <c r="ER95" s="418"/>
      <c r="ES95" s="418"/>
      <c r="ET95" s="418"/>
      <c r="EU95" s="418"/>
      <c r="EV95" s="418"/>
      <c r="EW95" s="418"/>
      <c r="EX95" s="418"/>
      <c r="EY95" s="418"/>
      <c r="EZ95" s="418"/>
      <c r="FA95" s="418"/>
      <c r="FB95" s="418"/>
      <c r="FC95" s="418"/>
      <c r="FD95" s="418"/>
      <c r="FE95" s="418"/>
      <c r="FF95" s="418"/>
      <c r="FG95" s="418"/>
      <c r="FH95" s="418"/>
      <c r="FI95" s="418"/>
      <c r="FJ95" s="418"/>
      <c r="FK95" s="418"/>
      <c r="FL95" s="418"/>
      <c r="FM95" s="418"/>
      <c r="FN95" s="418"/>
      <c r="FO95" s="418"/>
      <c r="FP95" s="418"/>
      <c r="FQ95" s="418"/>
      <c r="FR95" s="418"/>
      <c r="FS95" s="418"/>
      <c r="FT95" s="418"/>
      <c r="FU95" s="418"/>
      <c r="FV95" s="418"/>
      <c r="FW95" s="418"/>
      <c r="FX95" s="418"/>
      <c r="FY95" s="418"/>
      <c r="FZ95" s="418"/>
      <c r="GA95" s="418"/>
      <c r="GB95" s="418"/>
      <c r="GC95" s="418"/>
      <c r="GD95" s="418"/>
      <c r="GE95" s="418"/>
      <c r="GF95" s="418"/>
      <c r="GG95" s="418"/>
      <c r="GH95" s="418"/>
      <c r="GI95" s="418"/>
      <c r="GJ95" s="418"/>
      <c r="GK95" s="418"/>
      <c r="GL95" s="418"/>
      <c r="GM95" s="418"/>
      <c r="GN95" s="418"/>
      <c r="GO95" s="418"/>
      <c r="GP95" s="418"/>
      <c r="GQ95" s="418"/>
      <c r="GR95" s="418"/>
      <c r="GS95" s="418"/>
      <c r="GT95" s="418"/>
      <c r="GU95" s="418"/>
      <c r="GV95" s="418"/>
      <c r="GW95" s="418"/>
      <c r="GX95" s="418"/>
      <c r="GY95" s="418"/>
      <c r="GZ95" s="418"/>
      <c r="HA95" s="418"/>
      <c r="HB95" s="418"/>
      <c r="HC95" s="418"/>
      <c r="HD95" s="418"/>
      <c r="HE95" s="418"/>
      <c r="HF95" s="418"/>
      <c r="HG95" s="418"/>
      <c r="HH95" s="418"/>
      <c r="HI95" s="418"/>
      <c r="HJ95" s="418"/>
      <c r="HK95" s="418"/>
      <c r="HL95" s="418"/>
      <c r="HM95" s="418"/>
      <c r="HN95" s="418"/>
      <c r="HO95" s="418"/>
      <c r="HP95" s="418"/>
      <c r="HQ95" s="418"/>
      <c r="HR95" s="418"/>
      <c r="HS95" s="418"/>
      <c r="HT95" s="418"/>
      <c r="HU95" s="418"/>
      <c r="HV95" s="418"/>
      <c r="HW95" s="418"/>
      <c r="HX95" s="418"/>
      <c r="HY95" s="418"/>
      <c r="HZ95" s="418"/>
      <c r="IA95" s="418"/>
      <c r="IB95" s="418"/>
      <c r="IC95" s="418"/>
      <c r="ID95" s="418"/>
      <c r="IE95" s="418"/>
      <c r="IF95" s="418"/>
      <c r="IG95" s="418"/>
      <c r="IH95" s="418"/>
      <c r="II95" s="418"/>
      <c r="IJ95" s="418"/>
      <c r="IK95" s="418"/>
      <c r="IL95" s="418"/>
      <c r="IM95" s="418"/>
      <c r="IN95" s="418"/>
      <c r="IO95" s="418"/>
      <c r="IP95" s="418"/>
      <c r="IQ95" s="418"/>
      <c r="IR95" s="418"/>
      <c r="IS95" s="418"/>
      <c r="IT95" s="418"/>
      <c r="IU95" s="418"/>
      <c r="IV95" s="418"/>
      <c r="IW95" s="418"/>
      <c r="IX95" s="418"/>
      <c r="IY95" s="418"/>
      <c r="IZ95" s="418"/>
      <c r="JA95" s="418"/>
    </row>
    <row r="96" spans="1:261" s="758" customFormat="1" ht="18" customHeight="1" x14ac:dyDescent="0.35">
      <c r="A96" s="773">
        <v>86</v>
      </c>
      <c r="B96" s="766"/>
      <c r="C96" s="420"/>
      <c r="D96" s="576" t="s">
        <v>1250</v>
      </c>
      <c r="E96" s="430"/>
      <c r="F96" s="762"/>
      <c r="G96" s="431"/>
      <c r="H96" s="999"/>
      <c r="I96" s="995"/>
      <c r="J96" s="759"/>
      <c r="K96" s="759">
        <f>SUM(K94:K95)</f>
        <v>0</v>
      </c>
      <c r="L96" s="759">
        <f>SUM(L94:L95)</f>
        <v>24602</v>
      </c>
      <c r="M96" s="759">
        <f t="shared" ref="M96:N96" si="13">SUM(M94:M95)</f>
        <v>0</v>
      </c>
      <c r="N96" s="759">
        <f t="shared" si="13"/>
        <v>763513</v>
      </c>
      <c r="O96" s="767">
        <f>SUM(I96:N96)</f>
        <v>788115</v>
      </c>
      <c r="P96" s="763"/>
      <c r="Q96" s="418"/>
      <c r="R96" s="418"/>
      <c r="S96" s="418"/>
      <c r="T96" s="418"/>
      <c r="U96" s="418"/>
      <c r="V96" s="418"/>
      <c r="W96" s="418"/>
      <c r="X96" s="418"/>
      <c r="Y96" s="418"/>
      <c r="Z96" s="418"/>
      <c r="AA96" s="418"/>
      <c r="AB96" s="418"/>
      <c r="AC96" s="418"/>
      <c r="AD96" s="418"/>
      <c r="AE96" s="418"/>
      <c r="AF96" s="418"/>
      <c r="AG96" s="418"/>
      <c r="AH96" s="418"/>
      <c r="AI96" s="418"/>
      <c r="AJ96" s="418"/>
      <c r="AK96" s="418"/>
      <c r="AL96" s="418"/>
      <c r="AM96" s="418"/>
      <c r="AN96" s="418"/>
      <c r="AO96" s="418"/>
      <c r="AP96" s="418"/>
      <c r="AQ96" s="418"/>
      <c r="AR96" s="418"/>
      <c r="AS96" s="418"/>
      <c r="AT96" s="418"/>
      <c r="AU96" s="418"/>
      <c r="AV96" s="418"/>
      <c r="AW96" s="418"/>
      <c r="AX96" s="418"/>
      <c r="AY96" s="418"/>
      <c r="AZ96" s="418"/>
      <c r="BA96" s="418"/>
      <c r="BB96" s="418"/>
      <c r="BC96" s="418"/>
      <c r="BD96" s="418"/>
      <c r="BE96" s="418"/>
      <c r="BF96" s="418"/>
      <c r="BG96" s="418"/>
      <c r="BH96" s="418"/>
      <c r="BI96" s="418"/>
      <c r="BJ96" s="418"/>
      <c r="BK96" s="418"/>
      <c r="BL96" s="418"/>
      <c r="BM96" s="418"/>
      <c r="BN96" s="418"/>
      <c r="BO96" s="418"/>
      <c r="BP96" s="418"/>
      <c r="BQ96" s="418"/>
      <c r="BR96" s="418"/>
      <c r="BS96" s="418"/>
      <c r="BT96" s="418"/>
      <c r="BU96" s="418"/>
      <c r="BV96" s="418"/>
      <c r="BW96" s="418"/>
      <c r="BX96" s="418"/>
      <c r="BY96" s="418"/>
      <c r="BZ96" s="418"/>
      <c r="CA96" s="418"/>
      <c r="CB96" s="418"/>
      <c r="CC96" s="418"/>
      <c r="CD96" s="418"/>
      <c r="CE96" s="418"/>
      <c r="CF96" s="418"/>
      <c r="CG96" s="418"/>
      <c r="CH96" s="418"/>
      <c r="CI96" s="418"/>
      <c r="CJ96" s="418"/>
      <c r="CK96" s="418"/>
      <c r="CL96" s="418"/>
      <c r="CM96" s="418"/>
      <c r="CN96" s="418"/>
      <c r="CO96" s="418"/>
      <c r="CP96" s="418"/>
      <c r="CQ96" s="418"/>
      <c r="CR96" s="418"/>
      <c r="CS96" s="418"/>
      <c r="CT96" s="418"/>
      <c r="CU96" s="418"/>
      <c r="CV96" s="418"/>
      <c r="CW96" s="418"/>
      <c r="CX96" s="418"/>
      <c r="CY96" s="418"/>
      <c r="CZ96" s="418"/>
      <c r="DA96" s="418"/>
      <c r="DB96" s="418"/>
      <c r="DC96" s="418"/>
      <c r="DD96" s="418"/>
      <c r="DE96" s="418"/>
      <c r="DF96" s="418"/>
      <c r="DG96" s="418"/>
      <c r="DH96" s="418"/>
      <c r="DI96" s="418"/>
      <c r="DJ96" s="418"/>
      <c r="DK96" s="418"/>
      <c r="DL96" s="418"/>
      <c r="DM96" s="418"/>
      <c r="DN96" s="418"/>
      <c r="DO96" s="418"/>
      <c r="DP96" s="418"/>
      <c r="DQ96" s="418"/>
      <c r="DR96" s="418"/>
      <c r="DS96" s="418"/>
      <c r="DT96" s="418"/>
      <c r="DU96" s="418"/>
      <c r="DV96" s="418"/>
      <c r="DW96" s="418"/>
      <c r="DX96" s="418"/>
      <c r="DY96" s="418"/>
      <c r="DZ96" s="418"/>
      <c r="EA96" s="418"/>
      <c r="EB96" s="418"/>
      <c r="EC96" s="418"/>
      <c r="ED96" s="418"/>
      <c r="EE96" s="418"/>
      <c r="EF96" s="418"/>
      <c r="EG96" s="418"/>
      <c r="EH96" s="418"/>
      <c r="EI96" s="418"/>
      <c r="EJ96" s="418"/>
      <c r="EK96" s="418"/>
      <c r="EL96" s="418"/>
      <c r="EM96" s="418"/>
      <c r="EN96" s="418"/>
      <c r="EO96" s="418"/>
      <c r="EP96" s="418"/>
      <c r="EQ96" s="418"/>
      <c r="ER96" s="418"/>
      <c r="ES96" s="418"/>
      <c r="ET96" s="418"/>
      <c r="EU96" s="418"/>
      <c r="EV96" s="418"/>
      <c r="EW96" s="418"/>
      <c r="EX96" s="418"/>
      <c r="EY96" s="418"/>
      <c r="EZ96" s="418"/>
      <c r="FA96" s="418"/>
      <c r="FB96" s="418"/>
      <c r="FC96" s="418"/>
      <c r="FD96" s="418"/>
      <c r="FE96" s="418"/>
      <c r="FF96" s="418"/>
      <c r="FG96" s="418"/>
      <c r="FH96" s="418"/>
      <c r="FI96" s="418"/>
      <c r="FJ96" s="418"/>
      <c r="FK96" s="418"/>
      <c r="FL96" s="418"/>
      <c r="FM96" s="418"/>
      <c r="FN96" s="418"/>
      <c r="FO96" s="418"/>
      <c r="FP96" s="418"/>
      <c r="FQ96" s="418"/>
      <c r="FR96" s="418"/>
      <c r="FS96" s="418"/>
      <c r="FT96" s="418"/>
      <c r="FU96" s="418"/>
      <c r="FV96" s="418"/>
      <c r="FW96" s="418"/>
      <c r="FX96" s="418"/>
      <c r="FY96" s="418"/>
      <c r="FZ96" s="418"/>
      <c r="GA96" s="418"/>
      <c r="GB96" s="418"/>
      <c r="GC96" s="418"/>
      <c r="GD96" s="418"/>
      <c r="GE96" s="418"/>
      <c r="GF96" s="418"/>
      <c r="GG96" s="418"/>
      <c r="GH96" s="418"/>
      <c r="GI96" s="418"/>
      <c r="GJ96" s="418"/>
      <c r="GK96" s="418"/>
      <c r="GL96" s="418"/>
      <c r="GM96" s="418"/>
      <c r="GN96" s="418"/>
      <c r="GO96" s="418"/>
      <c r="GP96" s="418"/>
      <c r="GQ96" s="418"/>
      <c r="GR96" s="418"/>
      <c r="GS96" s="418"/>
      <c r="GT96" s="418"/>
      <c r="GU96" s="418"/>
      <c r="GV96" s="418"/>
      <c r="GW96" s="418"/>
      <c r="GX96" s="418"/>
      <c r="GY96" s="418"/>
      <c r="GZ96" s="418"/>
      <c r="HA96" s="418"/>
      <c r="HB96" s="418"/>
      <c r="HC96" s="418"/>
      <c r="HD96" s="418"/>
      <c r="HE96" s="418"/>
      <c r="HF96" s="418"/>
      <c r="HG96" s="418"/>
      <c r="HH96" s="418"/>
      <c r="HI96" s="418"/>
      <c r="HJ96" s="418"/>
      <c r="HK96" s="418"/>
      <c r="HL96" s="418"/>
      <c r="HM96" s="418"/>
      <c r="HN96" s="418"/>
      <c r="HO96" s="418"/>
      <c r="HP96" s="418"/>
      <c r="HQ96" s="418"/>
      <c r="HR96" s="418"/>
      <c r="HS96" s="418"/>
      <c r="HT96" s="418"/>
      <c r="HU96" s="418"/>
      <c r="HV96" s="418"/>
      <c r="HW96" s="418"/>
      <c r="HX96" s="418"/>
      <c r="HY96" s="418"/>
      <c r="HZ96" s="418"/>
      <c r="IA96" s="418"/>
      <c r="IB96" s="418"/>
      <c r="IC96" s="418"/>
      <c r="ID96" s="418"/>
      <c r="IE96" s="418"/>
      <c r="IF96" s="418"/>
      <c r="IG96" s="418"/>
      <c r="IH96" s="418"/>
      <c r="II96" s="418"/>
      <c r="IJ96" s="418"/>
      <c r="IK96" s="418"/>
      <c r="IL96" s="418"/>
      <c r="IM96" s="418"/>
      <c r="IN96" s="418"/>
      <c r="IO96" s="418"/>
      <c r="IP96" s="418"/>
      <c r="IQ96" s="418"/>
      <c r="IR96" s="418"/>
      <c r="IS96" s="418"/>
      <c r="IT96" s="418"/>
      <c r="IU96" s="418"/>
      <c r="IV96" s="418"/>
      <c r="IW96" s="418"/>
      <c r="IX96" s="418"/>
      <c r="IY96" s="418"/>
      <c r="IZ96" s="418"/>
      <c r="JA96" s="418"/>
    </row>
    <row r="97" spans="1:261" s="758" customFormat="1" ht="22.5" customHeight="1" x14ac:dyDescent="0.35">
      <c r="A97" s="773">
        <v>87</v>
      </c>
      <c r="B97" s="766"/>
      <c r="C97" s="464">
        <v>18</v>
      </c>
      <c r="D97" s="421" t="s">
        <v>690</v>
      </c>
      <c r="E97" s="430"/>
      <c r="F97" s="762"/>
      <c r="G97" s="431"/>
      <c r="H97" s="999" t="s">
        <v>24</v>
      </c>
      <c r="I97" s="1017"/>
      <c r="J97" s="1013"/>
      <c r="K97" s="1013"/>
      <c r="L97" s="1013"/>
      <c r="M97" s="1013"/>
      <c r="N97" s="1013"/>
      <c r="O97" s="982"/>
      <c r="P97" s="763"/>
      <c r="Q97" s="418"/>
      <c r="R97" s="418"/>
      <c r="S97" s="418"/>
      <c r="T97" s="418"/>
      <c r="U97" s="418"/>
      <c r="V97" s="418"/>
      <c r="W97" s="418"/>
      <c r="X97" s="418"/>
      <c r="Y97" s="418"/>
      <c r="Z97" s="418"/>
      <c r="AA97" s="418"/>
      <c r="AB97" s="418"/>
      <c r="AC97" s="418"/>
      <c r="AD97" s="418"/>
      <c r="AE97" s="418"/>
      <c r="AF97" s="418"/>
      <c r="AG97" s="418"/>
      <c r="AH97" s="418"/>
      <c r="AI97" s="418"/>
      <c r="AJ97" s="418"/>
      <c r="AK97" s="418"/>
      <c r="AL97" s="418"/>
      <c r="AM97" s="418"/>
      <c r="AN97" s="418"/>
      <c r="AO97" s="418"/>
      <c r="AP97" s="418"/>
      <c r="AQ97" s="418"/>
      <c r="AR97" s="418"/>
      <c r="AS97" s="418"/>
      <c r="AT97" s="418"/>
      <c r="AU97" s="418"/>
      <c r="AV97" s="418"/>
      <c r="AW97" s="418"/>
      <c r="AX97" s="418"/>
      <c r="AY97" s="418"/>
      <c r="AZ97" s="418"/>
      <c r="BA97" s="418"/>
      <c r="BB97" s="418"/>
      <c r="BC97" s="418"/>
      <c r="BD97" s="418"/>
      <c r="BE97" s="418"/>
      <c r="BF97" s="418"/>
      <c r="BG97" s="418"/>
      <c r="BH97" s="418"/>
      <c r="BI97" s="418"/>
      <c r="BJ97" s="418"/>
      <c r="BK97" s="418"/>
      <c r="BL97" s="418"/>
      <c r="BM97" s="418"/>
      <c r="BN97" s="418"/>
      <c r="BO97" s="418"/>
      <c r="BP97" s="418"/>
      <c r="BQ97" s="418"/>
      <c r="BR97" s="418"/>
      <c r="BS97" s="418"/>
      <c r="BT97" s="418"/>
      <c r="BU97" s="418"/>
      <c r="BV97" s="418"/>
      <c r="BW97" s="418"/>
      <c r="BX97" s="418"/>
      <c r="BY97" s="418"/>
      <c r="BZ97" s="418"/>
      <c r="CA97" s="418"/>
      <c r="CB97" s="418"/>
      <c r="CC97" s="418"/>
      <c r="CD97" s="418"/>
      <c r="CE97" s="418"/>
      <c r="CF97" s="418"/>
      <c r="CG97" s="418"/>
      <c r="CH97" s="418"/>
      <c r="CI97" s="418"/>
      <c r="CJ97" s="418"/>
      <c r="CK97" s="418"/>
      <c r="CL97" s="418"/>
      <c r="CM97" s="418"/>
      <c r="CN97" s="418"/>
      <c r="CO97" s="418"/>
      <c r="CP97" s="418"/>
      <c r="CQ97" s="418"/>
      <c r="CR97" s="418"/>
      <c r="CS97" s="418"/>
      <c r="CT97" s="418"/>
      <c r="CU97" s="418"/>
      <c r="CV97" s="418"/>
      <c r="CW97" s="418"/>
      <c r="CX97" s="418"/>
      <c r="CY97" s="418"/>
      <c r="CZ97" s="418"/>
      <c r="DA97" s="418"/>
      <c r="DB97" s="418"/>
      <c r="DC97" s="418"/>
      <c r="DD97" s="418"/>
      <c r="DE97" s="418"/>
      <c r="DF97" s="418"/>
      <c r="DG97" s="418"/>
      <c r="DH97" s="418"/>
      <c r="DI97" s="418"/>
      <c r="DJ97" s="418"/>
      <c r="DK97" s="418"/>
      <c r="DL97" s="418"/>
      <c r="DM97" s="418"/>
      <c r="DN97" s="418"/>
      <c r="DO97" s="418"/>
      <c r="DP97" s="418"/>
      <c r="DQ97" s="418"/>
      <c r="DR97" s="418"/>
      <c r="DS97" s="418"/>
      <c r="DT97" s="418"/>
      <c r="DU97" s="418"/>
      <c r="DV97" s="418"/>
      <c r="DW97" s="418"/>
      <c r="DX97" s="418"/>
      <c r="DY97" s="418"/>
      <c r="DZ97" s="418"/>
      <c r="EA97" s="418"/>
      <c r="EB97" s="418"/>
      <c r="EC97" s="418"/>
      <c r="ED97" s="418"/>
      <c r="EE97" s="418"/>
      <c r="EF97" s="418"/>
      <c r="EG97" s="418"/>
      <c r="EH97" s="418"/>
      <c r="EI97" s="418"/>
      <c r="EJ97" s="418"/>
      <c r="EK97" s="418"/>
      <c r="EL97" s="418"/>
      <c r="EM97" s="418"/>
      <c r="EN97" s="418"/>
      <c r="EO97" s="418"/>
      <c r="EP97" s="418"/>
      <c r="EQ97" s="418"/>
      <c r="ER97" s="418"/>
      <c r="ES97" s="418"/>
      <c r="ET97" s="418"/>
      <c r="EU97" s="418"/>
      <c r="EV97" s="418"/>
      <c r="EW97" s="418"/>
      <c r="EX97" s="418"/>
      <c r="EY97" s="418"/>
      <c r="EZ97" s="418"/>
      <c r="FA97" s="418"/>
      <c r="FB97" s="418"/>
      <c r="FC97" s="418"/>
      <c r="FD97" s="418"/>
      <c r="FE97" s="418"/>
      <c r="FF97" s="418"/>
      <c r="FG97" s="418"/>
      <c r="FH97" s="418"/>
      <c r="FI97" s="418"/>
      <c r="FJ97" s="418"/>
      <c r="FK97" s="418"/>
      <c r="FL97" s="418"/>
      <c r="FM97" s="418"/>
      <c r="FN97" s="418"/>
      <c r="FO97" s="418"/>
      <c r="FP97" s="418"/>
      <c r="FQ97" s="418"/>
      <c r="FR97" s="418"/>
      <c r="FS97" s="418"/>
      <c r="FT97" s="418"/>
      <c r="FU97" s="418"/>
      <c r="FV97" s="418"/>
      <c r="FW97" s="418"/>
      <c r="FX97" s="418"/>
      <c r="FY97" s="418"/>
      <c r="FZ97" s="418"/>
      <c r="GA97" s="418"/>
      <c r="GB97" s="418"/>
      <c r="GC97" s="418"/>
      <c r="GD97" s="418"/>
      <c r="GE97" s="418"/>
      <c r="GF97" s="418"/>
      <c r="GG97" s="418"/>
      <c r="GH97" s="418"/>
      <c r="GI97" s="418"/>
      <c r="GJ97" s="418"/>
      <c r="GK97" s="418"/>
      <c r="GL97" s="418"/>
      <c r="GM97" s="418"/>
      <c r="GN97" s="418"/>
      <c r="GO97" s="418"/>
      <c r="GP97" s="418"/>
      <c r="GQ97" s="418"/>
      <c r="GR97" s="418"/>
      <c r="GS97" s="418"/>
      <c r="GT97" s="418"/>
      <c r="GU97" s="418"/>
      <c r="GV97" s="418"/>
      <c r="GW97" s="418"/>
      <c r="GX97" s="418"/>
      <c r="GY97" s="418"/>
      <c r="GZ97" s="418"/>
      <c r="HA97" s="418"/>
      <c r="HB97" s="418"/>
      <c r="HC97" s="418"/>
      <c r="HD97" s="418"/>
      <c r="HE97" s="418"/>
      <c r="HF97" s="418"/>
      <c r="HG97" s="418"/>
      <c r="HH97" s="418"/>
      <c r="HI97" s="418"/>
      <c r="HJ97" s="418"/>
      <c r="HK97" s="418"/>
      <c r="HL97" s="418"/>
      <c r="HM97" s="418"/>
      <c r="HN97" s="418"/>
      <c r="HO97" s="418"/>
      <c r="HP97" s="418"/>
      <c r="HQ97" s="418"/>
      <c r="HR97" s="418"/>
      <c r="HS97" s="418"/>
      <c r="HT97" s="418"/>
      <c r="HU97" s="418"/>
      <c r="HV97" s="418"/>
      <c r="HW97" s="418"/>
      <c r="HX97" s="418"/>
      <c r="HY97" s="418"/>
      <c r="HZ97" s="418"/>
      <c r="IA97" s="418"/>
      <c r="IB97" s="418"/>
      <c r="IC97" s="418"/>
      <c r="ID97" s="418"/>
      <c r="IE97" s="418"/>
      <c r="IF97" s="418"/>
      <c r="IG97" s="418"/>
      <c r="IH97" s="418"/>
      <c r="II97" s="418"/>
      <c r="IJ97" s="418"/>
      <c r="IK97" s="418"/>
      <c r="IL97" s="418"/>
      <c r="IM97" s="418"/>
      <c r="IN97" s="418"/>
      <c r="IO97" s="418"/>
      <c r="IP97" s="418"/>
      <c r="IQ97" s="418"/>
      <c r="IR97" s="418"/>
      <c r="IS97" s="418"/>
      <c r="IT97" s="418"/>
      <c r="IU97" s="418"/>
      <c r="IV97" s="418"/>
      <c r="IW97" s="418"/>
      <c r="IX97" s="418"/>
      <c r="IY97" s="418"/>
      <c r="IZ97" s="418"/>
      <c r="JA97" s="418"/>
    </row>
    <row r="98" spans="1:261" s="758" customFormat="1" ht="18" customHeight="1" x14ac:dyDescent="0.35">
      <c r="A98" s="773">
        <v>88</v>
      </c>
      <c r="B98" s="766"/>
      <c r="C98" s="420"/>
      <c r="D98" s="992" t="s">
        <v>308</v>
      </c>
      <c r="E98" s="430">
        <f>F98+G98+O101+P101</f>
        <v>390564</v>
      </c>
      <c r="F98" s="762"/>
      <c r="G98" s="431"/>
      <c r="H98" s="999"/>
      <c r="I98" s="1017"/>
      <c r="J98" s="1013"/>
      <c r="K98" s="1013"/>
      <c r="L98" s="1013"/>
      <c r="M98" s="1013">
        <v>390564</v>
      </c>
      <c r="N98" s="1013"/>
      <c r="O98" s="982">
        <f>SUM(I98:N98)</f>
        <v>390564</v>
      </c>
      <c r="P98" s="763"/>
      <c r="Q98" s="418"/>
      <c r="R98" s="418"/>
      <c r="S98" s="418"/>
      <c r="T98" s="418"/>
      <c r="U98" s="418"/>
      <c r="V98" s="418"/>
      <c r="W98" s="418"/>
      <c r="X98" s="418"/>
      <c r="Y98" s="418"/>
      <c r="Z98" s="418"/>
      <c r="AA98" s="418"/>
      <c r="AB98" s="418"/>
      <c r="AC98" s="418"/>
      <c r="AD98" s="418"/>
      <c r="AE98" s="418"/>
      <c r="AF98" s="418"/>
      <c r="AG98" s="418"/>
      <c r="AH98" s="418"/>
      <c r="AI98" s="418"/>
      <c r="AJ98" s="418"/>
      <c r="AK98" s="418"/>
      <c r="AL98" s="418"/>
      <c r="AM98" s="418"/>
      <c r="AN98" s="418"/>
      <c r="AO98" s="418"/>
      <c r="AP98" s="418"/>
      <c r="AQ98" s="418"/>
      <c r="AR98" s="418"/>
      <c r="AS98" s="418"/>
      <c r="AT98" s="418"/>
      <c r="AU98" s="418"/>
      <c r="AV98" s="418"/>
      <c r="AW98" s="418"/>
      <c r="AX98" s="418"/>
      <c r="AY98" s="418"/>
      <c r="AZ98" s="418"/>
      <c r="BA98" s="418"/>
      <c r="BB98" s="418"/>
      <c r="BC98" s="418"/>
      <c r="BD98" s="418"/>
      <c r="BE98" s="418"/>
      <c r="BF98" s="418"/>
      <c r="BG98" s="418"/>
      <c r="BH98" s="418"/>
      <c r="BI98" s="418"/>
      <c r="BJ98" s="418"/>
      <c r="BK98" s="418"/>
      <c r="BL98" s="418"/>
      <c r="BM98" s="418"/>
      <c r="BN98" s="418"/>
      <c r="BO98" s="418"/>
      <c r="BP98" s="418"/>
      <c r="BQ98" s="418"/>
      <c r="BR98" s="418"/>
      <c r="BS98" s="418"/>
      <c r="BT98" s="418"/>
      <c r="BU98" s="418"/>
      <c r="BV98" s="418"/>
      <c r="BW98" s="418"/>
      <c r="BX98" s="418"/>
      <c r="BY98" s="418"/>
      <c r="BZ98" s="418"/>
      <c r="CA98" s="418"/>
      <c r="CB98" s="418"/>
      <c r="CC98" s="418"/>
      <c r="CD98" s="418"/>
      <c r="CE98" s="418"/>
      <c r="CF98" s="418"/>
      <c r="CG98" s="418"/>
      <c r="CH98" s="418"/>
      <c r="CI98" s="418"/>
      <c r="CJ98" s="418"/>
      <c r="CK98" s="418"/>
      <c r="CL98" s="418"/>
      <c r="CM98" s="418"/>
      <c r="CN98" s="418"/>
      <c r="CO98" s="418"/>
      <c r="CP98" s="418"/>
      <c r="CQ98" s="418"/>
      <c r="CR98" s="418"/>
      <c r="CS98" s="418"/>
      <c r="CT98" s="418"/>
      <c r="CU98" s="418"/>
      <c r="CV98" s="418"/>
      <c r="CW98" s="418"/>
      <c r="CX98" s="418"/>
      <c r="CY98" s="418"/>
      <c r="CZ98" s="418"/>
      <c r="DA98" s="418"/>
      <c r="DB98" s="418"/>
      <c r="DC98" s="418"/>
      <c r="DD98" s="418"/>
      <c r="DE98" s="418"/>
      <c r="DF98" s="418"/>
      <c r="DG98" s="418"/>
      <c r="DH98" s="418"/>
      <c r="DI98" s="418"/>
      <c r="DJ98" s="418"/>
      <c r="DK98" s="418"/>
      <c r="DL98" s="418"/>
      <c r="DM98" s="418"/>
      <c r="DN98" s="418"/>
      <c r="DO98" s="418"/>
      <c r="DP98" s="418"/>
      <c r="DQ98" s="418"/>
      <c r="DR98" s="418"/>
      <c r="DS98" s="418"/>
      <c r="DT98" s="418"/>
      <c r="DU98" s="418"/>
      <c r="DV98" s="418"/>
      <c r="DW98" s="418"/>
      <c r="DX98" s="418"/>
      <c r="DY98" s="418"/>
      <c r="DZ98" s="418"/>
      <c r="EA98" s="418"/>
      <c r="EB98" s="418"/>
      <c r="EC98" s="418"/>
      <c r="ED98" s="418"/>
      <c r="EE98" s="418"/>
      <c r="EF98" s="418"/>
      <c r="EG98" s="418"/>
      <c r="EH98" s="418"/>
      <c r="EI98" s="418"/>
      <c r="EJ98" s="418"/>
      <c r="EK98" s="418"/>
      <c r="EL98" s="418"/>
      <c r="EM98" s="418"/>
      <c r="EN98" s="418"/>
      <c r="EO98" s="418"/>
      <c r="EP98" s="418"/>
      <c r="EQ98" s="418"/>
      <c r="ER98" s="418"/>
      <c r="ES98" s="418"/>
      <c r="ET98" s="418"/>
      <c r="EU98" s="418"/>
      <c r="EV98" s="418"/>
      <c r="EW98" s="418"/>
      <c r="EX98" s="418"/>
      <c r="EY98" s="418"/>
      <c r="EZ98" s="418"/>
      <c r="FA98" s="418"/>
      <c r="FB98" s="418"/>
      <c r="FC98" s="418"/>
      <c r="FD98" s="418"/>
      <c r="FE98" s="418"/>
      <c r="FF98" s="418"/>
      <c r="FG98" s="418"/>
      <c r="FH98" s="418"/>
      <c r="FI98" s="418"/>
      <c r="FJ98" s="418"/>
      <c r="FK98" s="418"/>
      <c r="FL98" s="418"/>
      <c r="FM98" s="418"/>
      <c r="FN98" s="418"/>
      <c r="FO98" s="418"/>
      <c r="FP98" s="418"/>
      <c r="FQ98" s="418"/>
      <c r="FR98" s="418"/>
      <c r="FS98" s="418"/>
      <c r="FT98" s="418"/>
      <c r="FU98" s="418"/>
      <c r="FV98" s="418"/>
      <c r="FW98" s="418"/>
      <c r="FX98" s="418"/>
      <c r="FY98" s="418"/>
      <c r="FZ98" s="418"/>
      <c r="GA98" s="418"/>
      <c r="GB98" s="418"/>
      <c r="GC98" s="418"/>
      <c r="GD98" s="418"/>
      <c r="GE98" s="418"/>
      <c r="GF98" s="418"/>
      <c r="GG98" s="418"/>
      <c r="GH98" s="418"/>
      <c r="GI98" s="418"/>
      <c r="GJ98" s="418"/>
      <c r="GK98" s="418"/>
      <c r="GL98" s="418"/>
      <c r="GM98" s="418"/>
      <c r="GN98" s="418"/>
      <c r="GO98" s="418"/>
      <c r="GP98" s="418"/>
      <c r="GQ98" s="418"/>
      <c r="GR98" s="418"/>
      <c r="GS98" s="418"/>
      <c r="GT98" s="418"/>
      <c r="GU98" s="418"/>
      <c r="GV98" s="418"/>
      <c r="GW98" s="418"/>
      <c r="GX98" s="418"/>
      <c r="GY98" s="418"/>
      <c r="GZ98" s="418"/>
      <c r="HA98" s="418"/>
      <c r="HB98" s="418"/>
      <c r="HC98" s="418"/>
      <c r="HD98" s="418"/>
      <c r="HE98" s="418"/>
      <c r="HF98" s="418"/>
      <c r="HG98" s="418"/>
      <c r="HH98" s="418"/>
      <c r="HI98" s="418"/>
      <c r="HJ98" s="418"/>
      <c r="HK98" s="418"/>
      <c r="HL98" s="418"/>
      <c r="HM98" s="418"/>
      <c r="HN98" s="418"/>
      <c r="HO98" s="418"/>
      <c r="HP98" s="418"/>
      <c r="HQ98" s="418"/>
      <c r="HR98" s="418"/>
      <c r="HS98" s="418"/>
      <c r="HT98" s="418"/>
      <c r="HU98" s="418"/>
      <c r="HV98" s="418"/>
      <c r="HW98" s="418"/>
      <c r="HX98" s="418"/>
      <c r="HY98" s="418"/>
      <c r="HZ98" s="418"/>
      <c r="IA98" s="418"/>
      <c r="IB98" s="418"/>
      <c r="IC98" s="418"/>
      <c r="ID98" s="418"/>
      <c r="IE98" s="418"/>
      <c r="IF98" s="418"/>
      <c r="IG98" s="418"/>
      <c r="IH98" s="418"/>
      <c r="II98" s="418"/>
      <c r="IJ98" s="418"/>
      <c r="IK98" s="418"/>
      <c r="IL98" s="418"/>
      <c r="IM98" s="418"/>
      <c r="IN98" s="418"/>
      <c r="IO98" s="418"/>
      <c r="IP98" s="418"/>
      <c r="IQ98" s="418"/>
      <c r="IR98" s="418"/>
      <c r="IS98" s="418"/>
      <c r="IT98" s="418"/>
      <c r="IU98" s="418"/>
      <c r="IV98" s="418"/>
      <c r="IW98" s="418"/>
      <c r="IX98" s="418"/>
      <c r="IY98" s="418"/>
      <c r="IZ98" s="418"/>
      <c r="JA98" s="418"/>
    </row>
    <row r="99" spans="1:261" s="758" customFormat="1" ht="18" customHeight="1" x14ac:dyDescent="0.35">
      <c r="A99" s="773">
        <v>89</v>
      </c>
      <c r="B99" s="766"/>
      <c r="C99" s="420"/>
      <c r="D99" s="576" t="s">
        <v>1158</v>
      </c>
      <c r="E99" s="430"/>
      <c r="F99" s="762"/>
      <c r="G99" s="431"/>
      <c r="H99" s="999"/>
      <c r="I99" s="1017"/>
      <c r="J99" s="1013"/>
      <c r="K99" s="1013"/>
      <c r="L99" s="1013"/>
      <c r="M99" s="759">
        <v>390564</v>
      </c>
      <c r="N99" s="1013"/>
      <c r="O99" s="767">
        <f>SUM(I99:N99)</f>
        <v>390564</v>
      </c>
      <c r="P99" s="763"/>
      <c r="Q99" s="418"/>
      <c r="R99" s="418"/>
      <c r="S99" s="418"/>
      <c r="T99" s="418"/>
      <c r="U99" s="418"/>
      <c r="V99" s="418"/>
      <c r="W99" s="418"/>
      <c r="X99" s="418"/>
      <c r="Y99" s="418"/>
      <c r="Z99" s="418"/>
      <c r="AA99" s="418"/>
      <c r="AB99" s="418"/>
      <c r="AC99" s="418"/>
      <c r="AD99" s="418"/>
      <c r="AE99" s="418"/>
      <c r="AF99" s="418"/>
      <c r="AG99" s="418"/>
      <c r="AH99" s="418"/>
      <c r="AI99" s="418"/>
      <c r="AJ99" s="418"/>
      <c r="AK99" s="418"/>
      <c r="AL99" s="418"/>
      <c r="AM99" s="418"/>
      <c r="AN99" s="418"/>
      <c r="AO99" s="418"/>
      <c r="AP99" s="418"/>
      <c r="AQ99" s="418"/>
      <c r="AR99" s="418"/>
      <c r="AS99" s="418"/>
      <c r="AT99" s="418"/>
      <c r="AU99" s="418"/>
      <c r="AV99" s="418"/>
      <c r="AW99" s="418"/>
      <c r="AX99" s="418"/>
      <c r="AY99" s="418"/>
      <c r="AZ99" s="418"/>
      <c r="BA99" s="418"/>
      <c r="BB99" s="418"/>
      <c r="BC99" s="418"/>
      <c r="BD99" s="418"/>
      <c r="BE99" s="418"/>
      <c r="BF99" s="418"/>
      <c r="BG99" s="418"/>
      <c r="BH99" s="418"/>
      <c r="BI99" s="418"/>
      <c r="BJ99" s="418"/>
      <c r="BK99" s="418"/>
      <c r="BL99" s="418"/>
      <c r="BM99" s="418"/>
      <c r="BN99" s="418"/>
      <c r="BO99" s="418"/>
      <c r="BP99" s="418"/>
      <c r="BQ99" s="418"/>
      <c r="BR99" s="418"/>
      <c r="BS99" s="418"/>
      <c r="BT99" s="418"/>
      <c r="BU99" s="418"/>
      <c r="BV99" s="418"/>
      <c r="BW99" s="418"/>
      <c r="BX99" s="418"/>
      <c r="BY99" s="418"/>
      <c r="BZ99" s="418"/>
      <c r="CA99" s="418"/>
      <c r="CB99" s="418"/>
      <c r="CC99" s="418"/>
      <c r="CD99" s="418"/>
      <c r="CE99" s="418"/>
      <c r="CF99" s="418"/>
      <c r="CG99" s="418"/>
      <c r="CH99" s="418"/>
      <c r="CI99" s="418"/>
      <c r="CJ99" s="418"/>
      <c r="CK99" s="418"/>
      <c r="CL99" s="418"/>
      <c r="CM99" s="418"/>
      <c r="CN99" s="418"/>
      <c r="CO99" s="418"/>
      <c r="CP99" s="418"/>
      <c r="CQ99" s="418"/>
      <c r="CR99" s="418"/>
      <c r="CS99" s="418"/>
      <c r="CT99" s="418"/>
      <c r="CU99" s="418"/>
      <c r="CV99" s="418"/>
      <c r="CW99" s="418"/>
      <c r="CX99" s="418"/>
      <c r="CY99" s="418"/>
      <c r="CZ99" s="418"/>
      <c r="DA99" s="418"/>
      <c r="DB99" s="418"/>
      <c r="DC99" s="418"/>
      <c r="DD99" s="418"/>
      <c r="DE99" s="418"/>
      <c r="DF99" s="418"/>
      <c r="DG99" s="418"/>
      <c r="DH99" s="418"/>
      <c r="DI99" s="418"/>
      <c r="DJ99" s="418"/>
      <c r="DK99" s="418"/>
      <c r="DL99" s="418"/>
      <c r="DM99" s="418"/>
      <c r="DN99" s="418"/>
      <c r="DO99" s="418"/>
      <c r="DP99" s="418"/>
      <c r="DQ99" s="418"/>
      <c r="DR99" s="418"/>
      <c r="DS99" s="418"/>
      <c r="DT99" s="418"/>
      <c r="DU99" s="418"/>
      <c r="DV99" s="418"/>
      <c r="DW99" s="418"/>
      <c r="DX99" s="418"/>
      <c r="DY99" s="418"/>
      <c r="DZ99" s="418"/>
      <c r="EA99" s="418"/>
      <c r="EB99" s="418"/>
      <c r="EC99" s="418"/>
      <c r="ED99" s="418"/>
      <c r="EE99" s="418"/>
      <c r="EF99" s="418"/>
      <c r="EG99" s="418"/>
      <c r="EH99" s="418"/>
      <c r="EI99" s="418"/>
      <c r="EJ99" s="418"/>
      <c r="EK99" s="418"/>
      <c r="EL99" s="418"/>
      <c r="EM99" s="418"/>
      <c r="EN99" s="418"/>
      <c r="EO99" s="418"/>
      <c r="EP99" s="418"/>
      <c r="EQ99" s="418"/>
      <c r="ER99" s="418"/>
      <c r="ES99" s="418"/>
      <c r="ET99" s="418"/>
      <c r="EU99" s="418"/>
      <c r="EV99" s="418"/>
      <c r="EW99" s="418"/>
      <c r="EX99" s="418"/>
      <c r="EY99" s="418"/>
      <c r="EZ99" s="418"/>
      <c r="FA99" s="418"/>
      <c r="FB99" s="418"/>
      <c r="FC99" s="418"/>
      <c r="FD99" s="418"/>
      <c r="FE99" s="418"/>
      <c r="FF99" s="418"/>
      <c r="FG99" s="418"/>
      <c r="FH99" s="418"/>
      <c r="FI99" s="418"/>
      <c r="FJ99" s="418"/>
      <c r="FK99" s="418"/>
      <c r="FL99" s="418"/>
      <c r="FM99" s="418"/>
      <c r="FN99" s="418"/>
      <c r="FO99" s="418"/>
      <c r="FP99" s="418"/>
      <c r="FQ99" s="418"/>
      <c r="FR99" s="418"/>
      <c r="FS99" s="418"/>
      <c r="FT99" s="418"/>
      <c r="FU99" s="418"/>
      <c r="FV99" s="418"/>
      <c r="FW99" s="418"/>
      <c r="FX99" s="418"/>
      <c r="FY99" s="418"/>
      <c r="FZ99" s="418"/>
      <c r="GA99" s="418"/>
      <c r="GB99" s="418"/>
      <c r="GC99" s="418"/>
      <c r="GD99" s="418"/>
      <c r="GE99" s="418"/>
      <c r="GF99" s="418"/>
      <c r="GG99" s="418"/>
      <c r="GH99" s="418"/>
      <c r="GI99" s="418"/>
      <c r="GJ99" s="418"/>
      <c r="GK99" s="418"/>
      <c r="GL99" s="418"/>
      <c r="GM99" s="418"/>
      <c r="GN99" s="418"/>
      <c r="GO99" s="418"/>
      <c r="GP99" s="418"/>
      <c r="GQ99" s="418"/>
      <c r="GR99" s="418"/>
      <c r="GS99" s="418"/>
      <c r="GT99" s="418"/>
      <c r="GU99" s="418"/>
      <c r="GV99" s="418"/>
      <c r="GW99" s="418"/>
      <c r="GX99" s="418"/>
      <c r="GY99" s="418"/>
      <c r="GZ99" s="418"/>
      <c r="HA99" s="418"/>
      <c r="HB99" s="418"/>
      <c r="HC99" s="418"/>
      <c r="HD99" s="418"/>
      <c r="HE99" s="418"/>
      <c r="HF99" s="418"/>
      <c r="HG99" s="418"/>
      <c r="HH99" s="418"/>
      <c r="HI99" s="418"/>
      <c r="HJ99" s="418"/>
      <c r="HK99" s="418"/>
      <c r="HL99" s="418"/>
      <c r="HM99" s="418"/>
      <c r="HN99" s="418"/>
      <c r="HO99" s="418"/>
      <c r="HP99" s="418"/>
      <c r="HQ99" s="418"/>
      <c r="HR99" s="418"/>
      <c r="HS99" s="418"/>
      <c r="HT99" s="418"/>
      <c r="HU99" s="418"/>
      <c r="HV99" s="418"/>
      <c r="HW99" s="418"/>
      <c r="HX99" s="418"/>
      <c r="HY99" s="418"/>
      <c r="HZ99" s="418"/>
      <c r="IA99" s="418"/>
      <c r="IB99" s="418"/>
      <c r="IC99" s="418"/>
      <c r="ID99" s="418"/>
      <c r="IE99" s="418"/>
      <c r="IF99" s="418"/>
      <c r="IG99" s="418"/>
      <c r="IH99" s="418"/>
      <c r="II99" s="418"/>
      <c r="IJ99" s="418"/>
      <c r="IK99" s="418"/>
      <c r="IL99" s="418"/>
      <c r="IM99" s="418"/>
      <c r="IN99" s="418"/>
      <c r="IO99" s="418"/>
      <c r="IP99" s="418"/>
      <c r="IQ99" s="418"/>
      <c r="IR99" s="418"/>
      <c r="IS99" s="418"/>
      <c r="IT99" s="418"/>
      <c r="IU99" s="418"/>
      <c r="IV99" s="418"/>
      <c r="IW99" s="418"/>
      <c r="IX99" s="418"/>
      <c r="IY99" s="418"/>
      <c r="IZ99" s="418"/>
      <c r="JA99" s="418"/>
    </row>
    <row r="100" spans="1:261" s="758" customFormat="1" ht="18" customHeight="1" x14ac:dyDescent="0.35">
      <c r="A100" s="773">
        <v>90</v>
      </c>
      <c r="B100" s="766"/>
      <c r="C100" s="420"/>
      <c r="D100" s="1318" t="s">
        <v>947</v>
      </c>
      <c r="E100" s="430"/>
      <c r="F100" s="762"/>
      <c r="G100" s="431"/>
      <c r="H100" s="999"/>
      <c r="I100" s="995"/>
      <c r="J100" s="759"/>
      <c r="K100" s="759"/>
      <c r="L100" s="759"/>
      <c r="M100" s="759"/>
      <c r="N100" s="759"/>
      <c r="O100" s="1599">
        <f>SUM(I100:N100)</f>
        <v>0</v>
      </c>
      <c r="P100" s="763"/>
      <c r="Q100" s="418"/>
      <c r="R100" s="418"/>
      <c r="S100" s="418"/>
      <c r="T100" s="418"/>
      <c r="U100" s="418"/>
      <c r="V100" s="418"/>
      <c r="W100" s="418"/>
      <c r="X100" s="418"/>
      <c r="Y100" s="418"/>
      <c r="Z100" s="418"/>
      <c r="AA100" s="418"/>
      <c r="AB100" s="418"/>
      <c r="AC100" s="418"/>
      <c r="AD100" s="418"/>
      <c r="AE100" s="418"/>
      <c r="AF100" s="418"/>
      <c r="AG100" s="418"/>
      <c r="AH100" s="418"/>
      <c r="AI100" s="418"/>
      <c r="AJ100" s="418"/>
      <c r="AK100" s="418"/>
      <c r="AL100" s="418"/>
      <c r="AM100" s="418"/>
      <c r="AN100" s="418"/>
      <c r="AO100" s="418"/>
      <c r="AP100" s="418"/>
      <c r="AQ100" s="418"/>
      <c r="AR100" s="418"/>
      <c r="AS100" s="418"/>
      <c r="AT100" s="418"/>
      <c r="AU100" s="418"/>
      <c r="AV100" s="418"/>
      <c r="AW100" s="418"/>
      <c r="AX100" s="418"/>
      <c r="AY100" s="418"/>
      <c r="AZ100" s="418"/>
      <c r="BA100" s="418"/>
      <c r="BB100" s="418"/>
      <c r="BC100" s="418"/>
      <c r="BD100" s="418"/>
      <c r="BE100" s="418"/>
      <c r="BF100" s="418"/>
      <c r="BG100" s="418"/>
      <c r="BH100" s="418"/>
      <c r="BI100" s="418"/>
      <c r="BJ100" s="418"/>
      <c r="BK100" s="418"/>
      <c r="BL100" s="418"/>
      <c r="BM100" s="418"/>
      <c r="BN100" s="418"/>
      <c r="BO100" s="418"/>
      <c r="BP100" s="418"/>
      <c r="BQ100" s="418"/>
      <c r="BR100" s="418"/>
      <c r="BS100" s="418"/>
      <c r="BT100" s="418"/>
      <c r="BU100" s="418"/>
      <c r="BV100" s="418"/>
      <c r="BW100" s="418"/>
      <c r="BX100" s="418"/>
      <c r="BY100" s="418"/>
      <c r="BZ100" s="418"/>
      <c r="CA100" s="418"/>
      <c r="CB100" s="418"/>
      <c r="CC100" s="418"/>
      <c r="CD100" s="418"/>
      <c r="CE100" s="418"/>
      <c r="CF100" s="418"/>
      <c r="CG100" s="418"/>
      <c r="CH100" s="418"/>
      <c r="CI100" s="418"/>
      <c r="CJ100" s="418"/>
      <c r="CK100" s="418"/>
      <c r="CL100" s="418"/>
      <c r="CM100" s="418"/>
      <c r="CN100" s="418"/>
      <c r="CO100" s="418"/>
      <c r="CP100" s="418"/>
      <c r="CQ100" s="418"/>
      <c r="CR100" s="418"/>
      <c r="CS100" s="418"/>
      <c r="CT100" s="418"/>
      <c r="CU100" s="418"/>
      <c r="CV100" s="418"/>
      <c r="CW100" s="418"/>
      <c r="CX100" s="418"/>
      <c r="CY100" s="418"/>
      <c r="CZ100" s="418"/>
      <c r="DA100" s="418"/>
      <c r="DB100" s="418"/>
      <c r="DC100" s="418"/>
      <c r="DD100" s="418"/>
      <c r="DE100" s="418"/>
      <c r="DF100" s="418"/>
      <c r="DG100" s="418"/>
      <c r="DH100" s="418"/>
      <c r="DI100" s="418"/>
      <c r="DJ100" s="418"/>
      <c r="DK100" s="418"/>
      <c r="DL100" s="418"/>
      <c r="DM100" s="418"/>
      <c r="DN100" s="418"/>
      <c r="DO100" s="418"/>
      <c r="DP100" s="418"/>
      <c r="DQ100" s="418"/>
      <c r="DR100" s="418"/>
      <c r="DS100" s="418"/>
      <c r="DT100" s="418"/>
      <c r="DU100" s="418"/>
      <c r="DV100" s="418"/>
      <c r="DW100" s="418"/>
      <c r="DX100" s="418"/>
      <c r="DY100" s="418"/>
      <c r="DZ100" s="418"/>
      <c r="EA100" s="418"/>
      <c r="EB100" s="418"/>
      <c r="EC100" s="418"/>
      <c r="ED100" s="418"/>
      <c r="EE100" s="418"/>
      <c r="EF100" s="418"/>
      <c r="EG100" s="418"/>
      <c r="EH100" s="418"/>
      <c r="EI100" s="418"/>
      <c r="EJ100" s="418"/>
      <c r="EK100" s="418"/>
      <c r="EL100" s="418"/>
      <c r="EM100" s="418"/>
      <c r="EN100" s="418"/>
      <c r="EO100" s="418"/>
      <c r="EP100" s="418"/>
      <c r="EQ100" s="418"/>
      <c r="ER100" s="418"/>
      <c r="ES100" s="418"/>
      <c r="ET100" s="418"/>
      <c r="EU100" s="418"/>
      <c r="EV100" s="418"/>
      <c r="EW100" s="418"/>
      <c r="EX100" s="418"/>
      <c r="EY100" s="418"/>
      <c r="EZ100" s="418"/>
      <c r="FA100" s="418"/>
      <c r="FB100" s="418"/>
      <c r="FC100" s="418"/>
      <c r="FD100" s="418"/>
      <c r="FE100" s="418"/>
      <c r="FF100" s="418"/>
      <c r="FG100" s="418"/>
      <c r="FH100" s="418"/>
      <c r="FI100" s="418"/>
      <c r="FJ100" s="418"/>
      <c r="FK100" s="418"/>
      <c r="FL100" s="418"/>
      <c r="FM100" s="418"/>
      <c r="FN100" s="418"/>
      <c r="FO100" s="418"/>
      <c r="FP100" s="418"/>
      <c r="FQ100" s="418"/>
      <c r="FR100" s="418"/>
      <c r="FS100" s="418"/>
      <c r="FT100" s="418"/>
      <c r="FU100" s="418"/>
      <c r="FV100" s="418"/>
      <c r="FW100" s="418"/>
      <c r="FX100" s="418"/>
      <c r="FY100" s="418"/>
      <c r="FZ100" s="418"/>
      <c r="GA100" s="418"/>
      <c r="GB100" s="418"/>
      <c r="GC100" s="418"/>
      <c r="GD100" s="418"/>
      <c r="GE100" s="418"/>
      <c r="GF100" s="418"/>
      <c r="GG100" s="418"/>
      <c r="GH100" s="418"/>
      <c r="GI100" s="418"/>
      <c r="GJ100" s="418"/>
      <c r="GK100" s="418"/>
      <c r="GL100" s="418"/>
      <c r="GM100" s="418"/>
      <c r="GN100" s="418"/>
      <c r="GO100" s="418"/>
      <c r="GP100" s="418"/>
      <c r="GQ100" s="418"/>
      <c r="GR100" s="418"/>
      <c r="GS100" s="418"/>
      <c r="GT100" s="418"/>
      <c r="GU100" s="418"/>
      <c r="GV100" s="418"/>
      <c r="GW100" s="418"/>
      <c r="GX100" s="418"/>
      <c r="GY100" s="418"/>
      <c r="GZ100" s="418"/>
      <c r="HA100" s="418"/>
      <c r="HB100" s="418"/>
      <c r="HC100" s="418"/>
      <c r="HD100" s="418"/>
      <c r="HE100" s="418"/>
      <c r="HF100" s="418"/>
      <c r="HG100" s="418"/>
      <c r="HH100" s="418"/>
      <c r="HI100" s="418"/>
      <c r="HJ100" s="418"/>
      <c r="HK100" s="418"/>
      <c r="HL100" s="418"/>
      <c r="HM100" s="418"/>
      <c r="HN100" s="418"/>
      <c r="HO100" s="418"/>
      <c r="HP100" s="418"/>
      <c r="HQ100" s="418"/>
      <c r="HR100" s="418"/>
      <c r="HS100" s="418"/>
      <c r="HT100" s="418"/>
      <c r="HU100" s="418"/>
      <c r="HV100" s="418"/>
      <c r="HW100" s="418"/>
      <c r="HX100" s="418"/>
      <c r="HY100" s="418"/>
      <c r="HZ100" s="418"/>
      <c r="IA100" s="418"/>
      <c r="IB100" s="418"/>
      <c r="IC100" s="418"/>
      <c r="ID100" s="418"/>
      <c r="IE100" s="418"/>
      <c r="IF100" s="418"/>
      <c r="IG100" s="418"/>
      <c r="IH100" s="418"/>
      <c r="II100" s="418"/>
      <c r="IJ100" s="418"/>
      <c r="IK100" s="418"/>
      <c r="IL100" s="418"/>
      <c r="IM100" s="418"/>
      <c r="IN100" s="418"/>
      <c r="IO100" s="418"/>
      <c r="IP100" s="418"/>
      <c r="IQ100" s="418"/>
      <c r="IR100" s="418"/>
      <c r="IS100" s="418"/>
      <c r="IT100" s="418"/>
      <c r="IU100" s="418"/>
      <c r="IV100" s="418"/>
      <c r="IW100" s="418"/>
      <c r="IX100" s="418"/>
      <c r="IY100" s="418"/>
      <c r="IZ100" s="418"/>
      <c r="JA100" s="418"/>
    </row>
    <row r="101" spans="1:261" s="758" customFormat="1" ht="18" customHeight="1" x14ac:dyDescent="0.35">
      <c r="A101" s="773">
        <v>91</v>
      </c>
      <c r="B101" s="766"/>
      <c r="C101" s="420"/>
      <c r="D101" s="576" t="s">
        <v>1250</v>
      </c>
      <c r="E101" s="430"/>
      <c r="F101" s="762"/>
      <c r="G101" s="431"/>
      <c r="H101" s="999"/>
      <c r="I101" s="995"/>
      <c r="J101" s="759"/>
      <c r="K101" s="759"/>
      <c r="L101" s="759"/>
      <c r="M101" s="759">
        <f>SUM(M99:M100)</f>
        <v>390564</v>
      </c>
      <c r="N101" s="759"/>
      <c r="O101" s="767">
        <f>SUM(I101:N101)</f>
        <v>390564</v>
      </c>
      <c r="P101" s="763"/>
      <c r="Q101" s="418"/>
      <c r="R101" s="418"/>
      <c r="S101" s="418"/>
      <c r="T101" s="418"/>
      <c r="U101" s="418"/>
      <c r="V101" s="418"/>
      <c r="W101" s="418"/>
      <c r="X101" s="418"/>
      <c r="Y101" s="418"/>
      <c r="Z101" s="418"/>
      <c r="AA101" s="418"/>
      <c r="AB101" s="418"/>
      <c r="AC101" s="418"/>
      <c r="AD101" s="418"/>
      <c r="AE101" s="418"/>
      <c r="AF101" s="418"/>
      <c r="AG101" s="418"/>
      <c r="AH101" s="418"/>
      <c r="AI101" s="418"/>
      <c r="AJ101" s="418"/>
      <c r="AK101" s="418"/>
      <c r="AL101" s="418"/>
      <c r="AM101" s="418"/>
      <c r="AN101" s="418"/>
      <c r="AO101" s="418"/>
      <c r="AP101" s="418"/>
      <c r="AQ101" s="418"/>
      <c r="AR101" s="418"/>
      <c r="AS101" s="418"/>
      <c r="AT101" s="418"/>
      <c r="AU101" s="418"/>
      <c r="AV101" s="418"/>
      <c r="AW101" s="418"/>
      <c r="AX101" s="418"/>
      <c r="AY101" s="418"/>
      <c r="AZ101" s="418"/>
      <c r="BA101" s="418"/>
      <c r="BB101" s="418"/>
      <c r="BC101" s="418"/>
      <c r="BD101" s="418"/>
      <c r="BE101" s="418"/>
      <c r="BF101" s="418"/>
      <c r="BG101" s="418"/>
      <c r="BH101" s="418"/>
      <c r="BI101" s="418"/>
      <c r="BJ101" s="418"/>
      <c r="BK101" s="418"/>
      <c r="BL101" s="418"/>
      <c r="BM101" s="418"/>
      <c r="BN101" s="418"/>
      <c r="BO101" s="418"/>
      <c r="BP101" s="418"/>
      <c r="BQ101" s="418"/>
      <c r="BR101" s="418"/>
      <c r="BS101" s="418"/>
      <c r="BT101" s="418"/>
      <c r="BU101" s="418"/>
      <c r="BV101" s="418"/>
      <c r="BW101" s="418"/>
      <c r="BX101" s="418"/>
      <c r="BY101" s="418"/>
      <c r="BZ101" s="418"/>
      <c r="CA101" s="418"/>
      <c r="CB101" s="418"/>
      <c r="CC101" s="418"/>
      <c r="CD101" s="418"/>
      <c r="CE101" s="418"/>
      <c r="CF101" s="418"/>
      <c r="CG101" s="418"/>
      <c r="CH101" s="418"/>
      <c r="CI101" s="418"/>
      <c r="CJ101" s="418"/>
      <c r="CK101" s="418"/>
      <c r="CL101" s="418"/>
      <c r="CM101" s="418"/>
      <c r="CN101" s="418"/>
      <c r="CO101" s="418"/>
      <c r="CP101" s="418"/>
      <c r="CQ101" s="418"/>
      <c r="CR101" s="418"/>
      <c r="CS101" s="418"/>
      <c r="CT101" s="418"/>
      <c r="CU101" s="418"/>
      <c r="CV101" s="418"/>
      <c r="CW101" s="418"/>
      <c r="CX101" s="418"/>
      <c r="CY101" s="418"/>
      <c r="CZ101" s="418"/>
      <c r="DA101" s="418"/>
      <c r="DB101" s="418"/>
      <c r="DC101" s="418"/>
      <c r="DD101" s="418"/>
      <c r="DE101" s="418"/>
      <c r="DF101" s="418"/>
      <c r="DG101" s="418"/>
      <c r="DH101" s="418"/>
      <c r="DI101" s="418"/>
      <c r="DJ101" s="418"/>
      <c r="DK101" s="418"/>
      <c r="DL101" s="418"/>
      <c r="DM101" s="418"/>
      <c r="DN101" s="418"/>
      <c r="DO101" s="418"/>
      <c r="DP101" s="418"/>
      <c r="DQ101" s="418"/>
      <c r="DR101" s="418"/>
      <c r="DS101" s="418"/>
      <c r="DT101" s="418"/>
      <c r="DU101" s="418"/>
      <c r="DV101" s="418"/>
      <c r="DW101" s="418"/>
      <c r="DX101" s="418"/>
      <c r="DY101" s="418"/>
      <c r="DZ101" s="418"/>
      <c r="EA101" s="418"/>
      <c r="EB101" s="418"/>
      <c r="EC101" s="418"/>
      <c r="ED101" s="418"/>
      <c r="EE101" s="418"/>
      <c r="EF101" s="418"/>
      <c r="EG101" s="418"/>
      <c r="EH101" s="418"/>
      <c r="EI101" s="418"/>
      <c r="EJ101" s="418"/>
      <c r="EK101" s="418"/>
      <c r="EL101" s="418"/>
      <c r="EM101" s="418"/>
      <c r="EN101" s="418"/>
      <c r="EO101" s="418"/>
      <c r="EP101" s="418"/>
      <c r="EQ101" s="418"/>
      <c r="ER101" s="418"/>
      <c r="ES101" s="418"/>
      <c r="ET101" s="418"/>
      <c r="EU101" s="418"/>
      <c r="EV101" s="418"/>
      <c r="EW101" s="418"/>
      <c r="EX101" s="418"/>
      <c r="EY101" s="418"/>
      <c r="EZ101" s="418"/>
      <c r="FA101" s="418"/>
      <c r="FB101" s="418"/>
      <c r="FC101" s="418"/>
      <c r="FD101" s="418"/>
      <c r="FE101" s="418"/>
      <c r="FF101" s="418"/>
      <c r="FG101" s="418"/>
      <c r="FH101" s="418"/>
      <c r="FI101" s="418"/>
      <c r="FJ101" s="418"/>
      <c r="FK101" s="418"/>
      <c r="FL101" s="418"/>
      <c r="FM101" s="418"/>
      <c r="FN101" s="418"/>
      <c r="FO101" s="418"/>
      <c r="FP101" s="418"/>
      <c r="FQ101" s="418"/>
      <c r="FR101" s="418"/>
      <c r="FS101" s="418"/>
      <c r="FT101" s="418"/>
      <c r="FU101" s="418"/>
      <c r="FV101" s="418"/>
      <c r="FW101" s="418"/>
      <c r="FX101" s="418"/>
      <c r="FY101" s="418"/>
      <c r="FZ101" s="418"/>
      <c r="GA101" s="418"/>
      <c r="GB101" s="418"/>
      <c r="GC101" s="418"/>
      <c r="GD101" s="418"/>
      <c r="GE101" s="418"/>
      <c r="GF101" s="418"/>
      <c r="GG101" s="418"/>
      <c r="GH101" s="418"/>
      <c r="GI101" s="418"/>
      <c r="GJ101" s="418"/>
      <c r="GK101" s="418"/>
      <c r="GL101" s="418"/>
      <c r="GM101" s="418"/>
      <c r="GN101" s="418"/>
      <c r="GO101" s="418"/>
      <c r="GP101" s="418"/>
      <c r="GQ101" s="418"/>
      <c r="GR101" s="418"/>
      <c r="GS101" s="418"/>
      <c r="GT101" s="418"/>
      <c r="GU101" s="418"/>
      <c r="GV101" s="418"/>
      <c r="GW101" s="418"/>
      <c r="GX101" s="418"/>
      <c r="GY101" s="418"/>
      <c r="GZ101" s="418"/>
      <c r="HA101" s="418"/>
      <c r="HB101" s="418"/>
      <c r="HC101" s="418"/>
      <c r="HD101" s="418"/>
      <c r="HE101" s="418"/>
      <c r="HF101" s="418"/>
      <c r="HG101" s="418"/>
      <c r="HH101" s="418"/>
      <c r="HI101" s="418"/>
      <c r="HJ101" s="418"/>
      <c r="HK101" s="418"/>
      <c r="HL101" s="418"/>
      <c r="HM101" s="418"/>
      <c r="HN101" s="418"/>
      <c r="HO101" s="418"/>
      <c r="HP101" s="418"/>
      <c r="HQ101" s="418"/>
      <c r="HR101" s="418"/>
      <c r="HS101" s="418"/>
      <c r="HT101" s="418"/>
      <c r="HU101" s="418"/>
      <c r="HV101" s="418"/>
      <c r="HW101" s="418"/>
      <c r="HX101" s="418"/>
      <c r="HY101" s="418"/>
      <c r="HZ101" s="418"/>
      <c r="IA101" s="418"/>
      <c r="IB101" s="418"/>
      <c r="IC101" s="418"/>
      <c r="ID101" s="418"/>
      <c r="IE101" s="418"/>
      <c r="IF101" s="418"/>
      <c r="IG101" s="418"/>
      <c r="IH101" s="418"/>
      <c r="II101" s="418"/>
      <c r="IJ101" s="418"/>
      <c r="IK101" s="418"/>
      <c r="IL101" s="418"/>
      <c r="IM101" s="418"/>
      <c r="IN101" s="418"/>
      <c r="IO101" s="418"/>
      <c r="IP101" s="418"/>
      <c r="IQ101" s="418"/>
      <c r="IR101" s="418"/>
      <c r="IS101" s="418"/>
      <c r="IT101" s="418"/>
      <c r="IU101" s="418"/>
      <c r="IV101" s="418"/>
      <c r="IW101" s="418"/>
      <c r="IX101" s="418"/>
      <c r="IY101" s="418"/>
      <c r="IZ101" s="418"/>
      <c r="JA101" s="418"/>
    </row>
    <row r="102" spans="1:261" s="758" customFormat="1" ht="22.5" customHeight="1" x14ac:dyDescent="0.35">
      <c r="A102" s="773">
        <v>92</v>
      </c>
      <c r="B102" s="766"/>
      <c r="C102" s="464">
        <v>19</v>
      </c>
      <c r="D102" s="421" t="s">
        <v>691</v>
      </c>
      <c r="E102" s="430"/>
      <c r="F102" s="762"/>
      <c r="G102" s="431"/>
      <c r="H102" s="999" t="s">
        <v>24</v>
      </c>
      <c r="I102" s="1017"/>
      <c r="J102" s="1013"/>
      <c r="K102" s="1013"/>
      <c r="L102" s="1013"/>
      <c r="M102" s="1013"/>
      <c r="N102" s="1013"/>
      <c r="O102" s="982"/>
      <c r="P102" s="763"/>
      <c r="Q102" s="418"/>
      <c r="R102" s="418"/>
      <c r="S102" s="418"/>
      <c r="T102" s="418"/>
      <c r="U102" s="418"/>
      <c r="V102" s="418"/>
      <c r="W102" s="418"/>
      <c r="X102" s="418"/>
      <c r="Y102" s="418"/>
      <c r="Z102" s="418"/>
      <c r="AA102" s="418"/>
      <c r="AB102" s="418"/>
      <c r="AC102" s="418"/>
      <c r="AD102" s="418"/>
      <c r="AE102" s="418"/>
      <c r="AF102" s="418"/>
      <c r="AG102" s="418"/>
      <c r="AH102" s="418"/>
      <c r="AI102" s="418"/>
      <c r="AJ102" s="418"/>
      <c r="AK102" s="418"/>
      <c r="AL102" s="418"/>
      <c r="AM102" s="418"/>
      <c r="AN102" s="418"/>
      <c r="AO102" s="418"/>
      <c r="AP102" s="418"/>
      <c r="AQ102" s="418"/>
      <c r="AR102" s="418"/>
      <c r="AS102" s="418"/>
      <c r="AT102" s="418"/>
      <c r="AU102" s="418"/>
      <c r="AV102" s="418"/>
      <c r="AW102" s="418"/>
      <c r="AX102" s="418"/>
      <c r="AY102" s="418"/>
      <c r="AZ102" s="418"/>
      <c r="BA102" s="418"/>
      <c r="BB102" s="418"/>
      <c r="BC102" s="418"/>
      <c r="BD102" s="418"/>
      <c r="BE102" s="418"/>
      <c r="BF102" s="418"/>
      <c r="BG102" s="418"/>
      <c r="BH102" s="418"/>
      <c r="BI102" s="418"/>
      <c r="BJ102" s="418"/>
      <c r="BK102" s="418"/>
      <c r="BL102" s="418"/>
      <c r="BM102" s="418"/>
      <c r="BN102" s="418"/>
      <c r="BO102" s="418"/>
      <c r="BP102" s="418"/>
      <c r="BQ102" s="418"/>
      <c r="BR102" s="418"/>
      <c r="BS102" s="418"/>
      <c r="BT102" s="418"/>
      <c r="BU102" s="418"/>
      <c r="BV102" s="418"/>
      <c r="BW102" s="418"/>
      <c r="BX102" s="418"/>
      <c r="BY102" s="418"/>
      <c r="BZ102" s="418"/>
      <c r="CA102" s="418"/>
      <c r="CB102" s="418"/>
      <c r="CC102" s="418"/>
      <c r="CD102" s="418"/>
      <c r="CE102" s="418"/>
      <c r="CF102" s="418"/>
      <c r="CG102" s="418"/>
      <c r="CH102" s="418"/>
      <c r="CI102" s="418"/>
      <c r="CJ102" s="418"/>
      <c r="CK102" s="418"/>
      <c r="CL102" s="418"/>
      <c r="CM102" s="418"/>
      <c r="CN102" s="418"/>
      <c r="CO102" s="418"/>
      <c r="CP102" s="418"/>
      <c r="CQ102" s="418"/>
      <c r="CR102" s="418"/>
      <c r="CS102" s="418"/>
      <c r="CT102" s="418"/>
      <c r="CU102" s="418"/>
      <c r="CV102" s="418"/>
      <c r="CW102" s="418"/>
      <c r="CX102" s="418"/>
      <c r="CY102" s="418"/>
      <c r="CZ102" s="418"/>
      <c r="DA102" s="418"/>
      <c r="DB102" s="418"/>
      <c r="DC102" s="418"/>
      <c r="DD102" s="418"/>
      <c r="DE102" s="418"/>
      <c r="DF102" s="418"/>
      <c r="DG102" s="418"/>
      <c r="DH102" s="418"/>
      <c r="DI102" s="418"/>
      <c r="DJ102" s="418"/>
      <c r="DK102" s="418"/>
      <c r="DL102" s="418"/>
      <c r="DM102" s="418"/>
      <c r="DN102" s="418"/>
      <c r="DO102" s="418"/>
      <c r="DP102" s="418"/>
      <c r="DQ102" s="418"/>
      <c r="DR102" s="418"/>
      <c r="DS102" s="418"/>
      <c r="DT102" s="418"/>
      <c r="DU102" s="418"/>
      <c r="DV102" s="418"/>
      <c r="DW102" s="418"/>
      <c r="DX102" s="418"/>
      <c r="DY102" s="418"/>
      <c r="DZ102" s="418"/>
      <c r="EA102" s="418"/>
      <c r="EB102" s="418"/>
      <c r="EC102" s="418"/>
      <c r="ED102" s="418"/>
      <c r="EE102" s="418"/>
      <c r="EF102" s="418"/>
      <c r="EG102" s="418"/>
      <c r="EH102" s="418"/>
      <c r="EI102" s="418"/>
      <c r="EJ102" s="418"/>
      <c r="EK102" s="418"/>
      <c r="EL102" s="418"/>
      <c r="EM102" s="418"/>
      <c r="EN102" s="418"/>
      <c r="EO102" s="418"/>
      <c r="EP102" s="418"/>
      <c r="EQ102" s="418"/>
      <c r="ER102" s="418"/>
      <c r="ES102" s="418"/>
      <c r="ET102" s="418"/>
      <c r="EU102" s="418"/>
      <c r="EV102" s="418"/>
      <c r="EW102" s="418"/>
      <c r="EX102" s="418"/>
      <c r="EY102" s="418"/>
      <c r="EZ102" s="418"/>
      <c r="FA102" s="418"/>
      <c r="FB102" s="418"/>
      <c r="FC102" s="418"/>
      <c r="FD102" s="418"/>
      <c r="FE102" s="418"/>
      <c r="FF102" s="418"/>
      <c r="FG102" s="418"/>
      <c r="FH102" s="418"/>
      <c r="FI102" s="418"/>
      <c r="FJ102" s="418"/>
      <c r="FK102" s="418"/>
      <c r="FL102" s="418"/>
      <c r="FM102" s="418"/>
      <c r="FN102" s="418"/>
      <c r="FO102" s="418"/>
      <c r="FP102" s="418"/>
      <c r="FQ102" s="418"/>
      <c r="FR102" s="418"/>
      <c r="FS102" s="418"/>
      <c r="FT102" s="418"/>
      <c r="FU102" s="418"/>
      <c r="FV102" s="418"/>
      <c r="FW102" s="418"/>
      <c r="FX102" s="418"/>
      <c r="FY102" s="418"/>
      <c r="FZ102" s="418"/>
      <c r="GA102" s="418"/>
      <c r="GB102" s="418"/>
      <c r="GC102" s="418"/>
      <c r="GD102" s="418"/>
      <c r="GE102" s="418"/>
      <c r="GF102" s="418"/>
      <c r="GG102" s="418"/>
      <c r="GH102" s="418"/>
      <c r="GI102" s="418"/>
      <c r="GJ102" s="418"/>
      <c r="GK102" s="418"/>
      <c r="GL102" s="418"/>
      <c r="GM102" s="418"/>
      <c r="GN102" s="418"/>
      <c r="GO102" s="418"/>
      <c r="GP102" s="418"/>
      <c r="GQ102" s="418"/>
      <c r="GR102" s="418"/>
      <c r="GS102" s="418"/>
      <c r="GT102" s="418"/>
      <c r="GU102" s="418"/>
      <c r="GV102" s="418"/>
      <c r="GW102" s="418"/>
      <c r="GX102" s="418"/>
      <c r="GY102" s="418"/>
      <c r="GZ102" s="418"/>
      <c r="HA102" s="418"/>
      <c r="HB102" s="418"/>
      <c r="HC102" s="418"/>
      <c r="HD102" s="418"/>
      <c r="HE102" s="418"/>
      <c r="HF102" s="418"/>
      <c r="HG102" s="418"/>
      <c r="HH102" s="418"/>
      <c r="HI102" s="418"/>
      <c r="HJ102" s="418"/>
      <c r="HK102" s="418"/>
      <c r="HL102" s="418"/>
      <c r="HM102" s="418"/>
      <c r="HN102" s="418"/>
      <c r="HO102" s="418"/>
      <c r="HP102" s="418"/>
      <c r="HQ102" s="418"/>
      <c r="HR102" s="418"/>
      <c r="HS102" s="418"/>
      <c r="HT102" s="418"/>
      <c r="HU102" s="418"/>
      <c r="HV102" s="418"/>
      <c r="HW102" s="418"/>
      <c r="HX102" s="418"/>
      <c r="HY102" s="418"/>
      <c r="HZ102" s="418"/>
      <c r="IA102" s="418"/>
      <c r="IB102" s="418"/>
      <c r="IC102" s="418"/>
      <c r="ID102" s="418"/>
      <c r="IE102" s="418"/>
      <c r="IF102" s="418"/>
      <c r="IG102" s="418"/>
      <c r="IH102" s="418"/>
      <c r="II102" s="418"/>
      <c r="IJ102" s="418"/>
      <c r="IK102" s="418"/>
      <c r="IL102" s="418"/>
      <c r="IM102" s="418"/>
      <c r="IN102" s="418"/>
      <c r="IO102" s="418"/>
      <c r="IP102" s="418"/>
      <c r="IQ102" s="418"/>
      <c r="IR102" s="418"/>
      <c r="IS102" s="418"/>
      <c r="IT102" s="418"/>
      <c r="IU102" s="418"/>
      <c r="IV102" s="418"/>
      <c r="IW102" s="418"/>
      <c r="IX102" s="418"/>
      <c r="IY102" s="418"/>
      <c r="IZ102" s="418"/>
      <c r="JA102" s="418"/>
    </row>
    <row r="103" spans="1:261" s="758" customFormat="1" ht="18" customHeight="1" x14ac:dyDescent="0.35">
      <c r="A103" s="773">
        <v>93</v>
      </c>
      <c r="B103" s="766"/>
      <c r="C103" s="420"/>
      <c r="D103" s="992" t="s">
        <v>308</v>
      </c>
      <c r="E103" s="430">
        <f>F103+G103+O106+P106</f>
        <v>0</v>
      </c>
      <c r="F103" s="762"/>
      <c r="G103" s="431"/>
      <c r="H103" s="999"/>
      <c r="I103" s="1017"/>
      <c r="J103" s="1013"/>
      <c r="K103" s="1013"/>
      <c r="L103" s="1013"/>
      <c r="M103" s="1013"/>
      <c r="N103" s="1013">
        <v>5000</v>
      </c>
      <c r="O103" s="982">
        <f>SUM(I103:N103)</f>
        <v>5000</v>
      </c>
      <c r="P103" s="763"/>
      <c r="Q103" s="418"/>
      <c r="R103" s="418"/>
      <c r="S103" s="418"/>
      <c r="T103" s="418"/>
      <c r="U103" s="418"/>
      <c r="V103" s="418"/>
      <c r="W103" s="418"/>
      <c r="X103" s="418"/>
      <c r="Y103" s="418"/>
      <c r="Z103" s="418"/>
      <c r="AA103" s="418"/>
      <c r="AB103" s="418"/>
      <c r="AC103" s="418"/>
      <c r="AD103" s="418"/>
      <c r="AE103" s="418"/>
      <c r="AF103" s="418"/>
      <c r="AG103" s="418"/>
      <c r="AH103" s="418"/>
      <c r="AI103" s="418"/>
      <c r="AJ103" s="418"/>
      <c r="AK103" s="418"/>
      <c r="AL103" s="418"/>
      <c r="AM103" s="418"/>
      <c r="AN103" s="418"/>
      <c r="AO103" s="418"/>
      <c r="AP103" s="418"/>
      <c r="AQ103" s="418"/>
      <c r="AR103" s="418"/>
      <c r="AS103" s="418"/>
      <c r="AT103" s="418"/>
      <c r="AU103" s="418"/>
      <c r="AV103" s="418"/>
      <c r="AW103" s="418"/>
      <c r="AX103" s="418"/>
      <c r="AY103" s="418"/>
      <c r="AZ103" s="418"/>
      <c r="BA103" s="418"/>
      <c r="BB103" s="418"/>
      <c r="BC103" s="418"/>
      <c r="BD103" s="418"/>
      <c r="BE103" s="418"/>
      <c r="BF103" s="418"/>
      <c r="BG103" s="418"/>
      <c r="BH103" s="418"/>
      <c r="BI103" s="418"/>
      <c r="BJ103" s="418"/>
      <c r="BK103" s="418"/>
      <c r="BL103" s="418"/>
      <c r="BM103" s="418"/>
      <c r="BN103" s="418"/>
      <c r="BO103" s="418"/>
      <c r="BP103" s="418"/>
      <c r="BQ103" s="418"/>
      <c r="BR103" s="418"/>
      <c r="BS103" s="418"/>
      <c r="BT103" s="418"/>
      <c r="BU103" s="418"/>
      <c r="BV103" s="418"/>
      <c r="BW103" s="418"/>
      <c r="BX103" s="418"/>
      <c r="BY103" s="418"/>
      <c r="BZ103" s="418"/>
      <c r="CA103" s="418"/>
      <c r="CB103" s="418"/>
      <c r="CC103" s="418"/>
      <c r="CD103" s="418"/>
      <c r="CE103" s="418"/>
      <c r="CF103" s="418"/>
      <c r="CG103" s="418"/>
      <c r="CH103" s="418"/>
      <c r="CI103" s="418"/>
      <c r="CJ103" s="418"/>
      <c r="CK103" s="418"/>
      <c r="CL103" s="418"/>
      <c r="CM103" s="418"/>
      <c r="CN103" s="418"/>
      <c r="CO103" s="418"/>
      <c r="CP103" s="418"/>
      <c r="CQ103" s="418"/>
      <c r="CR103" s="418"/>
      <c r="CS103" s="418"/>
      <c r="CT103" s="418"/>
      <c r="CU103" s="418"/>
      <c r="CV103" s="418"/>
      <c r="CW103" s="418"/>
      <c r="CX103" s="418"/>
      <c r="CY103" s="418"/>
      <c r="CZ103" s="418"/>
      <c r="DA103" s="418"/>
      <c r="DB103" s="418"/>
      <c r="DC103" s="418"/>
      <c r="DD103" s="418"/>
      <c r="DE103" s="418"/>
      <c r="DF103" s="418"/>
      <c r="DG103" s="418"/>
      <c r="DH103" s="418"/>
      <c r="DI103" s="418"/>
      <c r="DJ103" s="418"/>
      <c r="DK103" s="418"/>
      <c r="DL103" s="418"/>
      <c r="DM103" s="418"/>
      <c r="DN103" s="418"/>
      <c r="DO103" s="418"/>
      <c r="DP103" s="418"/>
      <c r="DQ103" s="418"/>
      <c r="DR103" s="418"/>
      <c r="DS103" s="418"/>
      <c r="DT103" s="418"/>
      <c r="DU103" s="418"/>
      <c r="DV103" s="418"/>
      <c r="DW103" s="418"/>
      <c r="DX103" s="418"/>
      <c r="DY103" s="418"/>
      <c r="DZ103" s="418"/>
      <c r="EA103" s="418"/>
      <c r="EB103" s="418"/>
      <c r="EC103" s="418"/>
      <c r="ED103" s="418"/>
      <c r="EE103" s="418"/>
      <c r="EF103" s="418"/>
      <c r="EG103" s="418"/>
      <c r="EH103" s="418"/>
      <c r="EI103" s="418"/>
      <c r="EJ103" s="418"/>
      <c r="EK103" s="418"/>
      <c r="EL103" s="418"/>
      <c r="EM103" s="418"/>
      <c r="EN103" s="418"/>
      <c r="EO103" s="418"/>
      <c r="EP103" s="418"/>
      <c r="EQ103" s="418"/>
      <c r="ER103" s="418"/>
      <c r="ES103" s="418"/>
      <c r="ET103" s="418"/>
      <c r="EU103" s="418"/>
      <c r="EV103" s="418"/>
      <c r="EW103" s="418"/>
      <c r="EX103" s="418"/>
      <c r="EY103" s="418"/>
      <c r="EZ103" s="418"/>
      <c r="FA103" s="418"/>
      <c r="FB103" s="418"/>
      <c r="FC103" s="418"/>
      <c r="FD103" s="418"/>
      <c r="FE103" s="418"/>
      <c r="FF103" s="418"/>
      <c r="FG103" s="418"/>
      <c r="FH103" s="418"/>
      <c r="FI103" s="418"/>
      <c r="FJ103" s="418"/>
      <c r="FK103" s="418"/>
      <c r="FL103" s="418"/>
      <c r="FM103" s="418"/>
      <c r="FN103" s="418"/>
      <c r="FO103" s="418"/>
      <c r="FP103" s="418"/>
      <c r="FQ103" s="418"/>
      <c r="FR103" s="418"/>
      <c r="FS103" s="418"/>
      <c r="FT103" s="418"/>
      <c r="FU103" s="418"/>
      <c r="FV103" s="418"/>
      <c r="FW103" s="418"/>
      <c r="FX103" s="418"/>
      <c r="FY103" s="418"/>
      <c r="FZ103" s="418"/>
      <c r="GA103" s="418"/>
      <c r="GB103" s="418"/>
      <c r="GC103" s="418"/>
      <c r="GD103" s="418"/>
      <c r="GE103" s="418"/>
      <c r="GF103" s="418"/>
      <c r="GG103" s="418"/>
      <c r="GH103" s="418"/>
      <c r="GI103" s="418"/>
      <c r="GJ103" s="418"/>
      <c r="GK103" s="418"/>
      <c r="GL103" s="418"/>
      <c r="GM103" s="418"/>
      <c r="GN103" s="418"/>
      <c r="GO103" s="418"/>
      <c r="GP103" s="418"/>
      <c r="GQ103" s="418"/>
      <c r="GR103" s="418"/>
      <c r="GS103" s="418"/>
      <c r="GT103" s="418"/>
      <c r="GU103" s="418"/>
      <c r="GV103" s="418"/>
      <c r="GW103" s="418"/>
      <c r="GX103" s="418"/>
      <c r="GY103" s="418"/>
      <c r="GZ103" s="418"/>
      <c r="HA103" s="418"/>
      <c r="HB103" s="418"/>
      <c r="HC103" s="418"/>
      <c r="HD103" s="418"/>
      <c r="HE103" s="418"/>
      <c r="HF103" s="418"/>
      <c r="HG103" s="418"/>
      <c r="HH103" s="418"/>
      <c r="HI103" s="418"/>
      <c r="HJ103" s="418"/>
      <c r="HK103" s="418"/>
      <c r="HL103" s="418"/>
      <c r="HM103" s="418"/>
      <c r="HN103" s="418"/>
      <c r="HO103" s="418"/>
      <c r="HP103" s="418"/>
      <c r="HQ103" s="418"/>
      <c r="HR103" s="418"/>
      <c r="HS103" s="418"/>
      <c r="HT103" s="418"/>
      <c r="HU103" s="418"/>
      <c r="HV103" s="418"/>
      <c r="HW103" s="418"/>
      <c r="HX103" s="418"/>
      <c r="HY103" s="418"/>
      <c r="HZ103" s="418"/>
      <c r="IA103" s="418"/>
      <c r="IB103" s="418"/>
      <c r="IC103" s="418"/>
      <c r="ID103" s="418"/>
      <c r="IE103" s="418"/>
      <c r="IF103" s="418"/>
      <c r="IG103" s="418"/>
      <c r="IH103" s="418"/>
      <c r="II103" s="418"/>
      <c r="IJ103" s="418"/>
      <c r="IK103" s="418"/>
      <c r="IL103" s="418"/>
      <c r="IM103" s="418"/>
      <c r="IN103" s="418"/>
      <c r="IO103" s="418"/>
      <c r="IP103" s="418"/>
      <c r="IQ103" s="418"/>
      <c r="IR103" s="418"/>
      <c r="IS103" s="418"/>
      <c r="IT103" s="418"/>
      <c r="IU103" s="418"/>
      <c r="IV103" s="418"/>
      <c r="IW103" s="418"/>
      <c r="IX103" s="418"/>
      <c r="IY103" s="418"/>
      <c r="IZ103" s="418"/>
      <c r="JA103" s="418"/>
    </row>
    <row r="104" spans="1:261" s="758" customFormat="1" ht="18" customHeight="1" x14ac:dyDescent="0.35">
      <c r="A104" s="773">
        <v>94</v>
      </c>
      <c r="B104" s="766"/>
      <c r="C104" s="420"/>
      <c r="D104" s="576" t="s">
        <v>1158</v>
      </c>
      <c r="E104" s="430"/>
      <c r="F104" s="762"/>
      <c r="G104" s="431"/>
      <c r="H104" s="999"/>
      <c r="I104" s="1017"/>
      <c r="J104" s="1013"/>
      <c r="K104" s="1013"/>
      <c r="L104" s="1013"/>
      <c r="M104" s="1013"/>
      <c r="N104" s="759">
        <v>0</v>
      </c>
      <c r="O104" s="767">
        <f>SUM(I104:N104)</f>
        <v>0</v>
      </c>
      <c r="P104" s="763"/>
      <c r="Q104" s="418"/>
      <c r="R104" s="418"/>
      <c r="S104" s="418"/>
      <c r="T104" s="418"/>
      <c r="U104" s="418"/>
      <c r="V104" s="418"/>
      <c r="W104" s="418"/>
      <c r="X104" s="418"/>
      <c r="Y104" s="418"/>
      <c r="Z104" s="418"/>
      <c r="AA104" s="418"/>
      <c r="AB104" s="418"/>
      <c r="AC104" s="418"/>
      <c r="AD104" s="418"/>
      <c r="AE104" s="418"/>
      <c r="AF104" s="418"/>
      <c r="AG104" s="418"/>
      <c r="AH104" s="418"/>
      <c r="AI104" s="418"/>
      <c r="AJ104" s="418"/>
      <c r="AK104" s="418"/>
      <c r="AL104" s="418"/>
      <c r="AM104" s="418"/>
      <c r="AN104" s="418"/>
      <c r="AO104" s="418"/>
      <c r="AP104" s="418"/>
      <c r="AQ104" s="418"/>
      <c r="AR104" s="418"/>
      <c r="AS104" s="418"/>
      <c r="AT104" s="418"/>
      <c r="AU104" s="418"/>
      <c r="AV104" s="418"/>
      <c r="AW104" s="418"/>
      <c r="AX104" s="418"/>
      <c r="AY104" s="418"/>
      <c r="AZ104" s="418"/>
      <c r="BA104" s="418"/>
      <c r="BB104" s="418"/>
      <c r="BC104" s="418"/>
      <c r="BD104" s="418"/>
      <c r="BE104" s="418"/>
      <c r="BF104" s="418"/>
      <c r="BG104" s="418"/>
      <c r="BH104" s="418"/>
      <c r="BI104" s="418"/>
      <c r="BJ104" s="418"/>
      <c r="BK104" s="418"/>
      <c r="BL104" s="418"/>
      <c r="BM104" s="418"/>
      <c r="BN104" s="418"/>
      <c r="BO104" s="418"/>
      <c r="BP104" s="418"/>
      <c r="BQ104" s="418"/>
      <c r="BR104" s="418"/>
      <c r="BS104" s="418"/>
      <c r="BT104" s="418"/>
      <c r="BU104" s="418"/>
      <c r="BV104" s="418"/>
      <c r="BW104" s="418"/>
      <c r="BX104" s="418"/>
      <c r="BY104" s="418"/>
      <c r="BZ104" s="418"/>
      <c r="CA104" s="418"/>
      <c r="CB104" s="418"/>
      <c r="CC104" s="418"/>
      <c r="CD104" s="418"/>
      <c r="CE104" s="418"/>
      <c r="CF104" s="418"/>
      <c r="CG104" s="418"/>
      <c r="CH104" s="418"/>
      <c r="CI104" s="418"/>
      <c r="CJ104" s="418"/>
      <c r="CK104" s="418"/>
      <c r="CL104" s="418"/>
      <c r="CM104" s="418"/>
      <c r="CN104" s="418"/>
      <c r="CO104" s="418"/>
      <c r="CP104" s="418"/>
      <c r="CQ104" s="418"/>
      <c r="CR104" s="418"/>
      <c r="CS104" s="418"/>
      <c r="CT104" s="418"/>
      <c r="CU104" s="418"/>
      <c r="CV104" s="418"/>
      <c r="CW104" s="418"/>
      <c r="CX104" s="418"/>
      <c r="CY104" s="418"/>
      <c r="CZ104" s="418"/>
      <c r="DA104" s="418"/>
      <c r="DB104" s="418"/>
      <c r="DC104" s="418"/>
      <c r="DD104" s="418"/>
      <c r="DE104" s="418"/>
      <c r="DF104" s="418"/>
      <c r="DG104" s="418"/>
      <c r="DH104" s="418"/>
      <c r="DI104" s="418"/>
      <c r="DJ104" s="418"/>
      <c r="DK104" s="418"/>
      <c r="DL104" s="418"/>
      <c r="DM104" s="418"/>
      <c r="DN104" s="418"/>
      <c r="DO104" s="418"/>
      <c r="DP104" s="418"/>
      <c r="DQ104" s="418"/>
      <c r="DR104" s="418"/>
      <c r="DS104" s="418"/>
      <c r="DT104" s="418"/>
      <c r="DU104" s="418"/>
      <c r="DV104" s="418"/>
      <c r="DW104" s="418"/>
      <c r="DX104" s="418"/>
      <c r="DY104" s="418"/>
      <c r="DZ104" s="418"/>
      <c r="EA104" s="418"/>
      <c r="EB104" s="418"/>
      <c r="EC104" s="418"/>
      <c r="ED104" s="418"/>
      <c r="EE104" s="418"/>
      <c r="EF104" s="418"/>
      <c r="EG104" s="418"/>
      <c r="EH104" s="418"/>
      <c r="EI104" s="418"/>
      <c r="EJ104" s="418"/>
      <c r="EK104" s="418"/>
      <c r="EL104" s="418"/>
      <c r="EM104" s="418"/>
      <c r="EN104" s="418"/>
      <c r="EO104" s="418"/>
      <c r="EP104" s="418"/>
      <c r="EQ104" s="418"/>
      <c r="ER104" s="418"/>
      <c r="ES104" s="418"/>
      <c r="ET104" s="418"/>
      <c r="EU104" s="418"/>
      <c r="EV104" s="418"/>
      <c r="EW104" s="418"/>
      <c r="EX104" s="418"/>
      <c r="EY104" s="418"/>
      <c r="EZ104" s="418"/>
      <c r="FA104" s="418"/>
      <c r="FB104" s="418"/>
      <c r="FC104" s="418"/>
      <c r="FD104" s="418"/>
      <c r="FE104" s="418"/>
      <c r="FF104" s="418"/>
      <c r="FG104" s="418"/>
      <c r="FH104" s="418"/>
      <c r="FI104" s="418"/>
      <c r="FJ104" s="418"/>
      <c r="FK104" s="418"/>
      <c r="FL104" s="418"/>
      <c r="FM104" s="418"/>
      <c r="FN104" s="418"/>
      <c r="FO104" s="418"/>
      <c r="FP104" s="418"/>
      <c r="FQ104" s="418"/>
      <c r="FR104" s="418"/>
      <c r="FS104" s="418"/>
      <c r="FT104" s="418"/>
      <c r="FU104" s="418"/>
      <c r="FV104" s="418"/>
      <c r="FW104" s="418"/>
      <c r="FX104" s="418"/>
      <c r="FY104" s="418"/>
      <c r="FZ104" s="418"/>
      <c r="GA104" s="418"/>
      <c r="GB104" s="418"/>
      <c r="GC104" s="418"/>
      <c r="GD104" s="418"/>
      <c r="GE104" s="418"/>
      <c r="GF104" s="418"/>
      <c r="GG104" s="418"/>
      <c r="GH104" s="418"/>
      <c r="GI104" s="418"/>
      <c r="GJ104" s="418"/>
      <c r="GK104" s="418"/>
      <c r="GL104" s="418"/>
      <c r="GM104" s="418"/>
      <c r="GN104" s="418"/>
      <c r="GO104" s="418"/>
      <c r="GP104" s="418"/>
      <c r="GQ104" s="418"/>
      <c r="GR104" s="418"/>
      <c r="GS104" s="418"/>
      <c r="GT104" s="418"/>
      <c r="GU104" s="418"/>
      <c r="GV104" s="418"/>
      <c r="GW104" s="418"/>
      <c r="GX104" s="418"/>
      <c r="GY104" s="418"/>
      <c r="GZ104" s="418"/>
      <c r="HA104" s="418"/>
      <c r="HB104" s="418"/>
      <c r="HC104" s="418"/>
      <c r="HD104" s="418"/>
      <c r="HE104" s="418"/>
      <c r="HF104" s="418"/>
      <c r="HG104" s="418"/>
      <c r="HH104" s="418"/>
      <c r="HI104" s="418"/>
      <c r="HJ104" s="418"/>
      <c r="HK104" s="418"/>
      <c r="HL104" s="418"/>
      <c r="HM104" s="418"/>
      <c r="HN104" s="418"/>
      <c r="HO104" s="418"/>
      <c r="HP104" s="418"/>
      <c r="HQ104" s="418"/>
      <c r="HR104" s="418"/>
      <c r="HS104" s="418"/>
      <c r="HT104" s="418"/>
      <c r="HU104" s="418"/>
      <c r="HV104" s="418"/>
      <c r="HW104" s="418"/>
      <c r="HX104" s="418"/>
      <c r="HY104" s="418"/>
      <c r="HZ104" s="418"/>
      <c r="IA104" s="418"/>
      <c r="IB104" s="418"/>
      <c r="IC104" s="418"/>
      <c r="ID104" s="418"/>
      <c r="IE104" s="418"/>
      <c r="IF104" s="418"/>
      <c r="IG104" s="418"/>
      <c r="IH104" s="418"/>
      <c r="II104" s="418"/>
      <c r="IJ104" s="418"/>
      <c r="IK104" s="418"/>
      <c r="IL104" s="418"/>
      <c r="IM104" s="418"/>
      <c r="IN104" s="418"/>
      <c r="IO104" s="418"/>
      <c r="IP104" s="418"/>
      <c r="IQ104" s="418"/>
      <c r="IR104" s="418"/>
      <c r="IS104" s="418"/>
      <c r="IT104" s="418"/>
      <c r="IU104" s="418"/>
      <c r="IV104" s="418"/>
      <c r="IW104" s="418"/>
      <c r="IX104" s="418"/>
      <c r="IY104" s="418"/>
      <c r="IZ104" s="418"/>
      <c r="JA104" s="418"/>
    </row>
    <row r="105" spans="1:261" s="758" customFormat="1" ht="18" customHeight="1" x14ac:dyDescent="0.35">
      <c r="A105" s="773">
        <v>95</v>
      </c>
      <c r="B105" s="766"/>
      <c r="C105" s="420"/>
      <c r="D105" s="1318" t="s">
        <v>969</v>
      </c>
      <c r="E105" s="430"/>
      <c r="F105" s="762"/>
      <c r="G105" s="431"/>
      <c r="H105" s="999"/>
      <c r="I105" s="995"/>
      <c r="J105" s="759"/>
      <c r="K105" s="759"/>
      <c r="L105" s="759"/>
      <c r="M105" s="759"/>
      <c r="N105" s="1771"/>
      <c r="O105" s="1599">
        <f>SUM(I105:N105)</f>
        <v>0</v>
      </c>
      <c r="P105" s="763"/>
      <c r="Q105" s="418"/>
      <c r="R105" s="418"/>
      <c r="S105" s="418"/>
      <c r="T105" s="418"/>
      <c r="U105" s="418"/>
      <c r="V105" s="418"/>
      <c r="W105" s="418"/>
      <c r="X105" s="418"/>
      <c r="Y105" s="418"/>
      <c r="Z105" s="418"/>
      <c r="AA105" s="418"/>
      <c r="AB105" s="418"/>
      <c r="AC105" s="418"/>
      <c r="AD105" s="418"/>
      <c r="AE105" s="418"/>
      <c r="AF105" s="418"/>
      <c r="AG105" s="418"/>
      <c r="AH105" s="418"/>
      <c r="AI105" s="418"/>
      <c r="AJ105" s="418"/>
      <c r="AK105" s="418"/>
      <c r="AL105" s="418"/>
      <c r="AM105" s="418"/>
      <c r="AN105" s="418"/>
      <c r="AO105" s="418"/>
      <c r="AP105" s="418"/>
      <c r="AQ105" s="418"/>
      <c r="AR105" s="418"/>
      <c r="AS105" s="418"/>
      <c r="AT105" s="418"/>
      <c r="AU105" s="418"/>
      <c r="AV105" s="418"/>
      <c r="AW105" s="418"/>
      <c r="AX105" s="418"/>
      <c r="AY105" s="418"/>
      <c r="AZ105" s="418"/>
      <c r="BA105" s="418"/>
      <c r="BB105" s="418"/>
      <c r="BC105" s="418"/>
      <c r="BD105" s="418"/>
      <c r="BE105" s="418"/>
      <c r="BF105" s="418"/>
      <c r="BG105" s="418"/>
      <c r="BH105" s="418"/>
      <c r="BI105" s="418"/>
      <c r="BJ105" s="418"/>
      <c r="BK105" s="418"/>
      <c r="BL105" s="418"/>
      <c r="BM105" s="418"/>
      <c r="BN105" s="418"/>
      <c r="BO105" s="418"/>
      <c r="BP105" s="418"/>
      <c r="BQ105" s="418"/>
      <c r="BR105" s="418"/>
      <c r="BS105" s="418"/>
      <c r="BT105" s="418"/>
      <c r="BU105" s="418"/>
      <c r="BV105" s="418"/>
      <c r="BW105" s="418"/>
      <c r="BX105" s="418"/>
      <c r="BY105" s="418"/>
      <c r="BZ105" s="418"/>
      <c r="CA105" s="418"/>
      <c r="CB105" s="418"/>
      <c r="CC105" s="418"/>
      <c r="CD105" s="418"/>
      <c r="CE105" s="418"/>
      <c r="CF105" s="418"/>
      <c r="CG105" s="418"/>
      <c r="CH105" s="418"/>
      <c r="CI105" s="418"/>
      <c r="CJ105" s="418"/>
      <c r="CK105" s="418"/>
      <c r="CL105" s="418"/>
      <c r="CM105" s="418"/>
      <c r="CN105" s="418"/>
      <c r="CO105" s="418"/>
      <c r="CP105" s="418"/>
      <c r="CQ105" s="418"/>
      <c r="CR105" s="418"/>
      <c r="CS105" s="418"/>
      <c r="CT105" s="418"/>
      <c r="CU105" s="418"/>
      <c r="CV105" s="418"/>
      <c r="CW105" s="418"/>
      <c r="CX105" s="418"/>
      <c r="CY105" s="418"/>
      <c r="CZ105" s="418"/>
      <c r="DA105" s="418"/>
      <c r="DB105" s="418"/>
      <c r="DC105" s="418"/>
      <c r="DD105" s="418"/>
      <c r="DE105" s="418"/>
      <c r="DF105" s="418"/>
      <c r="DG105" s="418"/>
      <c r="DH105" s="418"/>
      <c r="DI105" s="418"/>
      <c r="DJ105" s="418"/>
      <c r="DK105" s="418"/>
      <c r="DL105" s="418"/>
      <c r="DM105" s="418"/>
      <c r="DN105" s="418"/>
      <c r="DO105" s="418"/>
      <c r="DP105" s="418"/>
      <c r="DQ105" s="418"/>
      <c r="DR105" s="418"/>
      <c r="DS105" s="418"/>
      <c r="DT105" s="418"/>
      <c r="DU105" s="418"/>
      <c r="DV105" s="418"/>
      <c r="DW105" s="418"/>
      <c r="DX105" s="418"/>
      <c r="DY105" s="418"/>
      <c r="DZ105" s="418"/>
      <c r="EA105" s="418"/>
      <c r="EB105" s="418"/>
      <c r="EC105" s="418"/>
      <c r="ED105" s="418"/>
      <c r="EE105" s="418"/>
      <c r="EF105" s="418"/>
      <c r="EG105" s="418"/>
      <c r="EH105" s="418"/>
      <c r="EI105" s="418"/>
      <c r="EJ105" s="418"/>
      <c r="EK105" s="418"/>
      <c r="EL105" s="418"/>
      <c r="EM105" s="418"/>
      <c r="EN105" s="418"/>
      <c r="EO105" s="418"/>
      <c r="EP105" s="418"/>
      <c r="EQ105" s="418"/>
      <c r="ER105" s="418"/>
      <c r="ES105" s="418"/>
      <c r="ET105" s="418"/>
      <c r="EU105" s="418"/>
      <c r="EV105" s="418"/>
      <c r="EW105" s="418"/>
      <c r="EX105" s="418"/>
      <c r="EY105" s="418"/>
      <c r="EZ105" s="418"/>
      <c r="FA105" s="418"/>
      <c r="FB105" s="418"/>
      <c r="FC105" s="418"/>
      <c r="FD105" s="418"/>
      <c r="FE105" s="418"/>
      <c r="FF105" s="418"/>
      <c r="FG105" s="418"/>
      <c r="FH105" s="418"/>
      <c r="FI105" s="418"/>
      <c r="FJ105" s="418"/>
      <c r="FK105" s="418"/>
      <c r="FL105" s="418"/>
      <c r="FM105" s="418"/>
      <c r="FN105" s="418"/>
      <c r="FO105" s="418"/>
      <c r="FP105" s="418"/>
      <c r="FQ105" s="418"/>
      <c r="FR105" s="418"/>
      <c r="FS105" s="418"/>
      <c r="FT105" s="418"/>
      <c r="FU105" s="418"/>
      <c r="FV105" s="418"/>
      <c r="FW105" s="418"/>
      <c r="FX105" s="418"/>
      <c r="FY105" s="418"/>
      <c r="FZ105" s="418"/>
      <c r="GA105" s="418"/>
      <c r="GB105" s="418"/>
      <c r="GC105" s="418"/>
      <c r="GD105" s="418"/>
      <c r="GE105" s="418"/>
      <c r="GF105" s="418"/>
      <c r="GG105" s="418"/>
      <c r="GH105" s="418"/>
      <c r="GI105" s="418"/>
      <c r="GJ105" s="418"/>
      <c r="GK105" s="418"/>
      <c r="GL105" s="418"/>
      <c r="GM105" s="418"/>
      <c r="GN105" s="418"/>
      <c r="GO105" s="418"/>
      <c r="GP105" s="418"/>
      <c r="GQ105" s="418"/>
      <c r="GR105" s="418"/>
      <c r="GS105" s="418"/>
      <c r="GT105" s="418"/>
      <c r="GU105" s="418"/>
      <c r="GV105" s="418"/>
      <c r="GW105" s="418"/>
      <c r="GX105" s="418"/>
      <c r="GY105" s="418"/>
      <c r="GZ105" s="418"/>
      <c r="HA105" s="418"/>
      <c r="HB105" s="418"/>
      <c r="HC105" s="418"/>
      <c r="HD105" s="418"/>
      <c r="HE105" s="418"/>
      <c r="HF105" s="418"/>
      <c r="HG105" s="418"/>
      <c r="HH105" s="418"/>
      <c r="HI105" s="418"/>
      <c r="HJ105" s="418"/>
      <c r="HK105" s="418"/>
      <c r="HL105" s="418"/>
      <c r="HM105" s="418"/>
      <c r="HN105" s="418"/>
      <c r="HO105" s="418"/>
      <c r="HP105" s="418"/>
      <c r="HQ105" s="418"/>
      <c r="HR105" s="418"/>
      <c r="HS105" s="418"/>
      <c r="HT105" s="418"/>
      <c r="HU105" s="418"/>
      <c r="HV105" s="418"/>
      <c r="HW105" s="418"/>
      <c r="HX105" s="418"/>
      <c r="HY105" s="418"/>
      <c r="HZ105" s="418"/>
      <c r="IA105" s="418"/>
      <c r="IB105" s="418"/>
      <c r="IC105" s="418"/>
      <c r="ID105" s="418"/>
      <c r="IE105" s="418"/>
      <c r="IF105" s="418"/>
      <c r="IG105" s="418"/>
      <c r="IH105" s="418"/>
      <c r="II105" s="418"/>
      <c r="IJ105" s="418"/>
      <c r="IK105" s="418"/>
      <c r="IL105" s="418"/>
      <c r="IM105" s="418"/>
      <c r="IN105" s="418"/>
      <c r="IO105" s="418"/>
      <c r="IP105" s="418"/>
      <c r="IQ105" s="418"/>
      <c r="IR105" s="418"/>
      <c r="IS105" s="418"/>
      <c r="IT105" s="418"/>
      <c r="IU105" s="418"/>
      <c r="IV105" s="418"/>
      <c r="IW105" s="418"/>
      <c r="IX105" s="418"/>
      <c r="IY105" s="418"/>
      <c r="IZ105" s="418"/>
      <c r="JA105" s="418"/>
    </row>
    <row r="106" spans="1:261" s="758" customFormat="1" ht="18" customHeight="1" x14ac:dyDescent="0.35">
      <c r="A106" s="773">
        <v>96</v>
      </c>
      <c r="B106" s="766"/>
      <c r="C106" s="420"/>
      <c r="D106" s="576" t="s">
        <v>1250</v>
      </c>
      <c r="E106" s="430"/>
      <c r="F106" s="762"/>
      <c r="G106" s="431"/>
      <c r="H106" s="999"/>
      <c r="I106" s="995"/>
      <c r="J106" s="759"/>
      <c r="K106" s="759"/>
      <c r="L106" s="759"/>
      <c r="M106" s="759"/>
      <c r="N106" s="759">
        <f>SUM(N104:N105)</f>
        <v>0</v>
      </c>
      <c r="O106" s="767">
        <f>SUM(I106:N106)</f>
        <v>0</v>
      </c>
      <c r="P106" s="763"/>
      <c r="Q106" s="418"/>
      <c r="R106" s="418"/>
      <c r="S106" s="418"/>
      <c r="T106" s="418"/>
      <c r="U106" s="418"/>
      <c r="V106" s="418"/>
      <c r="W106" s="418"/>
      <c r="X106" s="418"/>
      <c r="Y106" s="418"/>
      <c r="Z106" s="418"/>
      <c r="AA106" s="418"/>
      <c r="AB106" s="418"/>
      <c r="AC106" s="418"/>
      <c r="AD106" s="418"/>
      <c r="AE106" s="418"/>
      <c r="AF106" s="418"/>
      <c r="AG106" s="418"/>
      <c r="AH106" s="418"/>
      <c r="AI106" s="418"/>
      <c r="AJ106" s="418"/>
      <c r="AK106" s="418"/>
      <c r="AL106" s="418"/>
      <c r="AM106" s="418"/>
      <c r="AN106" s="418"/>
      <c r="AO106" s="418"/>
      <c r="AP106" s="418"/>
      <c r="AQ106" s="418"/>
      <c r="AR106" s="418"/>
      <c r="AS106" s="418"/>
      <c r="AT106" s="418"/>
      <c r="AU106" s="418"/>
      <c r="AV106" s="418"/>
      <c r="AW106" s="418"/>
      <c r="AX106" s="418"/>
      <c r="AY106" s="418"/>
      <c r="AZ106" s="418"/>
      <c r="BA106" s="418"/>
      <c r="BB106" s="418"/>
      <c r="BC106" s="418"/>
      <c r="BD106" s="418"/>
      <c r="BE106" s="418"/>
      <c r="BF106" s="418"/>
      <c r="BG106" s="418"/>
      <c r="BH106" s="418"/>
      <c r="BI106" s="418"/>
      <c r="BJ106" s="418"/>
      <c r="BK106" s="418"/>
      <c r="BL106" s="418"/>
      <c r="BM106" s="418"/>
      <c r="BN106" s="418"/>
      <c r="BO106" s="418"/>
      <c r="BP106" s="418"/>
      <c r="BQ106" s="418"/>
      <c r="BR106" s="418"/>
      <c r="BS106" s="418"/>
      <c r="BT106" s="418"/>
      <c r="BU106" s="418"/>
      <c r="BV106" s="418"/>
      <c r="BW106" s="418"/>
      <c r="BX106" s="418"/>
      <c r="BY106" s="418"/>
      <c r="BZ106" s="418"/>
      <c r="CA106" s="418"/>
      <c r="CB106" s="418"/>
      <c r="CC106" s="418"/>
      <c r="CD106" s="418"/>
      <c r="CE106" s="418"/>
      <c r="CF106" s="418"/>
      <c r="CG106" s="418"/>
      <c r="CH106" s="418"/>
      <c r="CI106" s="418"/>
      <c r="CJ106" s="418"/>
      <c r="CK106" s="418"/>
      <c r="CL106" s="418"/>
      <c r="CM106" s="418"/>
      <c r="CN106" s="418"/>
      <c r="CO106" s="418"/>
      <c r="CP106" s="418"/>
      <c r="CQ106" s="418"/>
      <c r="CR106" s="418"/>
      <c r="CS106" s="418"/>
      <c r="CT106" s="418"/>
      <c r="CU106" s="418"/>
      <c r="CV106" s="418"/>
      <c r="CW106" s="418"/>
      <c r="CX106" s="418"/>
      <c r="CY106" s="418"/>
      <c r="CZ106" s="418"/>
      <c r="DA106" s="418"/>
      <c r="DB106" s="418"/>
      <c r="DC106" s="418"/>
      <c r="DD106" s="418"/>
      <c r="DE106" s="418"/>
      <c r="DF106" s="418"/>
      <c r="DG106" s="418"/>
      <c r="DH106" s="418"/>
      <c r="DI106" s="418"/>
      <c r="DJ106" s="418"/>
      <c r="DK106" s="418"/>
      <c r="DL106" s="418"/>
      <c r="DM106" s="418"/>
      <c r="DN106" s="418"/>
      <c r="DO106" s="418"/>
      <c r="DP106" s="418"/>
      <c r="DQ106" s="418"/>
      <c r="DR106" s="418"/>
      <c r="DS106" s="418"/>
      <c r="DT106" s="418"/>
      <c r="DU106" s="418"/>
      <c r="DV106" s="418"/>
      <c r="DW106" s="418"/>
      <c r="DX106" s="418"/>
      <c r="DY106" s="418"/>
      <c r="DZ106" s="418"/>
      <c r="EA106" s="418"/>
      <c r="EB106" s="418"/>
      <c r="EC106" s="418"/>
      <c r="ED106" s="418"/>
      <c r="EE106" s="418"/>
      <c r="EF106" s="418"/>
      <c r="EG106" s="418"/>
      <c r="EH106" s="418"/>
      <c r="EI106" s="418"/>
      <c r="EJ106" s="418"/>
      <c r="EK106" s="418"/>
      <c r="EL106" s="418"/>
      <c r="EM106" s="418"/>
      <c r="EN106" s="418"/>
      <c r="EO106" s="418"/>
      <c r="EP106" s="418"/>
      <c r="EQ106" s="418"/>
      <c r="ER106" s="418"/>
      <c r="ES106" s="418"/>
      <c r="ET106" s="418"/>
      <c r="EU106" s="418"/>
      <c r="EV106" s="418"/>
      <c r="EW106" s="418"/>
      <c r="EX106" s="418"/>
      <c r="EY106" s="418"/>
      <c r="EZ106" s="418"/>
      <c r="FA106" s="418"/>
      <c r="FB106" s="418"/>
      <c r="FC106" s="418"/>
      <c r="FD106" s="418"/>
      <c r="FE106" s="418"/>
      <c r="FF106" s="418"/>
      <c r="FG106" s="418"/>
      <c r="FH106" s="418"/>
      <c r="FI106" s="418"/>
      <c r="FJ106" s="418"/>
      <c r="FK106" s="418"/>
      <c r="FL106" s="418"/>
      <c r="FM106" s="418"/>
      <c r="FN106" s="418"/>
      <c r="FO106" s="418"/>
      <c r="FP106" s="418"/>
      <c r="FQ106" s="418"/>
      <c r="FR106" s="418"/>
      <c r="FS106" s="418"/>
      <c r="FT106" s="418"/>
      <c r="FU106" s="418"/>
      <c r="FV106" s="418"/>
      <c r="FW106" s="418"/>
      <c r="FX106" s="418"/>
      <c r="FY106" s="418"/>
      <c r="FZ106" s="418"/>
      <c r="GA106" s="418"/>
      <c r="GB106" s="418"/>
      <c r="GC106" s="418"/>
      <c r="GD106" s="418"/>
      <c r="GE106" s="418"/>
      <c r="GF106" s="418"/>
      <c r="GG106" s="418"/>
      <c r="GH106" s="418"/>
      <c r="GI106" s="418"/>
      <c r="GJ106" s="418"/>
      <c r="GK106" s="418"/>
      <c r="GL106" s="418"/>
      <c r="GM106" s="418"/>
      <c r="GN106" s="418"/>
      <c r="GO106" s="418"/>
      <c r="GP106" s="418"/>
      <c r="GQ106" s="418"/>
      <c r="GR106" s="418"/>
      <c r="GS106" s="418"/>
      <c r="GT106" s="418"/>
      <c r="GU106" s="418"/>
      <c r="GV106" s="418"/>
      <c r="GW106" s="418"/>
      <c r="GX106" s="418"/>
      <c r="GY106" s="418"/>
      <c r="GZ106" s="418"/>
      <c r="HA106" s="418"/>
      <c r="HB106" s="418"/>
      <c r="HC106" s="418"/>
      <c r="HD106" s="418"/>
      <c r="HE106" s="418"/>
      <c r="HF106" s="418"/>
      <c r="HG106" s="418"/>
      <c r="HH106" s="418"/>
      <c r="HI106" s="418"/>
      <c r="HJ106" s="418"/>
      <c r="HK106" s="418"/>
      <c r="HL106" s="418"/>
      <c r="HM106" s="418"/>
      <c r="HN106" s="418"/>
      <c r="HO106" s="418"/>
      <c r="HP106" s="418"/>
      <c r="HQ106" s="418"/>
      <c r="HR106" s="418"/>
      <c r="HS106" s="418"/>
      <c r="HT106" s="418"/>
      <c r="HU106" s="418"/>
      <c r="HV106" s="418"/>
      <c r="HW106" s="418"/>
      <c r="HX106" s="418"/>
      <c r="HY106" s="418"/>
      <c r="HZ106" s="418"/>
      <c r="IA106" s="418"/>
      <c r="IB106" s="418"/>
      <c r="IC106" s="418"/>
      <c r="ID106" s="418"/>
      <c r="IE106" s="418"/>
      <c r="IF106" s="418"/>
      <c r="IG106" s="418"/>
      <c r="IH106" s="418"/>
      <c r="II106" s="418"/>
      <c r="IJ106" s="418"/>
      <c r="IK106" s="418"/>
      <c r="IL106" s="418"/>
      <c r="IM106" s="418"/>
      <c r="IN106" s="418"/>
      <c r="IO106" s="418"/>
      <c r="IP106" s="418"/>
      <c r="IQ106" s="418"/>
      <c r="IR106" s="418"/>
      <c r="IS106" s="418"/>
      <c r="IT106" s="418"/>
      <c r="IU106" s="418"/>
      <c r="IV106" s="418"/>
      <c r="IW106" s="418"/>
      <c r="IX106" s="418"/>
      <c r="IY106" s="418"/>
      <c r="IZ106" s="418"/>
      <c r="JA106" s="418"/>
    </row>
    <row r="107" spans="1:261" ht="22.5" customHeight="1" x14ac:dyDescent="0.35">
      <c r="A107" s="773">
        <v>97</v>
      </c>
      <c r="B107" s="618"/>
      <c r="C107" s="464">
        <v>20</v>
      </c>
      <c r="D107" s="769" t="s">
        <v>642</v>
      </c>
      <c r="E107" s="430"/>
      <c r="F107" s="762"/>
      <c r="G107" s="431"/>
      <c r="H107" s="999" t="s">
        <v>24</v>
      </c>
      <c r="I107" s="1017"/>
      <c r="J107" s="1013"/>
      <c r="K107" s="1013"/>
      <c r="L107" s="1013"/>
      <c r="M107" s="1013"/>
      <c r="N107" s="1013"/>
      <c r="O107" s="982"/>
      <c r="P107" s="763"/>
    </row>
    <row r="108" spans="1:261" s="758" customFormat="1" ht="18" customHeight="1" x14ac:dyDescent="0.35">
      <c r="A108" s="773">
        <v>98</v>
      </c>
      <c r="B108" s="766"/>
      <c r="C108" s="464"/>
      <c r="D108" s="992" t="s">
        <v>308</v>
      </c>
      <c r="E108" s="430">
        <f>F108+G108+O111+P111+22278</f>
        <v>1662746</v>
      </c>
      <c r="F108" s="762">
        <v>16599</v>
      </c>
      <c r="G108" s="431">
        <f>63156+89+16537</f>
        <v>79782</v>
      </c>
      <c r="H108" s="999"/>
      <c r="I108" s="1017"/>
      <c r="J108" s="1013"/>
      <c r="K108" s="1013">
        <v>55170</v>
      </c>
      <c r="L108" s="1013"/>
      <c r="M108" s="1013">
        <f>76000+1430561</f>
        <v>1506561</v>
      </c>
      <c r="N108" s="1013"/>
      <c r="O108" s="982">
        <f>SUM(I108:N108)</f>
        <v>1561731</v>
      </c>
      <c r="P108" s="763"/>
      <c r="Q108" s="418"/>
      <c r="R108" s="418"/>
      <c r="S108" s="418"/>
      <c r="T108" s="418"/>
      <c r="U108" s="418"/>
      <c r="V108" s="418"/>
      <c r="W108" s="418"/>
      <c r="X108" s="418"/>
      <c r="Y108" s="418"/>
      <c r="Z108" s="418"/>
      <c r="AA108" s="418"/>
      <c r="AB108" s="418"/>
      <c r="AC108" s="418"/>
      <c r="AD108" s="418"/>
      <c r="AE108" s="418"/>
      <c r="AF108" s="418"/>
      <c r="AG108" s="418"/>
      <c r="AH108" s="418"/>
      <c r="AI108" s="418"/>
      <c r="AJ108" s="418"/>
      <c r="AK108" s="418"/>
      <c r="AL108" s="418"/>
      <c r="AM108" s="418"/>
      <c r="AN108" s="418"/>
      <c r="AO108" s="418"/>
      <c r="AP108" s="418"/>
      <c r="AQ108" s="418"/>
      <c r="AR108" s="418"/>
      <c r="AS108" s="418"/>
      <c r="AT108" s="418"/>
      <c r="AU108" s="418"/>
      <c r="AV108" s="418"/>
      <c r="AW108" s="418"/>
      <c r="AX108" s="418"/>
      <c r="AY108" s="418"/>
      <c r="AZ108" s="418"/>
      <c r="BA108" s="418"/>
      <c r="BB108" s="418"/>
      <c r="BC108" s="418"/>
      <c r="BD108" s="418"/>
      <c r="BE108" s="418"/>
      <c r="BF108" s="418"/>
      <c r="BG108" s="418"/>
      <c r="BH108" s="418"/>
      <c r="BI108" s="418"/>
      <c r="BJ108" s="418"/>
      <c r="BK108" s="418"/>
      <c r="BL108" s="418"/>
      <c r="BM108" s="418"/>
      <c r="BN108" s="418"/>
      <c r="BO108" s="418"/>
      <c r="BP108" s="418"/>
      <c r="BQ108" s="418"/>
      <c r="BR108" s="418"/>
      <c r="BS108" s="418"/>
      <c r="BT108" s="418"/>
      <c r="BU108" s="418"/>
      <c r="BV108" s="418"/>
      <c r="BW108" s="418"/>
      <c r="BX108" s="418"/>
      <c r="BY108" s="418"/>
      <c r="BZ108" s="418"/>
      <c r="CA108" s="418"/>
      <c r="CB108" s="418"/>
      <c r="CC108" s="418"/>
      <c r="CD108" s="418"/>
      <c r="CE108" s="418"/>
      <c r="CF108" s="418"/>
      <c r="CG108" s="418"/>
      <c r="CH108" s="418"/>
      <c r="CI108" s="418"/>
      <c r="CJ108" s="418"/>
      <c r="CK108" s="418"/>
      <c r="CL108" s="418"/>
      <c r="CM108" s="418"/>
      <c r="CN108" s="418"/>
      <c r="CO108" s="418"/>
      <c r="CP108" s="418"/>
      <c r="CQ108" s="418"/>
      <c r="CR108" s="418"/>
      <c r="CS108" s="418"/>
      <c r="CT108" s="418"/>
      <c r="CU108" s="418"/>
      <c r="CV108" s="418"/>
      <c r="CW108" s="418"/>
      <c r="CX108" s="418"/>
      <c r="CY108" s="418"/>
      <c r="CZ108" s="418"/>
      <c r="DA108" s="418"/>
      <c r="DB108" s="418"/>
      <c r="DC108" s="418"/>
      <c r="DD108" s="418"/>
      <c r="DE108" s="418"/>
      <c r="DF108" s="418"/>
      <c r="DG108" s="418"/>
      <c r="DH108" s="418"/>
      <c r="DI108" s="418"/>
      <c r="DJ108" s="418"/>
      <c r="DK108" s="418"/>
      <c r="DL108" s="418"/>
      <c r="DM108" s="418"/>
      <c r="DN108" s="418"/>
      <c r="DO108" s="418"/>
      <c r="DP108" s="418"/>
      <c r="DQ108" s="418"/>
      <c r="DR108" s="418"/>
      <c r="DS108" s="418"/>
      <c r="DT108" s="418"/>
      <c r="DU108" s="418"/>
      <c r="DV108" s="418"/>
      <c r="DW108" s="418"/>
      <c r="DX108" s="418"/>
      <c r="DY108" s="418"/>
      <c r="DZ108" s="418"/>
      <c r="EA108" s="418"/>
      <c r="EB108" s="418"/>
      <c r="EC108" s="418"/>
      <c r="ED108" s="418"/>
      <c r="EE108" s="418"/>
      <c r="EF108" s="418"/>
      <c r="EG108" s="418"/>
      <c r="EH108" s="418"/>
      <c r="EI108" s="418"/>
      <c r="EJ108" s="418"/>
      <c r="EK108" s="418"/>
      <c r="EL108" s="418"/>
      <c r="EM108" s="418"/>
      <c r="EN108" s="418"/>
      <c r="EO108" s="418"/>
      <c r="EP108" s="418"/>
      <c r="EQ108" s="418"/>
      <c r="ER108" s="418"/>
      <c r="ES108" s="418"/>
      <c r="ET108" s="418"/>
      <c r="EU108" s="418"/>
      <c r="EV108" s="418"/>
      <c r="EW108" s="418"/>
      <c r="EX108" s="418"/>
      <c r="EY108" s="418"/>
      <c r="EZ108" s="418"/>
      <c r="FA108" s="418"/>
      <c r="FB108" s="418"/>
      <c r="FC108" s="418"/>
      <c r="FD108" s="418"/>
      <c r="FE108" s="418"/>
      <c r="FF108" s="418"/>
      <c r="FG108" s="418"/>
      <c r="FH108" s="418"/>
      <c r="FI108" s="418"/>
      <c r="FJ108" s="418"/>
      <c r="FK108" s="418"/>
      <c r="FL108" s="418"/>
      <c r="FM108" s="418"/>
      <c r="FN108" s="418"/>
      <c r="FO108" s="418"/>
      <c r="FP108" s="418"/>
      <c r="FQ108" s="418"/>
      <c r="FR108" s="418"/>
      <c r="FS108" s="418"/>
      <c r="FT108" s="418"/>
      <c r="FU108" s="418"/>
      <c r="FV108" s="418"/>
      <c r="FW108" s="418"/>
      <c r="FX108" s="418"/>
      <c r="FY108" s="418"/>
      <c r="FZ108" s="418"/>
      <c r="GA108" s="418"/>
      <c r="GB108" s="418"/>
      <c r="GC108" s="418"/>
      <c r="GD108" s="418"/>
      <c r="GE108" s="418"/>
      <c r="GF108" s="418"/>
      <c r="GG108" s="418"/>
      <c r="GH108" s="418"/>
      <c r="GI108" s="418"/>
      <c r="GJ108" s="418"/>
      <c r="GK108" s="418"/>
      <c r="GL108" s="418"/>
      <c r="GM108" s="418"/>
      <c r="GN108" s="418"/>
      <c r="GO108" s="418"/>
      <c r="GP108" s="418"/>
      <c r="GQ108" s="418"/>
      <c r="GR108" s="418"/>
      <c r="GS108" s="418"/>
      <c r="GT108" s="418"/>
      <c r="GU108" s="418"/>
      <c r="GV108" s="418"/>
      <c r="GW108" s="418"/>
      <c r="GX108" s="418"/>
      <c r="GY108" s="418"/>
      <c r="GZ108" s="418"/>
      <c r="HA108" s="418"/>
      <c r="HB108" s="418"/>
      <c r="HC108" s="418"/>
      <c r="HD108" s="418"/>
      <c r="HE108" s="418"/>
      <c r="HF108" s="418"/>
      <c r="HG108" s="418"/>
      <c r="HH108" s="418"/>
      <c r="HI108" s="418"/>
      <c r="HJ108" s="418"/>
      <c r="HK108" s="418"/>
      <c r="HL108" s="418"/>
      <c r="HM108" s="418"/>
      <c r="HN108" s="418"/>
      <c r="HO108" s="418"/>
      <c r="HP108" s="418"/>
      <c r="HQ108" s="418"/>
      <c r="HR108" s="418"/>
      <c r="HS108" s="418"/>
      <c r="HT108" s="418"/>
      <c r="HU108" s="418"/>
      <c r="HV108" s="418"/>
      <c r="HW108" s="418"/>
      <c r="HX108" s="418"/>
      <c r="HY108" s="418"/>
      <c r="HZ108" s="418"/>
      <c r="IA108" s="418"/>
      <c r="IB108" s="418"/>
      <c r="IC108" s="418"/>
      <c r="ID108" s="418"/>
      <c r="IE108" s="418"/>
      <c r="IF108" s="418"/>
      <c r="IG108" s="418"/>
      <c r="IH108" s="418"/>
      <c r="II108" s="418"/>
      <c r="IJ108" s="418"/>
      <c r="IK108" s="418"/>
      <c r="IL108" s="418"/>
      <c r="IM108" s="418"/>
      <c r="IN108" s="418"/>
      <c r="IO108" s="418"/>
      <c r="IP108" s="418"/>
      <c r="IQ108" s="418"/>
      <c r="IR108" s="418"/>
      <c r="IS108" s="418"/>
      <c r="IT108" s="418"/>
      <c r="IU108" s="418"/>
      <c r="IV108" s="418"/>
      <c r="IW108" s="418"/>
      <c r="IX108" s="418"/>
      <c r="IY108" s="418"/>
      <c r="IZ108" s="418"/>
      <c r="JA108" s="418"/>
    </row>
    <row r="109" spans="1:261" s="758" customFormat="1" ht="18" customHeight="1" x14ac:dyDescent="0.35">
      <c r="A109" s="773">
        <v>99</v>
      </c>
      <c r="B109" s="766"/>
      <c r="C109" s="464"/>
      <c r="D109" s="576" t="s">
        <v>1158</v>
      </c>
      <c r="E109" s="430"/>
      <c r="F109" s="762"/>
      <c r="G109" s="431"/>
      <c r="H109" s="999"/>
      <c r="I109" s="1017"/>
      <c r="J109" s="1013"/>
      <c r="K109" s="759">
        <v>87</v>
      </c>
      <c r="L109" s="759">
        <v>94075</v>
      </c>
      <c r="M109" s="759">
        <v>0</v>
      </c>
      <c r="N109" s="1013">
        <v>1449925</v>
      </c>
      <c r="O109" s="767">
        <f>SUM(I109:N109)</f>
        <v>1544087</v>
      </c>
      <c r="P109" s="763"/>
      <c r="Q109" s="418"/>
      <c r="R109" s="418"/>
      <c r="S109" s="418"/>
      <c r="T109" s="418"/>
      <c r="U109" s="418"/>
      <c r="V109" s="418"/>
      <c r="W109" s="418"/>
      <c r="X109" s="418"/>
      <c r="Y109" s="418"/>
      <c r="Z109" s="418"/>
      <c r="AA109" s="418"/>
      <c r="AB109" s="418"/>
      <c r="AC109" s="418"/>
      <c r="AD109" s="418"/>
      <c r="AE109" s="418"/>
      <c r="AF109" s="418"/>
      <c r="AG109" s="418"/>
      <c r="AH109" s="418"/>
      <c r="AI109" s="418"/>
      <c r="AJ109" s="418"/>
      <c r="AK109" s="418"/>
      <c r="AL109" s="418"/>
      <c r="AM109" s="418"/>
      <c r="AN109" s="418"/>
      <c r="AO109" s="418"/>
      <c r="AP109" s="418"/>
      <c r="AQ109" s="418"/>
      <c r="AR109" s="418"/>
      <c r="AS109" s="418"/>
      <c r="AT109" s="418"/>
      <c r="AU109" s="418"/>
      <c r="AV109" s="418"/>
      <c r="AW109" s="418"/>
      <c r="AX109" s="418"/>
      <c r="AY109" s="418"/>
      <c r="AZ109" s="418"/>
      <c r="BA109" s="418"/>
      <c r="BB109" s="418"/>
      <c r="BC109" s="418"/>
      <c r="BD109" s="418"/>
      <c r="BE109" s="418"/>
      <c r="BF109" s="418"/>
      <c r="BG109" s="418"/>
      <c r="BH109" s="418"/>
      <c r="BI109" s="418"/>
      <c r="BJ109" s="418"/>
      <c r="BK109" s="418"/>
      <c r="BL109" s="418"/>
      <c r="BM109" s="418"/>
      <c r="BN109" s="418"/>
      <c r="BO109" s="418"/>
      <c r="BP109" s="418"/>
      <c r="BQ109" s="418"/>
      <c r="BR109" s="418"/>
      <c r="BS109" s="418"/>
      <c r="BT109" s="418"/>
      <c r="BU109" s="418"/>
      <c r="BV109" s="418"/>
      <c r="BW109" s="418"/>
      <c r="BX109" s="418"/>
      <c r="BY109" s="418"/>
      <c r="BZ109" s="418"/>
      <c r="CA109" s="418"/>
      <c r="CB109" s="418"/>
      <c r="CC109" s="418"/>
      <c r="CD109" s="418"/>
      <c r="CE109" s="418"/>
      <c r="CF109" s="418"/>
      <c r="CG109" s="418"/>
      <c r="CH109" s="418"/>
      <c r="CI109" s="418"/>
      <c r="CJ109" s="418"/>
      <c r="CK109" s="418"/>
      <c r="CL109" s="418"/>
      <c r="CM109" s="418"/>
      <c r="CN109" s="418"/>
      <c r="CO109" s="418"/>
      <c r="CP109" s="418"/>
      <c r="CQ109" s="418"/>
      <c r="CR109" s="418"/>
      <c r="CS109" s="418"/>
      <c r="CT109" s="418"/>
      <c r="CU109" s="418"/>
      <c r="CV109" s="418"/>
      <c r="CW109" s="418"/>
      <c r="CX109" s="418"/>
      <c r="CY109" s="418"/>
      <c r="CZ109" s="418"/>
      <c r="DA109" s="418"/>
      <c r="DB109" s="418"/>
      <c r="DC109" s="418"/>
      <c r="DD109" s="418"/>
      <c r="DE109" s="418"/>
      <c r="DF109" s="418"/>
      <c r="DG109" s="418"/>
      <c r="DH109" s="418"/>
      <c r="DI109" s="418"/>
      <c r="DJ109" s="418"/>
      <c r="DK109" s="418"/>
      <c r="DL109" s="418"/>
      <c r="DM109" s="418"/>
      <c r="DN109" s="418"/>
      <c r="DO109" s="418"/>
      <c r="DP109" s="418"/>
      <c r="DQ109" s="418"/>
      <c r="DR109" s="418"/>
      <c r="DS109" s="418"/>
      <c r="DT109" s="418"/>
      <c r="DU109" s="418"/>
      <c r="DV109" s="418"/>
      <c r="DW109" s="418"/>
      <c r="DX109" s="418"/>
      <c r="DY109" s="418"/>
      <c r="DZ109" s="418"/>
      <c r="EA109" s="418"/>
      <c r="EB109" s="418"/>
      <c r="EC109" s="418"/>
      <c r="ED109" s="418"/>
      <c r="EE109" s="418"/>
      <c r="EF109" s="418"/>
      <c r="EG109" s="418"/>
      <c r="EH109" s="418"/>
      <c r="EI109" s="418"/>
      <c r="EJ109" s="418"/>
      <c r="EK109" s="418"/>
      <c r="EL109" s="418"/>
      <c r="EM109" s="418"/>
      <c r="EN109" s="418"/>
      <c r="EO109" s="418"/>
      <c r="EP109" s="418"/>
      <c r="EQ109" s="418"/>
      <c r="ER109" s="418"/>
      <c r="ES109" s="418"/>
      <c r="ET109" s="418"/>
      <c r="EU109" s="418"/>
      <c r="EV109" s="418"/>
      <c r="EW109" s="418"/>
      <c r="EX109" s="418"/>
      <c r="EY109" s="418"/>
      <c r="EZ109" s="418"/>
      <c r="FA109" s="418"/>
      <c r="FB109" s="418"/>
      <c r="FC109" s="418"/>
      <c r="FD109" s="418"/>
      <c r="FE109" s="418"/>
      <c r="FF109" s="418"/>
      <c r="FG109" s="418"/>
      <c r="FH109" s="418"/>
      <c r="FI109" s="418"/>
      <c r="FJ109" s="418"/>
      <c r="FK109" s="418"/>
      <c r="FL109" s="418"/>
      <c r="FM109" s="418"/>
      <c r="FN109" s="418"/>
      <c r="FO109" s="418"/>
      <c r="FP109" s="418"/>
      <c r="FQ109" s="418"/>
      <c r="FR109" s="418"/>
      <c r="FS109" s="418"/>
      <c r="FT109" s="418"/>
      <c r="FU109" s="418"/>
      <c r="FV109" s="418"/>
      <c r="FW109" s="418"/>
      <c r="FX109" s="418"/>
      <c r="FY109" s="418"/>
      <c r="FZ109" s="418"/>
      <c r="GA109" s="418"/>
      <c r="GB109" s="418"/>
      <c r="GC109" s="418"/>
      <c r="GD109" s="418"/>
      <c r="GE109" s="418"/>
      <c r="GF109" s="418"/>
      <c r="GG109" s="418"/>
      <c r="GH109" s="418"/>
      <c r="GI109" s="418"/>
      <c r="GJ109" s="418"/>
      <c r="GK109" s="418"/>
      <c r="GL109" s="418"/>
      <c r="GM109" s="418"/>
      <c r="GN109" s="418"/>
      <c r="GO109" s="418"/>
      <c r="GP109" s="418"/>
      <c r="GQ109" s="418"/>
      <c r="GR109" s="418"/>
      <c r="GS109" s="418"/>
      <c r="GT109" s="418"/>
      <c r="GU109" s="418"/>
      <c r="GV109" s="418"/>
      <c r="GW109" s="418"/>
      <c r="GX109" s="418"/>
      <c r="GY109" s="418"/>
      <c r="GZ109" s="418"/>
      <c r="HA109" s="418"/>
      <c r="HB109" s="418"/>
      <c r="HC109" s="418"/>
      <c r="HD109" s="418"/>
      <c r="HE109" s="418"/>
      <c r="HF109" s="418"/>
      <c r="HG109" s="418"/>
      <c r="HH109" s="418"/>
      <c r="HI109" s="418"/>
      <c r="HJ109" s="418"/>
      <c r="HK109" s="418"/>
      <c r="HL109" s="418"/>
      <c r="HM109" s="418"/>
      <c r="HN109" s="418"/>
      <c r="HO109" s="418"/>
      <c r="HP109" s="418"/>
      <c r="HQ109" s="418"/>
      <c r="HR109" s="418"/>
      <c r="HS109" s="418"/>
      <c r="HT109" s="418"/>
      <c r="HU109" s="418"/>
      <c r="HV109" s="418"/>
      <c r="HW109" s="418"/>
      <c r="HX109" s="418"/>
      <c r="HY109" s="418"/>
      <c r="HZ109" s="418"/>
      <c r="IA109" s="418"/>
      <c r="IB109" s="418"/>
      <c r="IC109" s="418"/>
      <c r="ID109" s="418"/>
      <c r="IE109" s="418"/>
      <c r="IF109" s="418"/>
      <c r="IG109" s="418"/>
      <c r="IH109" s="418"/>
      <c r="II109" s="418"/>
      <c r="IJ109" s="418"/>
      <c r="IK109" s="418"/>
      <c r="IL109" s="418"/>
      <c r="IM109" s="418"/>
      <c r="IN109" s="418"/>
      <c r="IO109" s="418"/>
      <c r="IP109" s="418"/>
      <c r="IQ109" s="418"/>
      <c r="IR109" s="418"/>
      <c r="IS109" s="418"/>
      <c r="IT109" s="418"/>
      <c r="IU109" s="418"/>
      <c r="IV109" s="418"/>
      <c r="IW109" s="418"/>
      <c r="IX109" s="418"/>
      <c r="IY109" s="418"/>
      <c r="IZ109" s="418"/>
      <c r="JA109" s="418"/>
    </row>
    <row r="110" spans="1:261" s="758" customFormat="1" ht="18" customHeight="1" x14ac:dyDescent="0.35">
      <c r="A110" s="773">
        <v>100</v>
      </c>
      <c r="B110" s="766"/>
      <c r="C110" s="464"/>
      <c r="D110" s="1318" t="s">
        <v>947</v>
      </c>
      <c r="E110" s="430"/>
      <c r="F110" s="762"/>
      <c r="G110" s="431"/>
      <c r="H110" s="999"/>
      <c r="I110" s="995"/>
      <c r="J110" s="759"/>
      <c r="K110" s="759"/>
      <c r="L110" s="759"/>
      <c r="M110" s="759"/>
      <c r="N110" s="759"/>
      <c r="O110" s="1599">
        <f>SUM(I110:N110)</f>
        <v>0</v>
      </c>
      <c r="P110" s="763"/>
      <c r="Q110" s="418"/>
      <c r="R110" s="418"/>
      <c r="S110" s="418"/>
      <c r="T110" s="418"/>
      <c r="U110" s="418"/>
      <c r="V110" s="418"/>
      <c r="W110" s="418"/>
      <c r="X110" s="418"/>
      <c r="Y110" s="418"/>
      <c r="Z110" s="418"/>
      <c r="AA110" s="418"/>
      <c r="AB110" s="418"/>
      <c r="AC110" s="418"/>
      <c r="AD110" s="418"/>
      <c r="AE110" s="418"/>
      <c r="AF110" s="418"/>
      <c r="AG110" s="418"/>
      <c r="AH110" s="418"/>
      <c r="AI110" s="418"/>
      <c r="AJ110" s="418"/>
      <c r="AK110" s="418"/>
      <c r="AL110" s="418"/>
      <c r="AM110" s="418"/>
      <c r="AN110" s="418"/>
      <c r="AO110" s="418"/>
      <c r="AP110" s="418"/>
      <c r="AQ110" s="418"/>
      <c r="AR110" s="418"/>
      <c r="AS110" s="418"/>
      <c r="AT110" s="418"/>
      <c r="AU110" s="418"/>
      <c r="AV110" s="418"/>
      <c r="AW110" s="418"/>
      <c r="AX110" s="418"/>
      <c r="AY110" s="418"/>
      <c r="AZ110" s="418"/>
      <c r="BA110" s="418"/>
      <c r="BB110" s="418"/>
      <c r="BC110" s="418"/>
      <c r="BD110" s="418"/>
      <c r="BE110" s="418"/>
      <c r="BF110" s="418"/>
      <c r="BG110" s="418"/>
      <c r="BH110" s="418"/>
      <c r="BI110" s="418"/>
      <c r="BJ110" s="418"/>
      <c r="BK110" s="418"/>
      <c r="BL110" s="418"/>
      <c r="BM110" s="418"/>
      <c r="BN110" s="418"/>
      <c r="BO110" s="418"/>
      <c r="BP110" s="418"/>
      <c r="BQ110" s="418"/>
      <c r="BR110" s="418"/>
      <c r="BS110" s="418"/>
      <c r="BT110" s="418"/>
      <c r="BU110" s="418"/>
      <c r="BV110" s="418"/>
      <c r="BW110" s="418"/>
      <c r="BX110" s="418"/>
      <c r="BY110" s="418"/>
      <c r="BZ110" s="418"/>
      <c r="CA110" s="418"/>
      <c r="CB110" s="418"/>
      <c r="CC110" s="418"/>
      <c r="CD110" s="418"/>
      <c r="CE110" s="418"/>
      <c r="CF110" s="418"/>
      <c r="CG110" s="418"/>
      <c r="CH110" s="418"/>
      <c r="CI110" s="418"/>
      <c r="CJ110" s="418"/>
      <c r="CK110" s="418"/>
      <c r="CL110" s="418"/>
      <c r="CM110" s="418"/>
      <c r="CN110" s="418"/>
      <c r="CO110" s="418"/>
      <c r="CP110" s="418"/>
      <c r="CQ110" s="418"/>
      <c r="CR110" s="418"/>
      <c r="CS110" s="418"/>
      <c r="CT110" s="418"/>
      <c r="CU110" s="418"/>
      <c r="CV110" s="418"/>
      <c r="CW110" s="418"/>
      <c r="CX110" s="418"/>
      <c r="CY110" s="418"/>
      <c r="CZ110" s="418"/>
      <c r="DA110" s="418"/>
      <c r="DB110" s="418"/>
      <c r="DC110" s="418"/>
      <c r="DD110" s="418"/>
      <c r="DE110" s="418"/>
      <c r="DF110" s="418"/>
      <c r="DG110" s="418"/>
      <c r="DH110" s="418"/>
      <c r="DI110" s="418"/>
      <c r="DJ110" s="418"/>
      <c r="DK110" s="418"/>
      <c r="DL110" s="418"/>
      <c r="DM110" s="418"/>
      <c r="DN110" s="418"/>
      <c r="DO110" s="418"/>
      <c r="DP110" s="418"/>
      <c r="DQ110" s="418"/>
      <c r="DR110" s="418"/>
      <c r="DS110" s="418"/>
      <c r="DT110" s="418"/>
      <c r="DU110" s="418"/>
      <c r="DV110" s="418"/>
      <c r="DW110" s="418"/>
      <c r="DX110" s="418"/>
      <c r="DY110" s="418"/>
      <c r="DZ110" s="418"/>
      <c r="EA110" s="418"/>
      <c r="EB110" s="418"/>
      <c r="EC110" s="418"/>
      <c r="ED110" s="418"/>
      <c r="EE110" s="418"/>
      <c r="EF110" s="418"/>
      <c r="EG110" s="418"/>
      <c r="EH110" s="418"/>
      <c r="EI110" s="418"/>
      <c r="EJ110" s="418"/>
      <c r="EK110" s="418"/>
      <c r="EL110" s="418"/>
      <c r="EM110" s="418"/>
      <c r="EN110" s="418"/>
      <c r="EO110" s="418"/>
      <c r="EP110" s="418"/>
      <c r="EQ110" s="418"/>
      <c r="ER110" s="418"/>
      <c r="ES110" s="418"/>
      <c r="ET110" s="418"/>
      <c r="EU110" s="418"/>
      <c r="EV110" s="418"/>
      <c r="EW110" s="418"/>
      <c r="EX110" s="418"/>
      <c r="EY110" s="418"/>
      <c r="EZ110" s="418"/>
      <c r="FA110" s="418"/>
      <c r="FB110" s="418"/>
      <c r="FC110" s="418"/>
      <c r="FD110" s="418"/>
      <c r="FE110" s="418"/>
      <c r="FF110" s="418"/>
      <c r="FG110" s="418"/>
      <c r="FH110" s="418"/>
      <c r="FI110" s="418"/>
      <c r="FJ110" s="418"/>
      <c r="FK110" s="418"/>
      <c r="FL110" s="418"/>
      <c r="FM110" s="418"/>
      <c r="FN110" s="418"/>
      <c r="FO110" s="418"/>
      <c r="FP110" s="418"/>
      <c r="FQ110" s="418"/>
      <c r="FR110" s="418"/>
      <c r="FS110" s="418"/>
      <c r="FT110" s="418"/>
      <c r="FU110" s="418"/>
      <c r="FV110" s="418"/>
      <c r="FW110" s="418"/>
      <c r="FX110" s="418"/>
      <c r="FY110" s="418"/>
      <c r="FZ110" s="418"/>
      <c r="GA110" s="418"/>
      <c r="GB110" s="418"/>
      <c r="GC110" s="418"/>
      <c r="GD110" s="418"/>
      <c r="GE110" s="418"/>
      <c r="GF110" s="418"/>
      <c r="GG110" s="418"/>
      <c r="GH110" s="418"/>
      <c r="GI110" s="418"/>
      <c r="GJ110" s="418"/>
      <c r="GK110" s="418"/>
      <c r="GL110" s="418"/>
      <c r="GM110" s="418"/>
      <c r="GN110" s="418"/>
      <c r="GO110" s="418"/>
      <c r="GP110" s="418"/>
      <c r="GQ110" s="418"/>
      <c r="GR110" s="418"/>
      <c r="GS110" s="418"/>
      <c r="GT110" s="418"/>
      <c r="GU110" s="418"/>
      <c r="GV110" s="418"/>
      <c r="GW110" s="418"/>
      <c r="GX110" s="418"/>
      <c r="GY110" s="418"/>
      <c r="GZ110" s="418"/>
      <c r="HA110" s="418"/>
      <c r="HB110" s="418"/>
      <c r="HC110" s="418"/>
      <c r="HD110" s="418"/>
      <c r="HE110" s="418"/>
      <c r="HF110" s="418"/>
      <c r="HG110" s="418"/>
      <c r="HH110" s="418"/>
      <c r="HI110" s="418"/>
      <c r="HJ110" s="418"/>
      <c r="HK110" s="418"/>
      <c r="HL110" s="418"/>
      <c r="HM110" s="418"/>
      <c r="HN110" s="418"/>
      <c r="HO110" s="418"/>
      <c r="HP110" s="418"/>
      <c r="HQ110" s="418"/>
      <c r="HR110" s="418"/>
      <c r="HS110" s="418"/>
      <c r="HT110" s="418"/>
      <c r="HU110" s="418"/>
      <c r="HV110" s="418"/>
      <c r="HW110" s="418"/>
      <c r="HX110" s="418"/>
      <c r="HY110" s="418"/>
      <c r="HZ110" s="418"/>
      <c r="IA110" s="418"/>
      <c r="IB110" s="418"/>
      <c r="IC110" s="418"/>
      <c r="ID110" s="418"/>
      <c r="IE110" s="418"/>
      <c r="IF110" s="418"/>
      <c r="IG110" s="418"/>
      <c r="IH110" s="418"/>
      <c r="II110" s="418"/>
      <c r="IJ110" s="418"/>
      <c r="IK110" s="418"/>
      <c r="IL110" s="418"/>
      <c r="IM110" s="418"/>
      <c r="IN110" s="418"/>
      <c r="IO110" s="418"/>
      <c r="IP110" s="418"/>
      <c r="IQ110" s="418"/>
      <c r="IR110" s="418"/>
      <c r="IS110" s="418"/>
      <c r="IT110" s="418"/>
      <c r="IU110" s="418"/>
      <c r="IV110" s="418"/>
      <c r="IW110" s="418"/>
      <c r="IX110" s="418"/>
      <c r="IY110" s="418"/>
      <c r="IZ110" s="418"/>
      <c r="JA110" s="418"/>
    </row>
    <row r="111" spans="1:261" s="758" customFormat="1" ht="18" customHeight="1" x14ac:dyDescent="0.35">
      <c r="A111" s="773">
        <v>101</v>
      </c>
      <c r="B111" s="766"/>
      <c r="C111" s="464"/>
      <c r="D111" s="576" t="s">
        <v>1250</v>
      </c>
      <c r="E111" s="430"/>
      <c r="F111" s="762"/>
      <c r="G111" s="431"/>
      <c r="H111" s="999"/>
      <c r="I111" s="995"/>
      <c r="J111" s="759"/>
      <c r="K111" s="759">
        <f>SUM(K109:K110)</f>
        <v>87</v>
      </c>
      <c r="L111" s="759">
        <f>SUM(L109:L110)</f>
        <v>94075</v>
      </c>
      <c r="M111" s="759">
        <f t="shared" ref="M111:N111" si="14">SUM(M109:M110)</f>
        <v>0</v>
      </c>
      <c r="N111" s="759">
        <f t="shared" si="14"/>
        <v>1449925</v>
      </c>
      <c r="O111" s="767">
        <f>SUM(I111:N111)</f>
        <v>1544087</v>
      </c>
      <c r="P111" s="763"/>
      <c r="Q111" s="418"/>
      <c r="R111" s="418"/>
      <c r="S111" s="418"/>
      <c r="T111" s="418"/>
      <c r="U111" s="418"/>
      <c r="V111" s="418"/>
      <c r="W111" s="418"/>
      <c r="X111" s="418"/>
      <c r="Y111" s="418"/>
      <c r="Z111" s="418"/>
      <c r="AA111" s="418"/>
      <c r="AB111" s="418"/>
      <c r="AC111" s="418"/>
      <c r="AD111" s="418"/>
      <c r="AE111" s="418"/>
      <c r="AF111" s="418"/>
      <c r="AG111" s="418"/>
      <c r="AH111" s="418"/>
      <c r="AI111" s="418"/>
      <c r="AJ111" s="418"/>
      <c r="AK111" s="418"/>
      <c r="AL111" s="418"/>
      <c r="AM111" s="418"/>
      <c r="AN111" s="418"/>
      <c r="AO111" s="418"/>
      <c r="AP111" s="418"/>
      <c r="AQ111" s="418"/>
      <c r="AR111" s="418"/>
      <c r="AS111" s="418"/>
      <c r="AT111" s="418"/>
      <c r="AU111" s="418"/>
      <c r="AV111" s="418"/>
      <c r="AW111" s="418"/>
      <c r="AX111" s="418"/>
      <c r="AY111" s="418"/>
      <c r="AZ111" s="418"/>
      <c r="BA111" s="418"/>
      <c r="BB111" s="418"/>
      <c r="BC111" s="418"/>
      <c r="BD111" s="418"/>
      <c r="BE111" s="418"/>
      <c r="BF111" s="418"/>
      <c r="BG111" s="418"/>
      <c r="BH111" s="418"/>
      <c r="BI111" s="418"/>
      <c r="BJ111" s="418"/>
      <c r="BK111" s="418"/>
      <c r="BL111" s="418"/>
      <c r="BM111" s="418"/>
      <c r="BN111" s="418"/>
      <c r="BO111" s="418"/>
      <c r="BP111" s="418"/>
      <c r="BQ111" s="418"/>
      <c r="BR111" s="418"/>
      <c r="BS111" s="418"/>
      <c r="BT111" s="418"/>
      <c r="BU111" s="418"/>
      <c r="BV111" s="418"/>
      <c r="BW111" s="418"/>
      <c r="BX111" s="418"/>
      <c r="BY111" s="418"/>
      <c r="BZ111" s="418"/>
      <c r="CA111" s="418"/>
      <c r="CB111" s="418"/>
      <c r="CC111" s="418"/>
      <c r="CD111" s="418"/>
      <c r="CE111" s="418"/>
      <c r="CF111" s="418"/>
      <c r="CG111" s="418"/>
      <c r="CH111" s="418"/>
      <c r="CI111" s="418"/>
      <c r="CJ111" s="418"/>
      <c r="CK111" s="418"/>
      <c r="CL111" s="418"/>
      <c r="CM111" s="418"/>
      <c r="CN111" s="418"/>
      <c r="CO111" s="418"/>
      <c r="CP111" s="418"/>
      <c r="CQ111" s="418"/>
      <c r="CR111" s="418"/>
      <c r="CS111" s="418"/>
      <c r="CT111" s="418"/>
      <c r="CU111" s="418"/>
      <c r="CV111" s="418"/>
      <c r="CW111" s="418"/>
      <c r="CX111" s="418"/>
      <c r="CY111" s="418"/>
      <c r="CZ111" s="418"/>
      <c r="DA111" s="418"/>
      <c r="DB111" s="418"/>
      <c r="DC111" s="418"/>
      <c r="DD111" s="418"/>
      <c r="DE111" s="418"/>
      <c r="DF111" s="418"/>
      <c r="DG111" s="418"/>
      <c r="DH111" s="418"/>
      <c r="DI111" s="418"/>
      <c r="DJ111" s="418"/>
      <c r="DK111" s="418"/>
      <c r="DL111" s="418"/>
      <c r="DM111" s="418"/>
      <c r="DN111" s="418"/>
      <c r="DO111" s="418"/>
      <c r="DP111" s="418"/>
      <c r="DQ111" s="418"/>
      <c r="DR111" s="418"/>
      <c r="DS111" s="418"/>
      <c r="DT111" s="418"/>
      <c r="DU111" s="418"/>
      <c r="DV111" s="418"/>
      <c r="DW111" s="418"/>
      <c r="DX111" s="418"/>
      <c r="DY111" s="418"/>
      <c r="DZ111" s="418"/>
      <c r="EA111" s="418"/>
      <c r="EB111" s="418"/>
      <c r="EC111" s="418"/>
      <c r="ED111" s="418"/>
      <c r="EE111" s="418"/>
      <c r="EF111" s="418"/>
      <c r="EG111" s="418"/>
      <c r="EH111" s="418"/>
      <c r="EI111" s="418"/>
      <c r="EJ111" s="418"/>
      <c r="EK111" s="418"/>
      <c r="EL111" s="418"/>
      <c r="EM111" s="418"/>
      <c r="EN111" s="418"/>
      <c r="EO111" s="418"/>
      <c r="EP111" s="418"/>
      <c r="EQ111" s="418"/>
      <c r="ER111" s="418"/>
      <c r="ES111" s="418"/>
      <c r="ET111" s="418"/>
      <c r="EU111" s="418"/>
      <c r="EV111" s="418"/>
      <c r="EW111" s="418"/>
      <c r="EX111" s="418"/>
      <c r="EY111" s="418"/>
      <c r="EZ111" s="418"/>
      <c r="FA111" s="418"/>
      <c r="FB111" s="418"/>
      <c r="FC111" s="418"/>
      <c r="FD111" s="418"/>
      <c r="FE111" s="418"/>
      <c r="FF111" s="418"/>
      <c r="FG111" s="418"/>
      <c r="FH111" s="418"/>
      <c r="FI111" s="418"/>
      <c r="FJ111" s="418"/>
      <c r="FK111" s="418"/>
      <c r="FL111" s="418"/>
      <c r="FM111" s="418"/>
      <c r="FN111" s="418"/>
      <c r="FO111" s="418"/>
      <c r="FP111" s="418"/>
      <c r="FQ111" s="418"/>
      <c r="FR111" s="418"/>
      <c r="FS111" s="418"/>
      <c r="FT111" s="418"/>
      <c r="FU111" s="418"/>
      <c r="FV111" s="418"/>
      <c r="FW111" s="418"/>
      <c r="FX111" s="418"/>
      <c r="FY111" s="418"/>
      <c r="FZ111" s="418"/>
      <c r="GA111" s="418"/>
      <c r="GB111" s="418"/>
      <c r="GC111" s="418"/>
      <c r="GD111" s="418"/>
      <c r="GE111" s="418"/>
      <c r="GF111" s="418"/>
      <c r="GG111" s="418"/>
      <c r="GH111" s="418"/>
      <c r="GI111" s="418"/>
      <c r="GJ111" s="418"/>
      <c r="GK111" s="418"/>
      <c r="GL111" s="418"/>
      <c r="GM111" s="418"/>
      <c r="GN111" s="418"/>
      <c r="GO111" s="418"/>
      <c r="GP111" s="418"/>
      <c r="GQ111" s="418"/>
      <c r="GR111" s="418"/>
      <c r="GS111" s="418"/>
      <c r="GT111" s="418"/>
      <c r="GU111" s="418"/>
      <c r="GV111" s="418"/>
      <c r="GW111" s="418"/>
      <c r="GX111" s="418"/>
      <c r="GY111" s="418"/>
      <c r="GZ111" s="418"/>
      <c r="HA111" s="418"/>
      <c r="HB111" s="418"/>
      <c r="HC111" s="418"/>
      <c r="HD111" s="418"/>
      <c r="HE111" s="418"/>
      <c r="HF111" s="418"/>
      <c r="HG111" s="418"/>
      <c r="HH111" s="418"/>
      <c r="HI111" s="418"/>
      <c r="HJ111" s="418"/>
      <c r="HK111" s="418"/>
      <c r="HL111" s="418"/>
      <c r="HM111" s="418"/>
      <c r="HN111" s="418"/>
      <c r="HO111" s="418"/>
      <c r="HP111" s="418"/>
      <c r="HQ111" s="418"/>
      <c r="HR111" s="418"/>
      <c r="HS111" s="418"/>
      <c r="HT111" s="418"/>
      <c r="HU111" s="418"/>
      <c r="HV111" s="418"/>
      <c r="HW111" s="418"/>
      <c r="HX111" s="418"/>
      <c r="HY111" s="418"/>
      <c r="HZ111" s="418"/>
      <c r="IA111" s="418"/>
      <c r="IB111" s="418"/>
      <c r="IC111" s="418"/>
      <c r="ID111" s="418"/>
      <c r="IE111" s="418"/>
      <c r="IF111" s="418"/>
      <c r="IG111" s="418"/>
      <c r="IH111" s="418"/>
      <c r="II111" s="418"/>
      <c r="IJ111" s="418"/>
      <c r="IK111" s="418"/>
      <c r="IL111" s="418"/>
      <c r="IM111" s="418"/>
      <c r="IN111" s="418"/>
      <c r="IO111" s="418"/>
      <c r="IP111" s="418"/>
      <c r="IQ111" s="418"/>
      <c r="IR111" s="418"/>
      <c r="IS111" s="418"/>
      <c r="IT111" s="418"/>
      <c r="IU111" s="418"/>
      <c r="IV111" s="418"/>
      <c r="IW111" s="418"/>
      <c r="IX111" s="418"/>
      <c r="IY111" s="418"/>
      <c r="IZ111" s="418"/>
      <c r="JA111" s="418"/>
    </row>
    <row r="112" spans="1:261" ht="33" x14ac:dyDescent="0.35">
      <c r="A112" s="773">
        <v>102</v>
      </c>
      <c r="B112" s="618"/>
      <c r="C112" s="420">
        <v>21</v>
      </c>
      <c r="D112" s="422" t="s">
        <v>581</v>
      </c>
      <c r="E112" s="430"/>
      <c r="F112" s="762"/>
      <c r="G112" s="431"/>
      <c r="H112" s="999" t="s">
        <v>24</v>
      </c>
      <c r="I112" s="1017"/>
      <c r="J112" s="1013"/>
      <c r="K112" s="1013"/>
      <c r="L112" s="1013"/>
      <c r="M112" s="1013"/>
      <c r="N112" s="1013"/>
      <c r="O112" s="982"/>
      <c r="P112" s="763"/>
    </row>
    <row r="113" spans="1:261" s="758" customFormat="1" ht="18" customHeight="1" x14ac:dyDescent="0.35">
      <c r="A113" s="773">
        <v>103</v>
      </c>
      <c r="B113" s="766"/>
      <c r="C113" s="420"/>
      <c r="D113" s="992" t="s">
        <v>308</v>
      </c>
      <c r="E113" s="430">
        <f>F113+G113+O116+P116</f>
        <v>1629330</v>
      </c>
      <c r="F113" s="762">
        <v>28000</v>
      </c>
      <c r="G113" s="431">
        <f>24019+2422</f>
        <v>26441</v>
      </c>
      <c r="H113" s="999"/>
      <c r="I113" s="1017"/>
      <c r="J113" s="1013"/>
      <c r="K113" s="1013">
        <v>12196</v>
      </c>
      <c r="L113" s="1013"/>
      <c r="M113" s="1013">
        <f>793085+277946+491662</f>
        <v>1562693</v>
      </c>
      <c r="N113" s="1013"/>
      <c r="O113" s="982">
        <f>SUM(I113:N113)</f>
        <v>1574889</v>
      </c>
      <c r="P113" s="763"/>
      <c r="Q113" s="418"/>
      <c r="R113" s="418"/>
      <c r="S113" s="418"/>
      <c r="T113" s="418"/>
      <c r="U113" s="418"/>
      <c r="V113" s="418"/>
      <c r="W113" s="418"/>
      <c r="X113" s="418"/>
      <c r="Y113" s="418"/>
      <c r="Z113" s="418"/>
      <c r="AA113" s="418"/>
      <c r="AB113" s="418"/>
      <c r="AC113" s="418"/>
      <c r="AD113" s="418"/>
      <c r="AE113" s="418"/>
      <c r="AF113" s="418"/>
      <c r="AG113" s="418"/>
      <c r="AH113" s="418"/>
      <c r="AI113" s="418"/>
      <c r="AJ113" s="418"/>
      <c r="AK113" s="418"/>
      <c r="AL113" s="418"/>
      <c r="AM113" s="418"/>
      <c r="AN113" s="418"/>
      <c r="AO113" s="418"/>
      <c r="AP113" s="418"/>
      <c r="AQ113" s="418"/>
      <c r="AR113" s="418"/>
      <c r="AS113" s="418"/>
      <c r="AT113" s="418"/>
      <c r="AU113" s="418"/>
      <c r="AV113" s="418"/>
      <c r="AW113" s="418"/>
      <c r="AX113" s="418"/>
      <c r="AY113" s="418"/>
      <c r="AZ113" s="418"/>
      <c r="BA113" s="418"/>
      <c r="BB113" s="418"/>
      <c r="BC113" s="418"/>
      <c r="BD113" s="418"/>
      <c r="BE113" s="418"/>
      <c r="BF113" s="418"/>
      <c r="BG113" s="418"/>
      <c r="BH113" s="418"/>
      <c r="BI113" s="418"/>
      <c r="BJ113" s="418"/>
      <c r="BK113" s="418"/>
      <c r="BL113" s="418"/>
      <c r="BM113" s="418"/>
      <c r="BN113" s="418"/>
      <c r="BO113" s="418"/>
      <c r="BP113" s="418"/>
      <c r="BQ113" s="418"/>
      <c r="BR113" s="418"/>
      <c r="BS113" s="418"/>
      <c r="BT113" s="418"/>
      <c r="BU113" s="418"/>
      <c r="BV113" s="418"/>
      <c r="BW113" s="418"/>
      <c r="BX113" s="418"/>
      <c r="BY113" s="418"/>
      <c r="BZ113" s="418"/>
      <c r="CA113" s="418"/>
      <c r="CB113" s="418"/>
      <c r="CC113" s="418"/>
      <c r="CD113" s="418"/>
      <c r="CE113" s="418"/>
      <c r="CF113" s="418"/>
      <c r="CG113" s="418"/>
      <c r="CH113" s="418"/>
      <c r="CI113" s="418"/>
      <c r="CJ113" s="418"/>
      <c r="CK113" s="418"/>
      <c r="CL113" s="418"/>
      <c r="CM113" s="418"/>
      <c r="CN113" s="418"/>
      <c r="CO113" s="418"/>
      <c r="CP113" s="418"/>
      <c r="CQ113" s="418"/>
      <c r="CR113" s="418"/>
      <c r="CS113" s="418"/>
      <c r="CT113" s="418"/>
      <c r="CU113" s="418"/>
      <c r="CV113" s="418"/>
      <c r="CW113" s="418"/>
      <c r="CX113" s="418"/>
      <c r="CY113" s="418"/>
      <c r="CZ113" s="418"/>
      <c r="DA113" s="418"/>
      <c r="DB113" s="418"/>
      <c r="DC113" s="418"/>
      <c r="DD113" s="418"/>
      <c r="DE113" s="418"/>
      <c r="DF113" s="418"/>
      <c r="DG113" s="418"/>
      <c r="DH113" s="418"/>
      <c r="DI113" s="418"/>
      <c r="DJ113" s="418"/>
      <c r="DK113" s="418"/>
      <c r="DL113" s="418"/>
      <c r="DM113" s="418"/>
      <c r="DN113" s="418"/>
      <c r="DO113" s="418"/>
      <c r="DP113" s="418"/>
      <c r="DQ113" s="418"/>
      <c r="DR113" s="418"/>
      <c r="DS113" s="418"/>
      <c r="DT113" s="418"/>
      <c r="DU113" s="418"/>
      <c r="DV113" s="418"/>
      <c r="DW113" s="418"/>
      <c r="DX113" s="418"/>
      <c r="DY113" s="418"/>
      <c r="DZ113" s="418"/>
      <c r="EA113" s="418"/>
      <c r="EB113" s="418"/>
      <c r="EC113" s="418"/>
      <c r="ED113" s="418"/>
      <c r="EE113" s="418"/>
      <c r="EF113" s="418"/>
      <c r="EG113" s="418"/>
      <c r="EH113" s="418"/>
      <c r="EI113" s="418"/>
      <c r="EJ113" s="418"/>
      <c r="EK113" s="418"/>
      <c r="EL113" s="418"/>
      <c r="EM113" s="418"/>
      <c r="EN113" s="418"/>
      <c r="EO113" s="418"/>
      <c r="EP113" s="418"/>
      <c r="EQ113" s="418"/>
      <c r="ER113" s="418"/>
      <c r="ES113" s="418"/>
      <c r="ET113" s="418"/>
      <c r="EU113" s="418"/>
      <c r="EV113" s="418"/>
      <c r="EW113" s="418"/>
      <c r="EX113" s="418"/>
      <c r="EY113" s="418"/>
      <c r="EZ113" s="418"/>
      <c r="FA113" s="418"/>
      <c r="FB113" s="418"/>
      <c r="FC113" s="418"/>
      <c r="FD113" s="418"/>
      <c r="FE113" s="418"/>
      <c r="FF113" s="418"/>
      <c r="FG113" s="418"/>
      <c r="FH113" s="418"/>
      <c r="FI113" s="418"/>
      <c r="FJ113" s="418"/>
      <c r="FK113" s="418"/>
      <c r="FL113" s="418"/>
      <c r="FM113" s="418"/>
      <c r="FN113" s="418"/>
      <c r="FO113" s="418"/>
      <c r="FP113" s="418"/>
      <c r="FQ113" s="418"/>
      <c r="FR113" s="418"/>
      <c r="FS113" s="418"/>
      <c r="FT113" s="418"/>
      <c r="FU113" s="418"/>
      <c r="FV113" s="418"/>
      <c r="FW113" s="418"/>
      <c r="FX113" s="418"/>
      <c r="FY113" s="418"/>
      <c r="FZ113" s="418"/>
      <c r="GA113" s="418"/>
      <c r="GB113" s="418"/>
      <c r="GC113" s="418"/>
      <c r="GD113" s="418"/>
      <c r="GE113" s="418"/>
      <c r="GF113" s="418"/>
      <c r="GG113" s="418"/>
      <c r="GH113" s="418"/>
      <c r="GI113" s="418"/>
      <c r="GJ113" s="418"/>
      <c r="GK113" s="418"/>
      <c r="GL113" s="418"/>
      <c r="GM113" s="418"/>
      <c r="GN113" s="418"/>
      <c r="GO113" s="418"/>
      <c r="GP113" s="418"/>
      <c r="GQ113" s="418"/>
      <c r="GR113" s="418"/>
      <c r="GS113" s="418"/>
      <c r="GT113" s="418"/>
      <c r="GU113" s="418"/>
      <c r="GV113" s="418"/>
      <c r="GW113" s="418"/>
      <c r="GX113" s="418"/>
      <c r="GY113" s="418"/>
      <c r="GZ113" s="418"/>
      <c r="HA113" s="418"/>
      <c r="HB113" s="418"/>
      <c r="HC113" s="418"/>
      <c r="HD113" s="418"/>
      <c r="HE113" s="418"/>
      <c r="HF113" s="418"/>
      <c r="HG113" s="418"/>
      <c r="HH113" s="418"/>
      <c r="HI113" s="418"/>
      <c r="HJ113" s="418"/>
      <c r="HK113" s="418"/>
      <c r="HL113" s="418"/>
      <c r="HM113" s="418"/>
      <c r="HN113" s="418"/>
      <c r="HO113" s="418"/>
      <c r="HP113" s="418"/>
      <c r="HQ113" s="418"/>
      <c r="HR113" s="418"/>
      <c r="HS113" s="418"/>
      <c r="HT113" s="418"/>
      <c r="HU113" s="418"/>
      <c r="HV113" s="418"/>
      <c r="HW113" s="418"/>
      <c r="HX113" s="418"/>
      <c r="HY113" s="418"/>
      <c r="HZ113" s="418"/>
      <c r="IA113" s="418"/>
      <c r="IB113" s="418"/>
      <c r="IC113" s="418"/>
      <c r="ID113" s="418"/>
      <c r="IE113" s="418"/>
      <c r="IF113" s="418"/>
      <c r="IG113" s="418"/>
      <c r="IH113" s="418"/>
      <c r="II113" s="418"/>
      <c r="IJ113" s="418"/>
      <c r="IK113" s="418"/>
      <c r="IL113" s="418"/>
      <c r="IM113" s="418"/>
      <c r="IN113" s="418"/>
      <c r="IO113" s="418"/>
      <c r="IP113" s="418"/>
      <c r="IQ113" s="418"/>
      <c r="IR113" s="418"/>
      <c r="IS113" s="418"/>
      <c r="IT113" s="418"/>
      <c r="IU113" s="418"/>
      <c r="IV113" s="418"/>
      <c r="IW113" s="418"/>
      <c r="IX113" s="418"/>
      <c r="IY113" s="418"/>
      <c r="IZ113" s="418"/>
      <c r="JA113" s="418"/>
    </row>
    <row r="114" spans="1:261" s="758" customFormat="1" ht="18" customHeight="1" x14ac:dyDescent="0.35">
      <c r="A114" s="773">
        <v>104</v>
      </c>
      <c r="B114" s="766"/>
      <c r="C114" s="420"/>
      <c r="D114" s="576" t="s">
        <v>1158</v>
      </c>
      <c r="E114" s="430"/>
      <c r="F114" s="762"/>
      <c r="G114" s="431"/>
      <c r="H114" s="999"/>
      <c r="I114" s="1017"/>
      <c r="J114" s="1013"/>
      <c r="K114" s="759">
        <v>12196</v>
      </c>
      <c r="L114" s="759"/>
      <c r="M114" s="759">
        <v>1562693</v>
      </c>
      <c r="N114" s="1013"/>
      <c r="O114" s="767">
        <f>SUM(I114:N114)</f>
        <v>1574889</v>
      </c>
      <c r="P114" s="763"/>
      <c r="Q114" s="418"/>
      <c r="R114" s="418"/>
      <c r="S114" s="418"/>
      <c r="T114" s="418"/>
      <c r="U114" s="418"/>
      <c r="V114" s="418"/>
      <c r="W114" s="418"/>
      <c r="X114" s="418"/>
      <c r="Y114" s="418"/>
      <c r="Z114" s="418"/>
      <c r="AA114" s="418"/>
      <c r="AB114" s="418"/>
      <c r="AC114" s="418"/>
      <c r="AD114" s="418"/>
      <c r="AE114" s="418"/>
      <c r="AF114" s="418"/>
      <c r="AG114" s="418"/>
      <c r="AH114" s="418"/>
      <c r="AI114" s="418"/>
      <c r="AJ114" s="418"/>
      <c r="AK114" s="418"/>
      <c r="AL114" s="418"/>
      <c r="AM114" s="418"/>
      <c r="AN114" s="418"/>
      <c r="AO114" s="418"/>
      <c r="AP114" s="418"/>
      <c r="AQ114" s="418"/>
      <c r="AR114" s="418"/>
      <c r="AS114" s="418"/>
      <c r="AT114" s="418"/>
      <c r="AU114" s="418"/>
      <c r="AV114" s="418"/>
      <c r="AW114" s="418"/>
      <c r="AX114" s="418"/>
      <c r="AY114" s="418"/>
      <c r="AZ114" s="418"/>
      <c r="BA114" s="418"/>
      <c r="BB114" s="418"/>
      <c r="BC114" s="418"/>
      <c r="BD114" s="418"/>
      <c r="BE114" s="418"/>
      <c r="BF114" s="418"/>
      <c r="BG114" s="418"/>
      <c r="BH114" s="418"/>
      <c r="BI114" s="418"/>
      <c r="BJ114" s="418"/>
      <c r="BK114" s="418"/>
      <c r="BL114" s="418"/>
      <c r="BM114" s="418"/>
      <c r="BN114" s="418"/>
      <c r="BO114" s="418"/>
      <c r="BP114" s="418"/>
      <c r="BQ114" s="418"/>
      <c r="BR114" s="418"/>
      <c r="BS114" s="418"/>
      <c r="BT114" s="418"/>
      <c r="BU114" s="418"/>
      <c r="BV114" s="418"/>
      <c r="BW114" s="418"/>
      <c r="BX114" s="418"/>
      <c r="BY114" s="418"/>
      <c r="BZ114" s="418"/>
      <c r="CA114" s="418"/>
      <c r="CB114" s="418"/>
      <c r="CC114" s="418"/>
      <c r="CD114" s="418"/>
      <c r="CE114" s="418"/>
      <c r="CF114" s="418"/>
      <c r="CG114" s="418"/>
      <c r="CH114" s="418"/>
      <c r="CI114" s="418"/>
      <c r="CJ114" s="418"/>
      <c r="CK114" s="418"/>
      <c r="CL114" s="418"/>
      <c r="CM114" s="418"/>
      <c r="CN114" s="418"/>
      <c r="CO114" s="418"/>
      <c r="CP114" s="418"/>
      <c r="CQ114" s="418"/>
      <c r="CR114" s="418"/>
      <c r="CS114" s="418"/>
      <c r="CT114" s="418"/>
      <c r="CU114" s="418"/>
      <c r="CV114" s="418"/>
      <c r="CW114" s="418"/>
      <c r="CX114" s="418"/>
      <c r="CY114" s="418"/>
      <c r="CZ114" s="418"/>
      <c r="DA114" s="418"/>
      <c r="DB114" s="418"/>
      <c r="DC114" s="418"/>
      <c r="DD114" s="418"/>
      <c r="DE114" s="418"/>
      <c r="DF114" s="418"/>
      <c r="DG114" s="418"/>
      <c r="DH114" s="418"/>
      <c r="DI114" s="418"/>
      <c r="DJ114" s="418"/>
      <c r="DK114" s="418"/>
      <c r="DL114" s="418"/>
      <c r="DM114" s="418"/>
      <c r="DN114" s="418"/>
      <c r="DO114" s="418"/>
      <c r="DP114" s="418"/>
      <c r="DQ114" s="418"/>
      <c r="DR114" s="418"/>
      <c r="DS114" s="418"/>
      <c r="DT114" s="418"/>
      <c r="DU114" s="418"/>
      <c r="DV114" s="418"/>
      <c r="DW114" s="418"/>
      <c r="DX114" s="418"/>
      <c r="DY114" s="418"/>
      <c r="DZ114" s="418"/>
      <c r="EA114" s="418"/>
      <c r="EB114" s="418"/>
      <c r="EC114" s="418"/>
      <c r="ED114" s="418"/>
      <c r="EE114" s="418"/>
      <c r="EF114" s="418"/>
      <c r="EG114" s="418"/>
      <c r="EH114" s="418"/>
      <c r="EI114" s="418"/>
      <c r="EJ114" s="418"/>
      <c r="EK114" s="418"/>
      <c r="EL114" s="418"/>
      <c r="EM114" s="418"/>
      <c r="EN114" s="418"/>
      <c r="EO114" s="418"/>
      <c r="EP114" s="418"/>
      <c r="EQ114" s="418"/>
      <c r="ER114" s="418"/>
      <c r="ES114" s="418"/>
      <c r="ET114" s="418"/>
      <c r="EU114" s="418"/>
      <c r="EV114" s="418"/>
      <c r="EW114" s="418"/>
      <c r="EX114" s="418"/>
      <c r="EY114" s="418"/>
      <c r="EZ114" s="418"/>
      <c r="FA114" s="418"/>
      <c r="FB114" s="418"/>
      <c r="FC114" s="418"/>
      <c r="FD114" s="418"/>
      <c r="FE114" s="418"/>
      <c r="FF114" s="418"/>
      <c r="FG114" s="418"/>
      <c r="FH114" s="418"/>
      <c r="FI114" s="418"/>
      <c r="FJ114" s="418"/>
      <c r="FK114" s="418"/>
      <c r="FL114" s="418"/>
      <c r="FM114" s="418"/>
      <c r="FN114" s="418"/>
      <c r="FO114" s="418"/>
      <c r="FP114" s="418"/>
      <c r="FQ114" s="418"/>
      <c r="FR114" s="418"/>
      <c r="FS114" s="418"/>
      <c r="FT114" s="418"/>
      <c r="FU114" s="418"/>
      <c r="FV114" s="418"/>
      <c r="FW114" s="418"/>
      <c r="FX114" s="418"/>
      <c r="FY114" s="418"/>
      <c r="FZ114" s="418"/>
      <c r="GA114" s="418"/>
      <c r="GB114" s="418"/>
      <c r="GC114" s="418"/>
      <c r="GD114" s="418"/>
      <c r="GE114" s="418"/>
      <c r="GF114" s="418"/>
      <c r="GG114" s="418"/>
      <c r="GH114" s="418"/>
      <c r="GI114" s="418"/>
      <c r="GJ114" s="418"/>
      <c r="GK114" s="418"/>
      <c r="GL114" s="418"/>
      <c r="GM114" s="418"/>
      <c r="GN114" s="418"/>
      <c r="GO114" s="418"/>
      <c r="GP114" s="418"/>
      <c r="GQ114" s="418"/>
      <c r="GR114" s="418"/>
      <c r="GS114" s="418"/>
      <c r="GT114" s="418"/>
      <c r="GU114" s="418"/>
      <c r="GV114" s="418"/>
      <c r="GW114" s="418"/>
      <c r="GX114" s="418"/>
      <c r="GY114" s="418"/>
      <c r="GZ114" s="418"/>
      <c r="HA114" s="418"/>
      <c r="HB114" s="418"/>
      <c r="HC114" s="418"/>
      <c r="HD114" s="418"/>
      <c r="HE114" s="418"/>
      <c r="HF114" s="418"/>
      <c r="HG114" s="418"/>
      <c r="HH114" s="418"/>
      <c r="HI114" s="418"/>
      <c r="HJ114" s="418"/>
      <c r="HK114" s="418"/>
      <c r="HL114" s="418"/>
      <c r="HM114" s="418"/>
      <c r="HN114" s="418"/>
      <c r="HO114" s="418"/>
      <c r="HP114" s="418"/>
      <c r="HQ114" s="418"/>
      <c r="HR114" s="418"/>
      <c r="HS114" s="418"/>
      <c r="HT114" s="418"/>
      <c r="HU114" s="418"/>
      <c r="HV114" s="418"/>
      <c r="HW114" s="418"/>
      <c r="HX114" s="418"/>
      <c r="HY114" s="418"/>
      <c r="HZ114" s="418"/>
      <c r="IA114" s="418"/>
      <c r="IB114" s="418"/>
      <c r="IC114" s="418"/>
      <c r="ID114" s="418"/>
      <c r="IE114" s="418"/>
      <c r="IF114" s="418"/>
      <c r="IG114" s="418"/>
      <c r="IH114" s="418"/>
      <c r="II114" s="418"/>
      <c r="IJ114" s="418"/>
      <c r="IK114" s="418"/>
      <c r="IL114" s="418"/>
      <c r="IM114" s="418"/>
      <c r="IN114" s="418"/>
      <c r="IO114" s="418"/>
      <c r="IP114" s="418"/>
      <c r="IQ114" s="418"/>
      <c r="IR114" s="418"/>
      <c r="IS114" s="418"/>
      <c r="IT114" s="418"/>
      <c r="IU114" s="418"/>
      <c r="IV114" s="418"/>
      <c r="IW114" s="418"/>
      <c r="IX114" s="418"/>
      <c r="IY114" s="418"/>
      <c r="IZ114" s="418"/>
      <c r="JA114" s="418"/>
    </row>
    <row r="115" spans="1:261" s="758" customFormat="1" ht="18" customHeight="1" x14ac:dyDescent="0.35">
      <c r="A115" s="773">
        <v>105</v>
      </c>
      <c r="B115" s="766"/>
      <c r="C115" s="420"/>
      <c r="D115" s="1318" t="s">
        <v>947</v>
      </c>
      <c r="E115" s="430"/>
      <c r="F115" s="762"/>
      <c r="G115" s="431"/>
      <c r="H115" s="999"/>
      <c r="I115" s="995"/>
      <c r="J115" s="759"/>
      <c r="K115" s="759"/>
      <c r="L115" s="759"/>
      <c r="M115" s="759"/>
      <c r="N115" s="759"/>
      <c r="O115" s="1599">
        <f>SUM(I115:N115)</f>
        <v>0</v>
      </c>
      <c r="P115" s="763"/>
      <c r="Q115" s="418"/>
      <c r="R115" s="418"/>
      <c r="S115" s="418"/>
      <c r="T115" s="418"/>
      <c r="U115" s="418"/>
      <c r="V115" s="418"/>
      <c r="W115" s="418"/>
      <c r="X115" s="418"/>
      <c r="Y115" s="418"/>
      <c r="Z115" s="418"/>
      <c r="AA115" s="418"/>
      <c r="AB115" s="418"/>
      <c r="AC115" s="418"/>
      <c r="AD115" s="418"/>
      <c r="AE115" s="418"/>
      <c r="AF115" s="418"/>
      <c r="AG115" s="418"/>
      <c r="AH115" s="418"/>
      <c r="AI115" s="418"/>
      <c r="AJ115" s="418"/>
      <c r="AK115" s="418"/>
      <c r="AL115" s="418"/>
      <c r="AM115" s="418"/>
      <c r="AN115" s="418"/>
      <c r="AO115" s="418"/>
      <c r="AP115" s="418"/>
      <c r="AQ115" s="418"/>
      <c r="AR115" s="418"/>
      <c r="AS115" s="418"/>
      <c r="AT115" s="418"/>
      <c r="AU115" s="418"/>
      <c r="AV115" s="418"/>
      <c r="AW115" s="418"/>
      <c r="AX115" s="418"/>
      <c r="AY115" s="418"/>
      <c r="AZ115" s="418"/>
      <c r="BA115" s="418"/>
      <c r="BB115" s="418"/>
      <c r="BC115" s="418"/>
      <c r="BD115" s="418"/>
      <c r="BE115" s="418"/>
      <c r="BF115" s="418"/>
      <c r="BG115" s="418"/>
      <c r="BH115" s="418"/>
      <c r="BI115" s="418"/>
      <c r="BJ115" s="418"/>
      <c r="BK115" s="418"/>
      <c r="BL115" s="418"/>
      <c r="BM115" s="418"/>
      <c r="BN115" s="418"/>
      <c r="BO115" s="418"/>
      <c r="BP115" s="418"/>
      <c r="BQ115" s="418"/>
      <c r="BR115" s="418"/>
      <c r="BS115" s="418"/>
      <c r="BT115" s="418"/>
      <c r="BU115" s="418"/>
      <c r="BV115" s="418"/>
      <c r="BW115" s="418"/>
      <c r="BX115" s="418"/>
      <c r="BY115" s="418"/>
      <c r="BZ115" s="418"/>
      <c r="CA115" s="418"/>
      <c r="CB115" s="418"/>
      <c r="CC115" s="418"/>
      <c r="CD115" s="418"/>
      <c r="CE115" s="418"/>
      <c r="CF115" s="418"/>
      <c r="CG115" s="418"/>
      <c r="CH115" s="418"/>
      <c r="CI115" s="418"/>
      <c r="CJ115" s="418"/>
      <c r="CK115" s="418"/>
      <c r="CL115" s="418"/>
      <c r="CM115" s="418"/>
      <c r="CN115" s="418"/>
      <c r="CO115" s="418"/>
      <c r="CP115" s="418"/>
      <c r="CQ115" s="418"/>
      <c r="CR115" s="418"/>
      <c r="CS115" s="418"/>
      <c r="CT115" s="418"/>
      <c r="CU115" s="418"/>
      <c r="CV115" s="418"/>
      <c r="CW115" s="418"/>
      <c r="CX115" s="418"/>
      <c r="CY115" s="418"/>
      <c r="CZ115" s="418"/>
      <c r="DA115" s="418"/>
      <c r="DB115" s="418"/>
      <c r="DC115" s="418"/>
      <c r="DD115" s="418"/>
      <c r="DE115" s="418"/>
      <c r="DF115" s="418"/>
      <c r="DG115" s="418"/>
      <c r="DH115" s="418"/>
      <c r="DI115" s="418"/>
      <c r="DJ115" s="418"/>
      <c r="DK115" s="418"/>
      <c r="DL115" s="418"/>
      <c r="DM115" s="418"/>
      <c r="DN115" s="418"/>
      <c r="DO115" s="418"/>
      <c r="DP115" s="418"/>
      <c r="DQ115" s="418"/>
      <c r="DR115" s="418"/>
      <c r="DS115" s="418"/>
      <c r="DT115" s="418"/>
      <c r="DU115" s="418"/>
      <c r="DV115" s="418"/>
      <c r="DW115" s="418"/>
      <c r="DX115" s="418"/>
      <c r="DY115" s="418"/>
      <c r="DZ115" s="418"/>
      <c r="EA115" s="418"/>
      <c r="EB115" s="418"/>
      <c r="EC115" s="418"/>
      <c r="ED115" s="418"/>
      <c r="EE115" s="418"/>
      <c r="EF115" s="418"/>
      <c r="EG115" s="418"/>
      <c r="EH115" s="418"/>
      <c r="EI115" s="418"/>
      <c r="EJ115" s="418"/>
      <c r="EK115" s="418"/>
      <c r="EL115" s="418"/>
      <c r="EM115" s="418"/>
      <c r="EN115" s="418"/>
      <c r="EO115" s="418"/>
      <c r="EP115" s="418"/>
      <c r="EQ115" s="418"/>
      <c r="ER115" s="418"/>
      <c r="ES115" s="418"/>
      <c r="ET115" s="418"/>
      <c r="EU115" s="418"/>
      <c r="EV115" s="418"/>
      <c r="EW115" s="418"/>
      <c r="EX115" s="418"/>
      <c r="EY115" s="418"/>
      <c r="EZ115" s="418"/>
      <c r="FA115" s="418"/>
      <c r="FB115" s="418"/>
      <c r="FC115" s="418"/>
      <c r="FD115" s="418"/>
      <c r="FE115" s="418"/>
      <c r="FF115" s="418"/>
      <c r="FG115" s="418"/>
      <c r="FH115" s="418"/>
      <c r="FI115" s="418"/>
      <c r="FJ115" s="418"/>
      <c r="FK115" s="418"/>
      <c r="FL115" s="418"/>
      <c r="FM115" s="418"/>
      <c r="FN115" s="418"/>
      <c r="FO115" s="418"/>
      <c r="FP115" s="418"/>
      <c r="FQ115" s="418"/>
      <c r="FR115" s="418"/>
      <c r="FS115" s="418"/>
      <c r="FT115" s="418"/>
      <c r="FU115" s="418"/>
      <c r="FV115" s="418"/>
      <c r="FW115" s="418"/>
      <c r="FX115" s="418"/>
      <c r="FY115" s="418"/>
      <c r="FZ115" s="418"/>
      <c r="GA115" s="418"/>
      <c r="GB115" s="418"/>
      <c r="GC115" s="418"/>
      <c r="GD115" s="418"/>
      <c r="GE115" s="418"/>
      <c r="GF115" s="418"/>
      <c r="GG115" s="418"/>
      <c r="GH115" s="418"/>
      <c r="GI115" s="418"/>
      <c r="GJ115" s="418"/>
      <c r="GK115" s="418"/>
      <c r="GL115" s="418"/>
      <c r="GM115" s="418"/>
      <c r="GN115" s="418"/>
      <c r="GO115" s="418"/>
      <c r="GP115" s="418"/>
      <c r="GQ115" s="418"/>
      <c r="GR115" s="418"/>
      <c r="GS115" s="418"/>
      <c r="GT115" s="418"/>
      <c r="GU115" s="418"/>
      <c r="GV115" s="418"/>
      <c r="GW115" s="418"/>
      <c r="GX115" s="418"/>
      <c r="GY115" s="418"/>
      <c r="GZ115" s="418"/>
      <c r="HA115" s="418"/>
      <c r="HB115" s="418"/>
      <c r="HC115" s="418"/>
      <c r="HD115" s="418"/>
      <c r="HE115" s="418"/>
      <c r="HF115" s="418"/>
      <c r="HG115" s="418"/>
      <c r="HH115" s="418"/>
      <c r="HI115" s="418"/>
      <c r="HJ115" s="418"/>
      <c r="HK115" s="418"/>
      <c r="HL115" s="418"/>
      <c r="HM115" s="418"/>
      <c r="HN115" s="418"/>
      <c r="HO115" s="418"/>
      <c r="HP115" s="418"/>
      <c r="HQ115" s="418"/>
      <c r="HR115" s="418"/>
      <c r="HS115" s="418"/>
      <c r="HT115" s="418"/>
      <c r="HU115" s="418"/>
      <c r="HV115" s="418"/>
      <c r="HW115" s="418"/>
      <c r="HX115" s="418"/>
      <c r="HY115" s="418"/>
      <c r="HZ115" s="418"/>
      <c r="IA115" s="418"/>
      <c r="IB115" s="418"/>
      <c r="IC115" s="418"/>
      <c r="ID115" s="418"/>
      <c r="IE115" s="418"/>
      <c r="IF115" s="418"/>
      <c r="IG115" s="418"/>
      <c r="IH115" s="418"/>
      <c r="II115" s="418"/>
      <c r="IJ115" s="418"/>
      <c r="IK115" s="418"/>
      <c r="IL115" s="418"/>
      <c r="IM115" s="418"/>
      <c r="IN115" s="418"/>
      <c r="IO115" s="418"/>
      <c r="IP115" s="418"/>
      <c r="IQ115" s="418"/>
      <c r="IR115" s="418"/>
      <c r="IS115" s="418"/>
      <c r="IT115" s="418"/>
      <c r="IU115" s="418"/>
      <c r="IV115" s="418"/>
      <c r="IW115" s="418"/>
      <c r="IX115" s="418"/>
      <c r="IY115" s="418"/>
      <c r="IZ115" s="418"/>
      <c r="JA115" s="418"/>
    </row>
    <row r="116" spans="1:261" s="758" customFormat="1" ht="18" customHeight="1" x14ac:dyDescent="0.35">
      <c r="A116" s="773">
        <v>106</v>
      </c>
      <c r="B116" s="766"/>
      <c r="C116" s="420"/>
      <c r="D116" s="576" t="s">
        <v>1250</v>
      </c>
      <c r="E116" s="430"/>
      <c r="F116" s="762"/>
      <c r="G116" s="431"/>
      <c r="H116" s="999"/>
      <c r="I116" s="995"/>
      <c r="J116" s="759"/>
      <c r="K116" s="759">
        <f>SUM(K114:K115)</f>
        <v>12196</v>
      </c>
      <c r="L116" s="759"/>
      <c r="M116" s="759">
        <f t="shared" ref="M116" si="15">SUM(M114:M115)</f>
        <v>1562693</v>
      </c>
      <c r="N116" s="759"/>
      <c r="O116" s="767">
        <f>SUM(I116:N116)</f>
        <v>1574889</v>
      </c>
      <c r="P116" s="763"/>
      <c r="Q116" s="418"/>
      <c r="R116" s="418"/>
      <c r="S116" s="418"/>
      <c r="T116" s="418"/>
      <c r="U116" s="418"/>
      <c r="V116" s="418"/>
      <c r="W116" s="418"/>
      <c r="X116" s="418"/>
      <c r="Y116" s="418"/>
      <c r="Z116" s="418"/>
      <c r="AA116" s="418"/>
      <c r="AB116" s="418"/>
      <c r="AC116" s="418"/>
      <c r="AD116" s="418"/>
      <c r="AE116" s="418"/>
      <c r="AF116" s="418"/>
      <c r="AG116" s="418"/>
      <c r="AH116" s="418"/>
      <c r="AI116" s="418"/>
      <c r="AJ116" s="418"/>
      <c r="AK116" s="418"/>
      <c r="AL116" s="418"/>
      <c r="AM116" s="418"/>
      <c r="AN116" s="418"/>
      <c r="AO116" s="418"/>
      <c r="AP116" s="418"/>
      <c r="AQ116" s="418"/>
      <c r="AR116" s="418"/>
      <c r="AS116" s="418"/>
      <c r="AT116" s="418"/>
      <c r="AU116" s="418"/>
      <c r="AV116" s="418"/>
      <c r="AW116" s="418"/>
      <c r="AX116" s="418"/>
      <c r="AY116" s="418"/>
      <c r="AZ116" s="418"/>
      <c r="BA116" s="418"/>
      <c r="BB116" s="418"/>
      <c r="BC116" s="418"/>
      <c r="BD116" s="418"/>
      <c r="BE116" s="418"/>
      <c r="BF116" s="418"/>
      <c r="BG116" s="418"/>
      <c r="BH116" s="418"/>
      <c r="BI116" s="418"/>
      <c r="BJ116" s="418"/>
      <c r="BK116" s="418"/>
      <c r="BL116" s="418"/>
      <c r="BM116" s="418"/>
      <c r="BN116" s="418"/>
      <c r="BO116" s="418"/>
      <c r="BP116" s="418"/>
      <c r="BQ116" s="418"/>
      <c r="BR116" s="418"/>
      <c r="BS116" s="418"/>
      <c r="BT116" s="418"/>
      <c r="BU116" s="418"/>
      <c r="BV116" s="418"/>
      <c r="BW116" s="418"/>
      <c r="BX116" s="418"/>
      <c r="BY116" s="418"/>
      <c r="BZ116" s="418"/>
      <c r="CA116" s="418"/>
      <c r="CB116" s="418"/>
      <c r="CC116" s="418"/>
      <c r="CD116" s="418"/>
      <c r="CE116" s="418"/>
      <c r="CF116" s="418"/>
      <c r="CG116" s="418"/>
      <c r="CH116" s="418"/>
      <c r="CI116" s="418"/>
      <c r="CJ116" s="418"/>
      <c r="CK116" s="418"/>
      <c r="CL116" s="418"/>
      <c r="CM116" s="418"/>
      <c r="CN116" s="418"/>
      <c r="CO116" s="418"/>
      <c r="CP116" s="418"/>
      <c r="CQ116" s="418"/>
      <c r="CR116" s="418"/>
      <c r="CS116" s="418"/>
      <c r="CT116" s="418"/>
      <c r="CU116" s="418"/>
      <c r="CV116" s="418"/>
      <c r="CW116" s="418"/>
      <c r="CX116" s="418"/>
      <c r="CY116" s="418"/>
      <c r="CZ116" s="418"/>
      <c r="DA116" s="418"/>
      <c r="DB116" s="418"/>
      <c r="DC116" s="418"/>
      <c r="DD116" s="418"/>
      <c r="DE116" s="418"/>
      <c r="DF116" s="418"/>
      <c r="DG116" s="418"/>
      <c r="DH116" s="418"/>
      <c r="DI116" s="418"/>
      <c r="DJ116" s="418"/>
      <c r="DK116" s="418"/>
      <c r="DL116" s="418"/>
      <c r="DM116" s="418"/>
      <c r="DN116" s="418"/>
      <c r="DO116" s="418"/>
      <c r="DP116" s="418"/>
      <c r="DQ116" s="418"/>
      <c r="DR116" s="418"/>
      <c r="DS116" s="418"/>
      <c r="DT116" s="418"/>
      <c r="DU116" s="418"/>
      <c r="DV116" s="418"/>
      <c r="DW116" s="418"/>
      <c r="DX116" s="418"/>
      <c r="DY116" s="418"/>
      <c r="DZ116" s="418"/>
      <c r="EA116" s="418"/>
      <c r="EB116" s="418"/>
      <c r="EC116" s="418"/>
      <c r="ED116" s="418"/>
      <c r="EE116" s="418"/>
      <c r="EF116" s="418"/>
      <c r="EG116" s="418"/>
      <c r="EH116" s="418"/>
      <c r="EI116" s="418"/>
      <c r="EJ116" s="418"/>
      <c r="EK116" s="418"/>
      <c r="EL116" s="418"/>
      <c r="EM116" s="418"/>
      <c r="EN116" s="418"/>
      <c r="EO116" s="418"/>
      <c r="EP116" s="418"/>
      <c r="EQ116" s="418"/>
      <c r="ER116" s="418"/>
      <c r="ES116" s="418"/>
      <c r="ET116" s="418"/>
      <c r="EU116" s="418"/>
      <c r="EV116" s="418"/>
      <c r="EW116" s="418"/>
      <c r="EX116" s="418"/>
      <c r="EY116" s="418"/>
      <c r="EZ116" s="418"/>
      <c r="FA116" s="418"/>
      <c r="FB116" s="418"/>
      <c r="FC116" s="418"/>
      <c r="FD116" s="418"/>
      <c r="FE116" s="418"/>
      <c r="FF116" s="418"/>
      <c r="FG116" s="418"/>
      <c r="FH116" s="418"/>
      <c r="FI116" s="418"/>
      <c r="FJ116" s="418"/>
      <c r="FK116" s="418"/>
      <c r="FL116" s="418"/>
      <c r="FM116" s="418"/>
      <c r="FN116" s="418"/>
      <c r="FO116" s="418"/>
      <c r="FP116" s="418"/>
      <c r="FQ116" s="418"/>
      <c r="FR116" s="418"/>
      <c r="FS116" s="418"/>
      <c r="FT116" s="418"/>
      <c r="FU116" s="418"/>
      <c r="FV116" s="418"/>
      <c r="FW116" s="418"/>
      <c r="FX116" s="418"/>
      <c r="FY116" s="418"/>
      <c r="FZ116" s="418"/>
      <c r="GA116" s="418"/>
      <c r="GB116" s="418"/>
      <c r="GC116" s="418"/>
      <c r="GD116" s="418"/>
      <c r="GE116" s="418"/>
      <c r="GF116" s="418"/>
      <c r="GG116" s="418"/>
      <c r="GH116" s="418"/>
      <c r="GI116" s="418"/>
      <c r="GJ116" s="418"/>
      <c r="GK116" s="418"/>
      <c r="GL116" s="418"/>
      <c r="GM116" s="418"/>
      <c r="GN116" s="418"/>
      <c r="GO116" s="418"/>
      <c r="GP116" s="418"/>
      <c r="GQ116" s="418"/>
      <c r="GR116" s="418"/>
      <c r="GS116" s="418"/>
      <c r="GT116" s="418"/>
      <c r="GU116" s="418"/>
      <c r="GV116" s="418"/>
      <c r="GW116" s="418"/>
      <c r="GX116" s="418"/>
      <c r="GY116" s="418"/>
      <c r="GZ116" s="418"/>
      <c r="HA116" s="418"/>
      <c r="HB116" s="418"/>
      <c r="HC116" s="418"/>
      <c r="HD116" s="418"/>
      <c r="HE116" s="418"/>
      <c r="HF116" s="418"/>
      <c r="HG116" s="418"/>
      <c r="HH116" s="418"/>
      <c r="HI116" s="418"/>
      <c r="HJ116" s="418"/>
      <c r="HK116" s="418"/>
      <c r="HL116" s="418"/>
      <c r="HM116" s="418"/>
      <c r="HN116" s="418"/>
      <c r="HO116" s="418"/>
      <c r="HP116" s="418"/>
      <c r="HQ116" s="418"/>
      <c r="HR116" s="418"/>
      <c r="HS116" s="418"/>
      <c r="HT116" s="418"/>
      <c r="HU116" s="418"/>
      <c r="HV116" s="418"/>
      <c r="HW116" s="418"/>
      <c r="HX116" s="418"/>
      <c r="HY116" s="418"/>
      <c r="HZ116" s="418"/>
      <c r="IA116" s="418"/>
      <c r="IB116" s="418"/>
      <c r="IC116" s="418"/>
      <c r="ID116" s="418"/>
      <c r="IE116" s="418"/>
      <c r="IF116" s="418"/>
      <c r="IG116" s="418"/>
      <c r="IH116" s="418"/>
      <c r="II116" s="418"/>
      <c r="IJ116" s="418"/>
      <c r="IK116" s="418"/>
      <c r="IL116" s="418"/>
      <c r="IM116" s="418"/>
      <c r="IN116" s="418"/>
      <c r="IO116" s="418"/>
      <c r="IP116" s="418"/>
      <c r="IQ116" s="418"/>
      <c r="IR116" s="418"/>
      <c r="IS116" s="418"/>
      <c r="IT116" s="418"/>
      <c r="IU116" s="418"/>
      <c r="IV116" s="418"/>
      <c r="IW116" s="418"/>
      <c r="IX116" s="418"/>
      <c r="IY116" s="418"/>
      <c r="IZ116" s="418"/>
      <c r="JA116" s="418"/>
    </row>
    <row r="117" spans="1:261" ht="22.5" customHeight="1" x14ac:dyDescent="0.35">
      <c r="A117" s="773">
        <v>107</v>
      </c>
      <c r="B117" s="618"/>
      <c r="C117" s="464">
        <v>22</v>
      </c>
      <c r="D117" s="421" t="s">
        <v>679</v>
      </c>
      <c r="E117" s="430"/>
      <c r="F117" s="762"/>
      <c r="G117" s="431"/>
      <c r="H117" s="999" t="s">
        <v>24</v>
      </c>
      <c r="I117" s="1017"/>
      <c r="J117" s="1013"/>
      <c r="K117" s="1013"/>
      <c r="L117" s="1013"/>
      <c r="M117" s="1013"/>
      <c r="N117" s="1013"/>
      <c r="O117" s="982"/>
      <c r="P117" s="763"/>
    </row>
    <row r="118" spans="1:261" s="758" customFormat="1" ht="18" customHeight="1" x14ac:dyDescent="0.35">
      <c r="A118" s="773">
        <v>108</v>
      </c>
      <c r="B118" s="766"/>
      <c r="C118" s="420"/>
      <c r="D118" s="992" t="s">
        <v>308</v>
      </c>
      <c r="E118" s="430">
        <f>F118+G118+O121+P121</f>
        <v>565</v>
      </c>
      <c r="F118" s="762"/>
      <c r="G118" s="431"/>
      <c r="H118" s="999"/>
      <c r="I118" s="1017"/>
      <c r="J118" s="1013"/>
      <c r="K118" s="1013">
        <v>4792</v>
      </c>
      <c r="L118" s="1013"/>
      <c r="M118" s="1013"/>
      <c r="N118" s="1013"/>
      <c r="O118" s="982">
        <f>SUM(I118:N118)</f>
        <v>4792</v>
      </c>
      <c r="P118" s="763"/>
      <c r="Q118" s="418"/>
      <c r="R118" s="418"/>
      <c r="S118" s="418"/>
      <c r="T118" s="418"/>
      <c r="U118" s="418"/>
      <c r="V118" s="418"/>
      <c r="W118" s="418"/>
      <c r="X118" s="418"/>
      <c r="Y118" s="418"/>
      <c r="Z118" s="418"/>
      <c r="AA118" s="418"/>
      <c r="AB118" s="418"/>
      <c r="AC118" s="418"/>
      <c r="AD118" s="418"/>
      <c r="AE118" s="418"/>
      <c r="AF118" s="418"/>
      <c r="AG118" s="418"/>
      <c r="AH118" s="418"/>
      <c r="AI118" s="418"/>
      <c r="AJ118" s="418"/>
      <c r="AK118" s="418"/>
      <c r="AL118" s="418"/>
      <c r="AM118" s="418"/>
      <c r="AN118" s="418"/>
      <c r="AO118" s="418"/>
      <c r="AP118" s="418"/>
      <c r="AQ118" s="418"/>
      <c r="AR118" s="418"/>
      <c r="AS118" s="418"/>
      <c r="AT118" s="418"/>
      <c r="AU118" s="418"/>
      <c r="AV118" s="418"/>
      <c r="AW118" s="418"/>
      <c r="AX118" s="418"/>
      <c r="AY118" s="418"/>
      <c r="AZ118" s="418"/>
      <c r="BA118" s="418"/>
      <c r="BB118" s="418"/>
      <c r="BC118" s="418"/>
      <c r="BD118" s="418"/>
      <c r="BE118" s="418"/>
      <c r="BF118" s="418"/>
      <c r="BG118" s="418"/>
      <c r="BH118" s="418"/>
      <c r="BI118" s="418"/>
      <c r="BJ118" s="418"/>
      <c r="BK118" s="418"/>
      <c r="BL118" s="418"/>
      <c r="BM118" s="418"/>
      <c r="BN118" s="418"/>
      <c r="BO118" s="418"/>
      <c r="BP118" s="418"/>
      <c r="BQ118" s="418"/>
      <c r="BR118" s="418"/>
      <c r="BS118" s="418"/>
      <c r="BT118" s="418"/>
      <c r="BU118" s="418"/>
      <c r="BV118" s="418"/>
      <c r="BW118" s="418"/>
      <c r="BX118" s="418"/>
      <c r="BY118" s="418"/>
      <c r="BZ118" s="418"/>
      <c r="CA118" s="418"/>
      <c r="CB118" s="418"/>
      <c r="CC118" s="418"/>
      <c r="CD118" s="418"/>
      <c r="CE118" s="418"/>
      <c r="CF118" s="418"/>
      <c r="CG118" s="418"/>
      <c r="CH118" s="418"/>
      <c r="CI118" s="418"/>
      <c r="CJ118" s="418"/>
      <c r="CK118" s="418"/>
      <c r="CL118" s="418"/>
      <c r="CM118" s="418"/>
      <c r="CN118" s="418"/>
      <c r="CO118" s="418"/>
      <c r="CP118" s="418"/>
      <c r="CQ118" s="418"/>
      <c r="CR118" s="418"/>
      <c r="CS118" s="418"/>
      <c r="CT118" s="418"/>
      <c r="CU118" s="418"/>
      <c r="CV118" s="418"/>
      <c r="CW118" s="418"/>
      <c r="CX118" s="418"/>
      <c r="CY118" s="418"/>
      <c r="CZ118" s="418"/>
      <c r="DA118" s="418"/>
      <c r="DB118" s="418"/>
      <c r="DC118" s="418"/>
      <c r="DD118" s="418"/>
      <c r="DE118" s="418"/>
      <c r="DF118" s="418"/>
      <c r="DG118" s="418"/>
      <c r="DH118" s="418"/>
      <c r="DI118" s="418"/>
      <c r="DJ118" s="418"/>
      <c r="DK118" s="418"/>
      <c r="DL118" s="418"/>
      <c r="DM118" s="418"/>
      <c r="DN118" s="418"/>
      <c r="DO118" s="418"/>
      <c r="DP118" s="418"/>
      <c r="DQ118" s="418"/>
      <c r="DR118" s="418"/>
      <c r="DS118" s="418"/>
      <c r="DT118" s="418"/>
      <c r="DU118" s="418"/>
      <c r="DV118" s="418"/>
      <c r="DW118" s="418"/>
      <c r="DX118" s="418"/>
      <c r="DY118" s="418"/>
      <c r="DZ118" s="418"/>
      <c r="EA118" s="418"/>
      <c r="EB118" s="418"/>
      <c r="EC118" s="418"/>
      <c r="ED118" s="418"/>
      <c r="EE118" s="418"/>
      <c r="EF118" s="418"/>
      <c r="EG118" s="418"/>
      <c r="EH118" s="418"/>
      <c r="EI118" s="418"/>
      <c r="EJ118" s="418"/>
      <c r="EK118" s="418"/>
      <c r="EL118" s="418"/>
      <c r="EM118" s="418"/>
      <c r="EN118" s="418"/>
      <c r="EO118" s="418"/>
      <c r="EP118" s="418"/>
      <c r="EQ118" s="418"/>
      <c r="ER118" s="418"/>
      <c r="ES118" s="418"/>
      <c r="ET118" s="418"/>
      <c r="EU118" s="418"/>
      <c r="EV118" s="418"/>
      <c r="EW118" s="418"/>
      <c r="EX118" s="418"/>
      <c r="EY118" s="418"/>
      <c r="EZ118" s="418"/>
      <c r="FA118" s="418"/>
      <c r="FB118" s="418"/>
      <c r="FC118" s="418"/>
      <c r="FD118" s="418"/>
      <c r="FE118" s="418"/>
      <c r="FF118" s="418"/>
      <c r="FG118" s="418"/>
      <c r="FH118" s="418"/>
      <c r="FI118" s="418"/>
      <c r="FJ118" s="418"/>
      <c r="FK118" s="418"/>
      <c r="FL118" s="418"/>
      <c r="FM118" s="418"/>
      <c r="FN118" s="418"/>
      <c r="FO118" s="418"/>
      <c r="FP118" s="418"/>
      <c r="FQ118" s="418"/>
      <c r="FR118" s="418"/>
      <c r="FS118" s="418"/>
      <c r="FT118" s="418"/>
      <c r="FU118" s="418"/>
      <c r="FV118" s="418"/>
      <c r="FW118" s="418"/>
      <c r="FX118" s="418"/>
      <c r="FY118" s="418"/>
      <c r="FZ118" s="418"/>
      <c r="GA118" s="418"/>
      <c r="GB118" s="418"/>
      <c r="GC118" s="418"/>
      <c r="GD118" s="418"/>
      <c r="GE118" s="418"/>
      <c r="GF118" s="418"/>
      <c r="GG118" s="418"/>
      <c r="GH118" s="418"/>
      <c r="GI118" s="418"/>
      <c r="GJ118" s="418"/>
      <c r="GK118" s="418"/>
      <c r="GL118" s="418"/>
      <c r="GM118" s="418"/>
      <c r="GN118" s="418"/>
      <c r="GO118" s="418"/>
      <c r="GP118" s="418"/>
      <c r="GQ118" s="418"/>
      <c r="GR118" s="418"/>
      <c r="GS118" s="418"/>
      <c r="GT118" s="418"/>
      <c r="GU118" s="418"/>
      <c r="GV118" s="418"/>
      <c r="GW118" s="418"/>
      <c r="GX118" s="418"/>
      <c r="GY118" s="418"/>
      <c r="GZ118" s="418"/>
      <c r="HA118" s="418"/>
      <c r="HB118" s="418"/>
      <c r="HC118" s="418"/>
      <c r="HD118" s="418"/>
      <c r="HE118" s="418"/>
      <c r="HF118" s="418"/>
      <c r="HG118" s="418"/>
      <c r="HH118" s="418"/>
      <c r="HI118" s="418"/>
      <c r="HJ118" s="418"/>
      <c r="HK118" s="418"/>
      <c r="HL118" s="418"/>
      <c r="HM118" s="418"/>
      <c r="HN118" s="418"/>
      <c r="HO118" s="418"/>
      <c r="HP118" s="418"/>
      <c r="HQ118" s="418"/>
      <c r="HR118" s="418"/>
      <c r="HS118" s="418"/>
      <c r="HT118" s="418"/>
      <c r="HU118" s="418"/>
      <c r="HV118" s="418"/>
      <c r="HW118" s="418"/>
      <c r="HX118" s="418"/>
      <c r="HY118" s="418"/>
      <c r="HZ118" s="418"/>
      <c r="IA118" s="418"/>
      <c r="IB118" s="418"/>
      <c r="IC118" s="418"/>
      <c r="ID118" s="418"/>
      <c r="IE118" s="418"/>
      <c r="IF118" s="418"/>
      <c r="IG118" s="418"/>
      <c r="IH118" s="418"/>
      <c r="II118" s="418"/>
      <c r="IJ118" s="418"/>
      <c r="IK118" s="418"/>
      <c r="IL118" s="418"/>
      <c r="IM118" s="418"/>
      <c r="IN118" s="418"/>
      <c r="IO118" s="418"/>
      <c r="IP118" s="418"/>
      <c r="IQ118" s="418"/>
      <c r="IR118" s="418"/>
      <c r="IS118" s="418"/>
      <c r="IT118" s="418"/>
      <c r="IU118" s="418"/>
      <c r="IV118" s="418"/>
      <c r="IW118" s="418"/>
      <c r="IX118" s="418"/>
      <c r="IY118" s="418"/>
      <c r="IZ118" s="418"/>
      <c r="JA118" s="418"/>
    </row>
    <row r="119" spans="1:261" s="758" customFormat="1" ht="18" customHeight="1" x14ac:dyDescent="0.35">
      <c r="A119" s="773">
        <v>109</v>
      </c>
      <c r="B119" s="766"/>
      <c r="C119" s="420"/>
      <c r="D119" s="576" t="s">
        <v>1158</v>
      </c>
      <c r="E119" s="430"/>
      <c r="F119" s="762"/>
      <c r="G119" s="431"/>
      <c r="H119" s="999"/>
      <c r="I119" s="1017"/>
      <c r="J119" s="1013"/>
      <c r="K119" s="1013">
        <v>565</v>
      </c>
      <c r="L119" s="1013"/>
      <c r="M119" s="1013"/>
      <c r="N119" s="1013"/>
      <c r="O119" s="767">
        <f>SUM(I119:N119)</f>
        <v>565</v>
      </c>
      <c r="P119" s="763"/>
      <c r="Q119" s="418"/>
      <c r="R119" s="418"/>
      <c r="S119" s="418"/>
      <c r="T119" s="418"/>
      <c r="U119" s="418"/>
      <c r="V119" s="418"/>
      <c r="W119" s="418"/>
      <c r="X119" s="418"/>
      <c r="Y119" s="418"/>
      <c r="Z119" s="418"/>
      <c r="AA119" s="418"/>
      <c r="AB119" s="418"/>
      <c r="AC119" s="418"/>
      <c r="AD119" s="418"/>
      <c r="AE119" s="418"/>
      <c r="AF119" s="418"/>
      <c r="AG119" s="418"/>
      <c r="AH119" s="418"/>
      <c r="AI119" s="418"/>
      <c r="AJ119" s="418"/>
      <c r="AK119" s="418"/>
      <c r="AL119" s="418"/>
      <c r="AM119" s="418"/>
      <c r="AN119" s="418"/>
      <c r="AO119" s="418"/>
      <c r="AP119" s="418"/>
      <c r="AQ119" s="418"/>
      <c r="AR119" s="418"/>
      <c r="AS119" s="418"/>
      <c r="AT119" s="418"/>
      <c r="AU119" s="418"/>
      <c r="AV119" s="418"/>
      <c r="AW119" s="418"/>
      <c r="AX119" s="418"/>
      <c r="AY119" s="418"/>
      <c r="AZ119" s="418"/>
      <c r="BA119" s="418"/>
      <c r="BB119" s="418"/>
      <c r="BC119" s="418"/>
      <c r="BD119" s="418"/>
      <c r="BE119" s="418"/>
      <c r="BF119" s="418"/>
      <c r="BG119" s="418"/>
      <c r="BH119" s="418"/>
      <c r="BI119" s="418"/>
      <c r="BJ119" s="418"/>
      <c r="BK119" s="418"/>
      <c r="BL119" s="418"/>
      <c r="BM119" s="418"/>
      <c r="BN119" s="418"/>
      <c r="BO119" s="418"/>
      <c r="BP119" s="418"/>
      <c r="BQ119" s="418"/>
      <c r="BR119" s="418"/>
      <c r="BS119" s="418"/>
      <c r="BT119" s="418"/>
      <c r="BU119" s="418"/>
      <c r="BV119" s="418"/>
      <c r="BW119" s="418"/>
      <c r="BX119" s="418"/>
      <c r="BY119" s="418"/>
      <c r="BZ119" s="418"/>
      <c r="CA119" s="418"/>
      <c r="CB119" s="418"/>
      <c r="CC119" s="418"/>
      <c r="CD119" s="418"/>
      <c r="CE119" s="418"/>
      <c r="CF119" s="418"/>
      <c r="CG119" s="418"/>
      <c r="CH119" s="418"/>
      <c r="CI119" s="418"/>
      <c r="CJ119" s="418"/>
      <c r="CK119" s="418"/>
      <c r="CL119" s="418"/>
      <c r="CM119" s="418"/>
      <c r="CN119" s="418"/>
      <c r="CO119" s="418"/>
      <c r="CP119" s="418"/>
      <c r="CQ119" s="418"/>
      <c r="CR119" s="418"/>
      <c r="CS119" s="418"/>
      <c r="CT119" s="418"/>
      <c r="CU119" s="418"/>
      <c r="CV119" s="418"/>
      <c r="CW119" s="418"/>
      <c r="CX119" s="418"/>
      <c r="CY119" s="418"/>
      <c r="CZ119" s="418"/>
      <c r="DA119" s="418"/>
      <c r="DB119" s="418"/>
      <c r="DC119" s="418"/>
      <c r="DD119" s="418"/>
      <c r="DE119" s="418"/>
      <c r="DF119" s="418"/>
      <c r="DG119" s="418"/>
      <c r="DH119" s="418"/>
      <c r="DI119" s="418"/>
      <c r="DJ119" s="418"/>
      <c r="DK119" s="418"/>
      <c r="DL119" s="418"/>
      <c r="DM119" s="418"/>
      <c r="DN119" s="418"/>
      <c r="DO119" s="418"/>
      <c r="DP119" s="418"/>
      <c r="DQ119" s="418"/>
      <c r="DR119" s="418"/>
      <c r="DS119" s="418"/>
      <c r="DT119" s="418"/>
      <c r="DU119" s="418"/>
      <c r="DV119" s="418"/>
      <c r="DW119" s="418"/>
      <c r="DX119" s="418"/>
      <c r="DY119" s="418"/>
      <c r="DZ119" s="418"/>
      <c r="EA119" s="418"/>
      <c r="EB119" s="418"/>
      <c r="EC119" s="418"/>
      <c r="ED119" s="418"/>
      <c r="EE119" s="418"/>
      <c r="EF119" s="418"/>
      <c r="EG119" s="418"/>
      <c r="EH119" s="418"/>
      <c r="EI119" s="418"/>
      <c r="EJ119" s="418"/>
      <c r="EK119" s="418"/>
      <c r="EL119" s="418"/>
      <c r="EM119" s="418"/>
      <c r="EN119" s="418"/>
      <c r="EO119" s="418"/>
      <c r="EP119" s="418"/>
      <c r="EQ119" s="418"/>
      <c r="ER119" s="418"/>
      <c r="ES119" s="418"/>
      <c r="ET119" s="418"/>
      <c r="EU119" s="418"/>
      <c r="EV119" s="418"/>
      <c r="EW119" s="418"/>
      <c r="EX119" s="418"/>
      <c r="EY119" s="418"/>
      <c r="EZ119" s="418"/>
      <c r="FA119" s="418"/>
      <c r="FB119" s="418"/>
      <c r="FC119" s="418"/>
      <c r="FD119" s="418"/>
      <c r="FE119" s="418"/>
      <c r="FF119" s="418"/>
      <c r="FG119" s="418"/>
      <c r="FH119" s="418"/>
      <c r="FI119" s="418"/>
      <c r="FJ119" s="418"/>
      <c r="FK119" s="418"/>
      <c r="FL119" s="418"/>
      <c r="FM119" s="418"/>
      <c r="FN119" s="418"/>
      <c r="FO119" s="418"/>
      <c r="FP119" s="418"/>
      <c r="FQ119" s="418"/>
      <c r="FR119" s="418"/>
      <c r="FS119" s="418"/>
      <c r="FT119" s="418"/>
      <c r="FU119" s="418"/>
      <c r="FV119" s="418"/>
      <c r="FW119" s="418"/>
      <c r="FX119" s="418"/>
      <c r="FY119" s="418"/>
      <c r="FZ119" s="418"/>
      <c r="GA119" s="418"/>
      <c r="GB119" s="418"/>
      <c r="GC119" s="418"/>
      <c r="GD119" s="418"/>
      <c r="GE119" s="418"/>
      <c r="GF119" s="418"/>
      <c r="GG119" s="418"/>
      <c r="GH119" s="418"/>
      <c r="GI119" s="418"/>
      <c r="GJ119" s="418"/>
      <c r="GK119" s="418"/>
      <c r="GL119" s="418"/>
      <c r="GM119" s="418"/>
      <c r="GN119" s="418"/>
      <c r="GO119" s="418"/>
      <c r="GP119" s="418"/>
      <c r="GQ119" s="418"/>
      <c r="GR119" s="418"/>
      <c r="GS119" s="418"/>
      <c r="GT119" s="418"/>
      <c r="GU119" s="418"/>
      <c r="GV119" s="418"/>
      <c r="GW119" s="418"/>
      <c r="GX119" s="418"/>
      <c r="GY119" s="418"/>
      <c r="GZ119" s="418"/>
      <c r="HA119" s="418"/>
      <c r="HB119" s="418"/>
      <c r="HC119" s="418"/>
      <c r="HD119" s="418"/>
      <c r="HE119" s="418"/>
      <c r="HF119" s="418"/>
      <c r="HG119" s="418"/>
      <c r="HH119" s="418"/>
      <c r="HI119" s="418"/>
      <c r="HJ119" s="418"/>
      <c r="HK119" s="418"/>
      <c r="HL119" s="418"/>
      <c r="HM119" s="418"/>
      <c r="HN119" s="418"/>
      <c r="HO119" s="418"/>
      <c r="HP119" s="418"/>
      <c r="HQ119" s="418"/>
      <c r="HR119" s="418"/>
      <c r="HS119" s="418"/>
      <c r="HT119" s="418"/>
      <c r="HU119" s="418"/>
      <c r="HV119" s="418"/>
      <c r="HW119" s="418"/>
      <c r="HX119" s="418"/>
      <c r="HY119" s="418"/>
      <c r="HZ119" s="418"/>
      <c r="IA119" s="418"/>
      <c r="IB119" s="418"/>
      <c r="IC119" s="418"/>
      <c r="ID119" s="418"/>
      <c r="IE119" s="418"/>
      <c r="IF119" s="418"/>
      <c r="IG119" s="418"/>
      <c r="IH119" s="418"/>
      <c r="II119" s="418"/>
      <c r="IJ119" s="418"/>
      <c r="IK119" s="418"/>
      <c r="IL119" s="418"/>
      <c r="IM119" s="418"/>
      <c r="IN119" s="418"/>
      <c r="IO119" s="418"/>
      <c r="IP119" s="418"/>
      <c r="IQ119" s="418"/>
      <c r="IR119" s="418"/>
      <c r="IS119" s="418"/>
      <c r="IT119" s="418"/>
      <c r="IU119" s="418"/>
      <c r="IV119" s="418"/>
      <c r="IW119" s="418"/>
      <c r="IX119" s="418"/>
      <c r="IY119" s="418"/>
      <c r="IZ119" s="418"/>
      <c r="JA119" s="418"/>
    </row>
    <row r="120" spans="1:261" s="758" customFormat="1" ht="20.100000000000001" customHeight="1" x14ac:dyDescent="0.35">
      <c r="A120" s="773">
        <v>110</v>
      </c>
      <c r="B120" s="766"/>
      <c r="C120" s="420"/>
      <c r="D120" s="1318" t="s">
        <v>969</v>
      </c>
      <c r="E120" s="430"/>
      <c r="F120" s="762"/>
      <c r="G120" s="431"/>
      <c r="H120" s="999"/>
      <c r="I120" s="995"/>
      <c r="J120" s="759"/>
      <c r="K120" s="759"/>
      <c r="L120" s="759"/>
      <c r="M120" s="759"/>
      <c r="N120" s="759"/>
      <c r="O120" s="1599">
        <f>SUM(I120:N120)</f>
        <v>0</v>
      </c>
      <c r="P120" s="763"/>
      <c r="Q120" s="418"/>
      <c r="R120" s="418"/>
      <c r="S120" s="418"/>
      <c r="T120" s="418"/>
      <c r="U120" s="418"/>
      <c r="V120" s="418"/>
      <c r="W120" s="418"/>
      <c r="X120" s="418"/>
      <c r="Y120" s="418"/>
      <c r="Z120" s="418"/>
      <c r="AA120" s="418"/>
      <c r="AB120" s="418"/>
      <c r="AC120" s="418"/>
      <c r="AD120" s="418"/>
      <c r="AE120" s="418"/>
      <c r="AF120" s="418"/>
      <c r="AG120" s="418"/>
      <c r="AH120" s="418"/>
      <c r="AI120" s="418"/>
      <c r="AJ120" s="418"/>
      <c r="AK120" s="418"/>
      <c r="AL120" s="418"/>
      <c r="AM120" s="418"/>
      <c r="AN120" s="418"/>
      <c r="AO120" s="418"/>
      <c r="AP120" s="418"/>
      <c r="AQ120" s="418"/>
      <c r="AR120" s="418"/>
      <c r="AS120" s="418"/>
      <c r="AT120" s="418"/>
      <c r="AU120" s="418"/>
      <c r="AV120" s="418"/>
      <c r="AW120" s="418"/>
      <c r="AX120" s="418"/>
      <c r="AY120" s="418"/>
      <c r="AZ120" s="418"/>
      <c r="BA120" s="418"/>
      <c r="BB120" s="418"/>
      <c r="BC120" s="418"/>
      <c r="BD120" s="418"/>
      <c r="BE120" s="418"/>
      <c r="BF120" s="418"/>
      <c r="BG120" s="418"/>
      <c r="BH120" s="418"/>
      <c r="BI120" s="418"/>
      <c r="BJ120" s="418"/>
      <c r="BK120" s="418"/>
      <c r="BL120" s="418"/>
      <c r="BM120" s="418"/>
      <c r="BN120" s="418"/>
      <c r="BO120" s="418"/>
      <c r="BP120" s="418"/>
      <c r="BQ120" s="418"/>
      <c r="BR120" s="418"/>
      <c r="BS120" s="418"/>
      <c r="BT120" s="418"/>
      <c r="BU120" s="418"/>
      <c r="BV120" s="418"/>
      <c r="BW120" s="418"/>
      <c r="BX120" s="418"/>
      <c r="BY120" s="418"/>
      <c r="BZ120" s="418"/>
      <c r="CA120" s="418"/>
      <c r="CB120" s="418"/>
      <c r="CC120" s="418"/>
      <c r="CD120" s="418"/>
      <c r="CE120" s="418"/>
      <c r="CF120" s="418"/>
      <c r="CG120" s="418"/>
      <c r="CH120" s="418"/>
      <c r="CI120" s="418"/>
      <c r="CJ120" s="418"/>
      <c r="CK120" s="418"/>
      <c r="CL120" s="418"/>
      <c r="CM120" s="418"/>
      <c r="CN120" s="418"/>
      <c r="CO120" s="418"/>
      <c r="CP120" s="418"/>
      <c r="CQ120" s="418"/>
      <c r="CR120" s="418"/>
      <c r="CS120" s="418"/>
      <c r="CT120" s="418"/>
      <c r="CU120" s="418"/>
      <c r="CV120" s="418"/>
      <c r="CW120" s="418"/>
      <c r="CX120" s="418"/>
      <c r="CY120" s="418"/>
      <c r="CZ120" s="418"/>
      <c r="DA120" s="418"/>
      <c r="DB120" s="418"/>
      <c r="DC120" s="418"/>
      <c r="DD120" s="418"/>
      <c r="DE120" s="418"/>
      <c r="DF120" s="418"/>
      <c r="DG120" s="418"/>
      <c r="DH120" s="418"/>
      <c r="DI120" s="418"/>
      <c r="DJ120" s="418"/>
      <c r="DK120" s="418"/>
      <c r="DL120" s="418"/>
      <c r="DM120" s="418"/>
      <c r="DN120" s="418"/>
      <c r="DO120" s="418"/>
      <c r="DP120" s="418"/>
      <c r="DQ120" s="418"/>
      <c r="DR120" s="418"/>
      <c r="DS120" s="418"/>
      <c r="DT120" s="418"/>
      <c r="DU120" s="418"/>
      <c r="DV120" s="418"/>
      <c r="DW120" s="418"/>
      <c r="DX120" s="418"/>
      <c r="DY120" s="418"/>
      <c r="DZ120" s="418"/>
      <c r="EA120" s="418"/>
      <c r="EB120" s="418"/>
      <c r="EC120" s="418"/>
      <c r="ED120" s="418"/>
      <c r="EE120" s="418"/>
      <c r="EF120" s="418"/>
      <c r="EG120" s="418"/>
      <c r="EH120" s="418"/>
      <c r="EI120" s="418"/>
      <c r="EJ120" s="418"/>
      <c r="EK120" s="418"/>
      <c r="EL120" s="418"/>
      <c r="EM120" s="418"/>
      <c r="EN120" s="418"/>
      <c r="EO120" s="418"/>
      <c r="EP120" s="418"/>
      <c r="EQ120" s="418"/>
      <c r="ER120" s="418"/>
      <c r="ES120" s="418"/>
      <c r="ET120" s="418"/>
      <c r="EU120" s="418"/>
      <c r="EV120" s="418"/>
      <c r="EW120" s="418"/>
      <c r="EX120" s="418"/>
      <c r="EY120" s="418"/>
      <c r="EZ120" s="418"/>
      <c r="FA120" s="418"/>
      <c r="FB120" s="418"/>
      <c r="FC120" s="418"/>
      <c r="FD120" s="418"/>
      <c r="FE120" s="418"/>
      <c r="FF120" s="418"/>
      <c r="FG120" s="418"/>
      <c r="FH120" s="418"/>
      <c r="FI120" s="418"/>
      <c r="FJ120" s="418"/>
      <c r="FK120" s="418"/>
      <c r="FL120" s="418"/>
      <c r="FM120" s="418"/>
      <c r="FN120" s="418"/>
      <c r="FO120" s="418"/>
      <c r="FP120" s="418"/>
      <c r="FQ120" s="418"/>
      <c r="FR120" s="418"/>
      <c r="FS120" s="418"/>
      <c r="FT120" s="418"/>
      <c r="FU120" s="418"/>
      <c r="FV120" s="418"/>
      <c r="FW120" s="418"/>
      <c r="FX120" s="418"/>
      <c r="FY120" s="418"/>
      <c r="FZ120" s="418"/>
      <c r="GA120" s="418"/>
      <c r="GB120" s="418"/>
      <c r="GC120" s="418"/>
      <c r="GD120" s="418"/>
      <c r="GE120" s="418"/>
      <c r="GF120" s="418"/>
      <c r="GG120" s="418"/>
      <c r="GH120" s="418"/>
      <c r="GI120" s="418"/>
      <c r="GJ120" s="418"/>
      <c r="GK120" s="418"/>
      <c r="GL120" s="418"/>
      <c r="GM120" s="418"/>
      <c r="GN120" s="418"/>
      <c r="GO120" s="418"/>
      <c r="GP120" s="418"/>
      <c r="GQ120" s="418"/>
      <c r="GR120" s="418"/>
      <c r="GS120" s="418"/>
      <c r="GT120" s="418"/>
      <c r="GU120" s="418"/>
      <c r="GV120" s="418"/>
      <c r="GW120" s="418"/>
      <c r="GX120" s="418"/>
      <c r="GY120" s="418"/>
      <c r="GZ120" s="418"/>
      <c r="HA120" s="418"/>
      <c r="HB120" s="418"/>
      <c r="HC120" s="418"/>
      <c r="HD120" s="418"/>
      <c r="HE120" s="418"/>
      <c r="HF120" s="418"/>
      <c r="HG120" s="418"/>
      <c r="HH120" s="418"/>
      <c r="HI120" s="418"/>
      <c r="HJ120" s="418"/>
      <c r="HK120" s="418"/>
      <c r="HL120" s="418"/>
      <c r="HM120" s="418"/>
      <c r="HN120" s="418"/>
      <c r="HO120" s="418"/>
      <c r="HP120" s="418"/>
      <c r="HQ120" s="418"/>
      <c r="HR120" s="418"/>
      <c r="HS120" s="418"/>
      <c r="HT120" s="418"/>
      <c r="HU120" s="418"/>
      <c r="HV120" s="418"/>
      <c r="HW120" s="418"/>
      <c r="HX120" s="418"/>
      <c r="HY120" s="418"/>
      <c r="HZ120" s="418"/>
      <c r="IA120" s="418"/>
      <c r="IB120" s="418"/>
      <c r="IC120" s="418"/>
      <c r="ID120" s="418"/>
      <c r="IE120" s="418"/>
      <c r="IF120" s="418"/>
      <c r="IG120" s="418"/>
      <c r="IH120" s="418"/>
      <c r="II120" s="418"/>
      <c r="IJ120" s="418"/>
      <c r="IK120" s="418"/>
      <c r="IL120" s="418"/>
      <c r="IM120" s="418"/>
      <c r="IN120" s="418"/>
      <c r="IO120" s="418"/>
      <c r="IP120" s="418"/>
      <c r="IQ120" s="418"/>
      <c r="IR120" s="418"/>
      <c r="IS120" s="418"/>
      <c r="IT120" s="418"/>
      <c r="IU120" s="418"/>
      <c r="IV120" s="418"/>
      <c r="IW120" s="418"/>
      <c r="IX120" s="418"/>
      <c r="IY120" s="418"/>
      <c r="IZ120" s="418"/>
      <c r="JA120" s="418"/>
    </row>
    <row r="121" spans="1:261" s="758" customFormat="1" ht="18" customHeight="1" x14ac:dyDescent="0.35">
      <c r="A121" s="773">
        <v>111</v>
      </c>
      <c r="B121" s="766"/>
      <c r="C121" s="420"/>
      <c r="D121" s="576" t="s">
        <v>1250</v>
      </c>
      <c r="E121" s="430"/>
      <c r="F121" s="762"/>
      <c r="G121" s="431"/>
      <c r="H121" s="999"/>
      <c r="I121" s="995"/>
      <c r="J121" s="759"/>
      <c r="K121" s="759">
        <f>SUM(K119:K120)</f>
        <v>565</v>
      </c>
      <c r="L121" s="759"/>
      <c r="M121" s="759"/>
      <c r="N121" s="759"/>
      <c r="O121" s="767">
        <f>SUM(I121:N121)</f>
        <v>565</v>
      </c>
      <c r="P121" s="763"/>
      <c r="Q121" s="418"/>
      <c r="R121" s="418"/>
      <c r="S121" s="418"/>
      <c r="T121" s="418"/>
      <c r="U121" s="418"/>
      <c r="V121" s="418"/>
      <c r="W121" s="418"/>
      <c r="X121" s="418"/>
      <c r="Y121" s="418"/>
      <c r="Z121" s="418"/>
      <c r="AA121" s="418"/>
      <c r="AB121" s="418"/>
      <c r="AC121" s="418"/>
      <c r="AD121" s="418"/>
      <c r="AE121" s="418"/>
      <c r="AF121" s="418"/>
      <c r="AG121" s="418"/>
      <c r="AH121" s="418"/>
      <c r="AI121" s="418"/>
      <c r="AJ121" s="418"/>
      <c r="AK121" s="418"/>
      <c r="AL121" s="418"/>
      <c r="AM121" s="418"/>
      <c r="AN121" s="418"/>
      <c r="AO121" s="418"/>
      <c r="AP121" s="418"/>
      <c r="AQ121" s="418"/>
      <c r="AR121" s="418"/>
      <c r="AS121" s="418"/>
      <c r="AT121" s="418"/>
      <c r="AU121" s="418"/>
      <c r="AV121" s="418"/>
      <c r="AW121" s="418"/>
      <c r="AX121" s="418"/>
      <c r="AY121" s="418"/>
      <c r="AZ121" s="418"/>
      <c r="BA121" s="418"/>
      <c r="BB121" s="418"/>
      <c r="BC121" s="418"/>
      <c r="BD121" s="418"/>
      <c r="BE121" s="418"/>
      <c r="BF121" s="418"/>
      <c r="BG121" s="418"/>
      <c r="BH121" s="418"/>
      <c r="BI121" s="418"/>
      <c r="BJ121" s="418"/>
      <c r="BK121" s="418"/>
      <c r="BL121" s="418"/>
      <c r="BM121" s="418"/>
      <c r="BN121" s="418"/>
      <c r="BO121" s="418"/>
      <c r="BP121" s="418"/>
      <c r="BQ121" s="418"/>
      <c r="BR121" s="418"/>
      <c r="BS121" s="418"/>
      <c r="BT121" s="418"/>
      <c r="BU121" s="418"/>
      <c r="BV121" s="418"/>
      <c r="BW121" s="418"/>
      <c r="BX121" s="418"/>
      <c r="BY121" s="418"/>
      <c r="BZ121" s="418"/>
      <c r="CA121" s="418"/>
      <c r="CB121" s="418"/>
      <c r="CC121" s="418"/>
      <c r="CD121" s="418"/>
      <c r="CE121" s="418"/>
      <c r="CF121" s="418"/>
      <c r="CG121" s="418"/>
      <c r="CH121" s="418"/>
      <c r="CI121" s="418"/>
      <c r="CJ121" s="418"/>
      <c r="CK121" s="418"/>
      <c r="CL121" s="418"/>
      <c r="CM121" s="418"/>
      <c r="CN121" s="418"/>
      <c r="CO121" s="418"/>
      <c r="CP121" s="418"/>
      <c r="CQ121" s="418"/>
      <c r="CR121" s="418"/>
      <c r="CS121" s="418"/>
      <c r="CT121" s="418"/>
      <c r="CU121" s="418"/>
      <c r="CV121" s="418"/>
      <c r="CW121" s="418"/>
      <c r="CX121" s="418"/>
      <c r="CY121" s="418"/>
      <c r="CZ121" s="418"/>
      <c r="DA121" s="418"/>
      <c r="DB121" s="418"/>
      <c r="DC121" s="418"/>
      <c r="DD121" s="418"/>
      <c r="DE121" s="418"/>
      <c r="DF121" s="418"/>
      <c r="DG121" s="418"/>
      <c r="DH121" s="418"/>
      <c r="DI121" s="418"/>
      <c r="DJ121" s="418"/>
      <c r="DK121" s="418"/>
      <c r="DL121" s="418"/>
      <c r="DM121" s="418"/>
      <c r="DN121" s="418"/>
      <c r="DO121" s="418"/>
      <c r="DP121" s="418"/>
      <c r="DQ121" s="418"/>
      <c r="DR121" s="418"/>
      <c r="DS121" s="418"/>
      <c r="DT121" s="418"/>
      <c r="DU121" s="418"/>
      <c r="DV121" s="418"/>
      <c r="DW121" s="418"/>
      <c r="DX121" s="418"/>
      <c r="DY121" s="418"/>
      <c r="DZ121" s="418"/>
      <c r="EA121" s="418"/>
      <c r="EB121" s="418"/>
      <c r="EC121" s="418"/>
      <c r="ED121" s="418"/>
      <c r="EE121" s="418"/>
      <c r="EF121" s="418"/>
      <c r="EG121" s="418"/>
      <c r="EH121" s="418"/>
      <c r="EI121" s="418"/>
      <c r="EJ121" s="418"/>
      <c r="EK121" s="418"/>
      <c r="EL121" s="418"/>
      <c r="EM121" s="418"/>
      <c r="EN121" s="418"/>
      <c r="EO121" s="418"/>
      <c r="EP121" s="418"/>
      <c r="EQ121" s="418"/>
      <c r="ER121" s="418"/>
      <c r="ES121" s="418"/>
      <c r="ET121" s="418"/>
      <c r="EU121" s="418"/>
      <c r="EV121" s="418"/>
      <c r="EW121" s="418"/>
      <c r="EX121" s="418"/>
      <c r="EY121" s="418"/>
      <c r="EZ121" s="418"/>
      <c r="FA121" s="418"/>
      <c r="FB121" s="418"/>
      <c r="FC121" s="418"/>
      <c r="FD121" s="418"/>
      <c r="FE121" s="418"/>
      <c r="FF121" s="418"/>
      <c r="FG121" s="418"/>
      <c r="FH121" s="418"/>
      <c r="FI121" s="418"/>
      <c r="FJ121" s="418"/>
      <c r="FK121" s="418"/>
      <c r="FL121" s="418"/>
      <c r="FM121" s="418"/>
      <c r="FN121" s="418"/>
      <c r="FO121" s="418"/>
      <c r="FP121" s="418"/>
      <c r="FQ121" s="418"/>
      <c r="FR121" s="418"/>
      <c r="FS121" s="418"/>
      <c r="FT121" s="418"/>
      <c r="FU121" s="418"/>
      <c r="FV121" s="418"/>
      <c r="FW121" s="418"/>
      <c r="FX121" s="418"/>
      <c r="FY121" s="418"/>
      <c r="FZ121" s="418"/>
      <c r="GA121" s="418"/>
      <c r="GB121" s="418"/>
      <c r="GC121" s="418"/>
      <c r="GD121" s="418"/>
      <c r="GE121" s="418"/>
      <c r="GF121" s="418"/>
      <c r="GG121" s="418"/>
      <c r="GH121" s="418"/>
      <c r="GI121" s="418"/>
      <c r="GJ121" s="418"/>
      <c r="GK121" s="418"/>
      <c r="GL121" s="418"/>
      <c r="GM121" s="418"/>
      <c r="GN121" s="418"/>
      <c r="GO121" s="418"/>
      <c r="GP121" s="418"/>
      <c r="GQ121" s="418"/>
      <c r="GR121" s="418"/>
      <c r="GS121" s="418"/>
      <c r="GT121" s="418"/>
      <c r="GU121" s="418"/>
      <c r="GV121" s="418"/>
      <c r="GW121" s="418"/>
      <c r="GX121" s="418"/>
      <c r="GY121" s="418"/>
      <c r="GZ121" s="418"/>
      <c r="HA121" s="418"/>
      <c r="HB121" s="418"/>
      <c r="HC121" s="418"/>
      <c r="HD121" s="418"/>
      <c r="HE121" s="418"/>
      <c r="HF121" s="418"/>
      <c r="HG121" s="418"/>
      <c r="HH121" s="418"/>
      <c r="HI121" s="418"/>
      <c r="HJ121" s="418"/>
      <c r="HK121" s="418"/>
      <c r="HL121" s="418"/>
      <c r="HM121" s="418"/>
      <c r="HN121" s="418"/>
      <c r="HO121" s="418"/>
      <c r="HP121" s="418"/>
      <c r="HQ121" s="418"/>
      <c r="HR121" s="418"/>
      <c r="HS121" s="418"/>
      <c r="HT121" s="418"/>
      <c r="HU121" s="418"/>
      <c r="HV121" s="418"/>
      <c r="HW121" s="418"/>
      <c r="HX121" s="418"/>
      <c r="HY121" s="418"/>
      <c r="HZ121" s="418"/>
      <c r="IA121" s="418"/>
      <c r="IB121" s="418"/>
      <c r="IC121" s="418"/>
      <c r="ID121" s="418"/>
      <c r="IE121" s="418"/>
      <c r="IF121" s="418"/>
      <c r="IG121" s="418"/>
      <c r="IH121" s="418"/>
      <c r="II121" s="418"/>
      <c r="IJ121" s="418"/>
      <c r="IK121" s="418"/>
      <c r="IL121" s="418"/>
      <c r="IM121" s="418"/>
      <c r="IN121" s="418"/>
      <c r="IO121" s="418"/>
      <c r="IP121" s="418"/>
      <c r="IQ121" s="418"/>
      <c r="IR121" s="418"/>
      <c r="IS121" s="418"/>
      <c r="IT121" s="418"/>
      <c r="IU121" s="418"/>
      <c r="IV121" s="418"/>
      <c r="IW121" s="418"/>
      <c r="IX121" s="418"/>
      <c r="IY121" s="418"/>
      <c r="IZ121" s="418"/>
      <c r="JA121" s="418"/>
    </row>
    <row r="122" spans="1:261" ht="45.75" customHeight="1" x14ac:dyDescent="0.35">
      <c r="A122" s="773">
        <v>112</v>
      </c>
      <c r="B122" s="618"/>
      <c r="C122" s="420">
        <v>23</v>
      </c>
      <c r="D122" s="422" t="s">
        <v>680</v>
      </c>
      <c r="E122" s="430"/>
      <c r="F122" s="762"/>
      <c r="G122" s="431"/>
      <c r="H122" s="999" t="s">
        <v>24</v>
      </c>
      <c r="I122" s="1017"/>
      <c r="J122" s="1013"/>
      <c r="K122" s="1013"/>
      <c r="L122" s="1013"/>
      <c r="M122" s="1013"/>
      <c r="N122" s="1013"/>
      <c r="O122" s="982"/>
      <c r="P122" s="763"/>
    </row>
    <row r="123" spans="1:261" s="758" customFormat="1" ht="18" customHeight="1" x14ac:dyDescent="0.35">
      <c r="A123" s="773">
        <v>113</v>
      </c>
      <c r="B123" s="766"/>
      <c r="C123" s="464"/>
      <c r="D123" s="992" t="s">
        <v>308</v>
      </c>
      <c r="E123" s="430">
        <f>F123+G123+O126+P126</f>
        <v>267126</v>
      </c>
      <c r="F123" s="762">
        <v>4379</v>
      </c>
      <c r="G123" s="431">
        <f>7747+5080</f>
        <v>12827</v>
      </c>
      <c r="H123" s="999"/>
      <c r="I123" s="1017"/>
      <c r="J123" s="1013"/>
      <c r="K123" s="1013">
        <v>3667</v>
      </c>
      <c r="L123" s="1013"/>
      <c r="M123" s="1013">
        <v>246253</v>
      </c>
      <c r="N123" s="1013"/>
      <c r="O123" s="982">
        <f>SUM(I123:N123)</f>
        <v>249920</v>
      </c>
      <c r="P123" s="763"/>
      <c r="Q123" s="418"/>
      <c r="R123" s="418"/>
      <c r="S123" s="418"/>
      <c r="T123" s="418"/>
      <c r="U123" s="418"/>
      <c r="V123" s="418"/>
      <c r="W123" s="418"/>
      <c r="X123" s="418"/>
      <c r="Y123" s="418"/>
      <c r="Z123" s="418"/>
      <c r="AA123" s="418"/>
      <c r="AB123" s="418"/>
      <c r="AC123" s="418"/>
      <c r="AD123" s="418"/>
      <c r="AE123" s="418"/>
      <c r="AF123" s="418"/>
      <c r="AG123" s="418"/>
      <c r="AH123" s="418"/>
      <c r="AI123" s="418"/>
      <c r="AJ123" s="418"/>
      <c r="AK123" s="418"/>
      <c r="AL123" s="418"/>
      <c r="AM123" s="418"/>
      <c r="AN123" s="418"/>
      <c r="AO123" s="418"/>
      <c r="AP123" s="418"/>
      <c r="AQ123" s="418"/>
      <c r="AR123" s="418"/>
      <c r="AS123" s="418"/>
      <c r="AT123" s="418"/>
      <c r="AU123" s="418"/>
      <c r="AV123" s="418"/>
      <c r="AW123" s="418"/>
      <c r="AX123" s="418"/>
      <c r="AY123" s="418"/>
      <c r="AZ123" s="418"/>
      <c r="BA123" s="418"/>
      <c r="BB123" s="418"/>
      <c r="BC123" s="418"/>
      <c r="BD123" s="418"/>
      <c r="BE123" s="418"/>
      <c r="BF123" s="418"/>
      <c r="BG123" s="418"/>
      <c r="BH123" s="418"/>
      <c r="BI123" s="418"/>
      <c r="BJ123" s="418"/>
      <c r="BK123" s="418"/>
      <c r="BL123" s="418"/>
      <c r="BM123" s="418"/>
      <c r="BN123" s="418"/>
      <c r="BO123" s="418"/>
      <c r="BP123" s="418"/>
      <c r="BQ123" s="418"/>
      <c r="BR123" s="418"/>
      <c r="BS123" s="418"/>
      <c r="BT123" s="418"/>
      <c r="BU123" s="418"/>
      <c r="BV123" s="418"/>
      <c r="BW123" s="418"/>
      <c r="BX123" s="418"/>
      <c r="BY123" s="418"/>
      <c r="BZ123" s="418"/>
      <c r="CA123" s="418"/>
      <c r="CB123" s="418"/>
      <c r="CC123" s="418"/>
      <c r="CD123" s="418"/>
      <c r="CE123" s="418"/>
      <c r="CF123" s="418"/>
      <c r="CG123" s="418"/>
      <c r="CH123" s="418"/>
      <c r="CI123" s="418"/>
      <c r="CJ123" s="418"/>
      <c r="CK123" s="418"/>
      <c r="CL123" s="418"/>
      <c r="CM123" s="418"/>
      <c r="CN123" s="418"/>
      <c r="CO123" s="418"/>
      <c r="CP123" s="418"/>
      <c r="CQ123" s="418"/>
      <c r="CR123" s="418"/>
      <c r="CS123" s="418"/>
      <c r="CT123" s="418"/>
      <c r="CU123" s="418"/>
      <c r="CV123" s="418"/>
      <c r="CW123" s="418"/>
      <c r="CX123" s="418"/>
      <c r="CY123" s="418"/>
      <c r="CZ123" s="418"/>
      <c r="DA123" s="418"/>
      <c r="DB123" s="418"/>
      <c r="DC123" s="418"/>
      <c r="DD123" s="418"/>
      <c r="DE123" s="418"/>
      <c r="DF123" s="418"/>
      <c r="DG123" s="418"/>
      <c r="DH123" s="418"/>
      <c r="DI123" s="418"/>
      <c r="DJ123" s="418"/>
      <c r="DK123" s="418"/>
      <c r="DL123" s="418"/>
      <c r="DM123" s="418"/>
      <c r="DN123" s="418"/>
      <c r="DO123" s="418"/>
      <c r="DP123" s="418"/>
      <c r="DQ123" s="418"/>
      <c r="DR123" s="418"/>
      <c r="DS123" s="418"/>
      <c r="DT123" s="418"/>
      <c r="DU123" s="418"/>
      <c r="DV123" s="418"/>
      <c r="DW123" s="418"/>
      <c r="DX123" s="418"/>
      <c r="DY123" s="418"/>
      <c r="DZ123" s="418"/>
      <c r="EA123" s="418"/>
      <c r="EB123" s="418"/>
      <c r="EC123" s="418"/>
      <c r="ED123" s="418"/>
      <c r="EE123" s="418"/>
      <c r="EF123" s="418"/>
      <c r="EG123" s="418"/>
      <c r="EH123" s="418"/>
      <c r="EI123" s="418"/>
      <c r="EJ123" s="418"/>
      <c r="EK123" s="418"/>
      <c r="EL123" s="418"/>
      <c r="EM123" s="418"/>
      <c r="EN123" s="418"/>
      <c r="EO123" s="418"/>
      <c r="EP123" s="418"/>
      <c r="EQ123" s="418"/>
      <c r="ER123" s="418"/>
      <c r="ES123" s="418"/>
      <c r="ET123" s="418"/>
      <c r="EU123" s="418"/>
      <c r="EV123" s="418"/>
      <c r="EW123" s="418"/>
      <c r="EX123" s="418"/>
      <c r="EY123" s="418"/>
      <c r="EZ123" s="418"/>
      <c r="FA123" s="418"/>
      <c r="FB123" s="418"/>
      <c r="FC123" s="418"/>
      <c r="FD123" s="418"/>
      <c r="FE123" s="418"/>
      <c r="FF123" s="418"/>
      <c r="FG123" s="418"/>
      <c r="FH123" s="418"/>
      <c r="FI123" s="418"/>
      <c r="FJ123" s="418"/>
      <c r="FK123" s="418"/>
      <c r="FL123" s="418"/>
      <c r="FM123" s="418"/>
      <c r="FN123" s="418"/>
      <c r="FO123" s="418"/>
      <c r="FP123" s="418"/>
      <c r="FQ123" s="418"/>
      <c r="FR123" s="418"/>
      <c r="FS123" s="418"/>
      <c r="FT123" s="418"/>
      <c r="FU123" s="418"/>
      <c r="FV123" s="418"/>
      <c r="FW123" s="418"/>
      <c r="FX123" s="418"/>
      <c r="FY123" s="418"/>
      <c r="FZ123" s="418"/>
      <c r="GA123" s="418"/>
      <c r="GB123" s="418"/>
      <c r="GC123" s="418"/>
      <c r="GD123" s="418"/>
      <c r="GE123" s="418"/>
      <c r="GF123" s="418"/>
      <c r="GG123" s="418"/>
      <c r="GH123" s="418"/>
      <c r="GI123" s="418"/>
      <c r="GJ123" s="418"/>
      <c r="GK123" s="418"/>
      <c r="GL123" s="418"/>
      <c r="GM123" s="418"/>
      <c r="GN123" s="418"/>
      <c r="GO123" s="418"/>
      <c r="GP123" s="418"/>
      <c r="GQ123" s="418"/>
      <c r="GR123" s="418"/>
      <c r="GS123" s="418"/>
      <c r="GT123" s="418"/>
      <c r="GU123" s="418"/>
      <c r="GV123" s="418"/>
      <c r="GW123" s="418"/>
      <c r="GX123" s="418"/>
      <c r="GY123" s="418"/>
      <c r="GZ123" s="418"/>
      <c r="HA123" s="418"/>
      <c r="HB123" s="418"/>
      <c r="HC123" s="418"/>
      <c r="HD123" s="418"/>
      <c r="HE123" s="418"/>
      <c r="HF123" s="418"/>
      <c r="HG123" s="418"/>
      <c r="HH123" s="418"/>
      <c r="HI123" s="418"/>
      <c r="HJ123" s="418"/>
      <c r="HK123" s="418"/>
      <c r="HL123" s="418"/>
      <c r="HM123" s="418"/>
      <c r="HN123" s="418"/>
      <c r="HO123" s="418"/>
      <c r="HP123" s="418"/>
      <c r="HQ123" s="418"/>
      <c r="HR123" s="418"/>
      <c r="HS123" s="418"/>
      <c r="HT123" s="418"/>
      <c r="HU123" s="418"/>
      <c r="HV123" s="418"/>
      <c r="HW123" s="418"/>
      <c r="HX123" s="418"/>
      <c r="HY123" s="418"/>
      <c r="HZ123" s="418"/>
      <c r="IA123" s="418"/>
      <c r="IB123" s="418"/>
      <c r="IC123" s="418"/>
      <c r="ID123" s="418"/>
      <c r="IE123" s="418"/>
      <c r="IF123" s="418"/>
      <c r="IG123" s="418"/>
      <c r="IH123" s="418"/>
      <c r="II123" s="418"/>
      <c r="IJ123" s="418"/>
      <c r="IK123" s="418"/>
      <c r="IL123" s="418"/>
      <c r="IM123" s="418"/>
      <c r="IN123" s="418"/>
      <c r="IO123" s="418"/>
      <c r="IP123" s="418"/>
      <c r="IQ123" s="418"/>
      <c r="IR123" s="418"/>
      <c r="IS123" s="418"/>
      <c r="IT123" s="418"/>
      <c r="IU123" s="418"/>
      <c r="IV123" s="418"/>
      <c r="IW123" s="418"/>
      <c r="IX123" s="418"/>
      <c r="IY123" s="418"/>
      <c r="IZ123" s="418"/>
      <c r="JA123" s="418"/>
    </row>
    <row r="124" spans="1:261" s="758" customFormat="1" ht="18" customHeight="1" x14ac:dyDescent="0.35">
      <c r="A124" s="773">
        <v>114</v>
      </c>
      <c r="B124" s="766"/>
      <c r="C124" s="464"/>
      <c r="D124" s="576" t="s">
        <v>1158</v>
      </c>
      <c r="E124" s="430"/>
      <c r="F124" s="762"/>
      <c r="G124" s="431"/>
      <c r="H124" s="999"/>
      <c r="I124" s="1017"/>
      <c r="J124" s="1013"/>
      <c r="K124" s="759">
        <v>3667</v>
      </c>
      <c r="L124" s="759"/>
      <c r="M124" s="759">
        <v>246253</v>
      </c>
      <c r="N124" s="1013"/>
      <c r="O124" s="767">
        <f>SUM(I124:N124)</f>
        <v>249920</v>
      </c>
      <c r="P124" s="763"/>
      <c r="Q124" s="418"/>
      <c r="R124" s="418"/>
      <c r="S124" s="418"/>
      <c r="T124" s="418"/>
      <c r="U124" s="418"/>
      <c r="V124" s="418"/>
      <c r="W124" s="418"/>
      <c r="X124" s="418"/>
      <c r="Y124" s="418"/>
      <c r="Z124" s="418"/>
      <c r="AA124" s="418"/>
      <c r="AB124" s="418"/>
      <c r="AC124" s="418"/>
      <c r="AD124" s="418"/>
      <c r="AE124" s="418"/>
      <c r="AF124" s="418"/>
      <c r="AG124" s="418"/>
      <c r="AH124" s="418"/>
      <c r="AI124" s="418"/>
      <c r="AJ124" s="418"/>
      <c r="AK124" s="418"/>
      <c r="AL124" s="418"/>
      <c r="AM124" s="418"/>
      <c r="AN124" s="418"/>
      <c r="AO124" s="418"/>
      <c r="AP124" s="418"/>
      <c r="AQ124" s="418"/>
      <c r="AR124" s="418"/>
      <c r="AS124" s="418"/>
      <c r="AT124" s="418"/>
      <c r="AU124" s="418"/>
      <c r="AV124" s="418"/>
      <c r="AW124" s="418"/>
      <c r="AX124" s="418"/>
      <c r="AY124" s="418"/>
      <c r="AZ124" s="418"/>
      <c r="BA124" s="418"/>
      <c r="BB124" s="418"/>
      <c r="BC124" s="418"/>
      <c r="BD124" s="418"/>
      <c r="BE124" s="418"/>
      <c r="BF124" s="418"/>
      <c r="BG124" s="418"/>
      <c r="BH124" s="418"/>
      <c r="BI124" s="418"/>
      <c r="BJ124" s="418"/>
      <c r="BK124" s="418"/>
      <c r="BL124" s="418"/>
      <c r="BM124" s="418"/>
      <c r="BN124" s="418"/>
      <c r="BO124" s="418"/>
      <c r="BP124" s="418"/>
      <c r="BQ124" s="418"/>
      <c r="BR124" s="418"/>
      <c r="BS124" s="418"/>
      <c r="BT124" s="418"/>
      <c r="BU124" s="418"/>
      <c r="BV124" s="418"/>
      <c r="BW124" s="418"/>
      <c r="BX124" s="418"/>
      <c r="BY124" s="418"/>
      <c r="BZ124" s="418"/>
      <c r="CA124" s="418"/>
      <c r="CB124" s="418"/>
      <c r="CC124" s="418"/>
      <c r="CD124" s="418"/>
      <c r="CE124" s="418"/>
      <c r="CF124" s="418"/>
      <c r="CG124" s="418"/>
      <c r="CH124" s="418"/>
      <c r="CI124" s="418"/>
      <c r="CJ124" s="418"/>
      <c r="CK124" s="418"/>
      <c r="CL124" s="418"/>
      <c r="CM124" s="418"/>
      <c r="CN124" s="418"/>
      <c r="CO124" s="418"/>
      <c r="CP124" s="418"/>
      <c r="CQ124" s="418"/>
      <c r="CR124" s="418"/>
      <c r="CS124" s="418"/>
      <c r="CT124" s="418"/>
      <c r="CU124" s="418"/>
      <c r="CV124" s="418"/>
      <c r="CW124" s="418"/>
      <c r="CX124" s="418"/>
      <c r="CY124" s="418"/>
      <c r="CZ124" s="418"/>
      <c r="DA124" s="418"/>
      <c r="DB124" s="418"/>
      <c r="DC124" s="418"/>
      <c r="DD124" s="418"/>
      <c r="DE124" s="418"/>
      <c r="DF124" s="418"/>
      <c r="DG124" s="418"/>
      <c r="DH124" s="418"/>
      <c r="DI124" s="418"/>
      <c r="DJ124" s="418"/>
      <c r="DK124" s="418"/>
      <c r="DL124" s="418"/>
      <c r="DM124" s="418"/>
      <c r="DN124" s="418"/>
      <c r="DO124" s="418"/>
      <c r="DP124" s="418"/>
      <c r="DQ124" s="418"/>
      <c r="DR124" s="418"/>
      <c r="DS124" s="418"/>
      <c r="DT124" s="418"/>
      <c r="DU124" s="418"/>
      <c r="DV124" s="418"/>
      <c r="DW124" s="418"/>
      <c r="DX124" s="418"/>
      <c r="DY124" s="418"/>
      <c r="DZ124" s="418"/>
      <c r="EA124" s="418"/>
      <c r="EB124" s="418"/>
      <c r="EC124" s="418"/>
      <c r="ED124" s="418"/>
      <c r="EE124" s="418"/>
      <c r="EF124" s="418"/>
      <c r="EG124" s="418"/>
      <c r="EH124" s="418"/>
      <c r="EI124" s="418"/>
      <c r="EJ124" s="418"/>
      <c r="EK124" s="418"/>
      <c r="EL124" s="418"/>
      <c r="EM124" s="418"/>
      <c r="EN124" s="418"/>
      <c r="EO124" s="418"/>
      <c r="EP124" s="418"/>
      <c r="EQ124" s="418"/>
      <c r="ER124" s="418"/>
      <c r="ES124" s="418"/>
      <c r="ET124" s="418"/>
      <c r="EU124" s="418"/>
      <c r="EV124" s="418"/>
      <c r="EW124" s="418"/>
      <c r="EX124" s="418"/>
      <c r="EY124" s="418"/>
      <c r="EZ124" s="418"/>
      <c r="FA124" s="418"/>
      <c r="FB124" s="418"/>
      <c r="FC124" s="418"/>
      <c r="FD124" s="418"/>
      <c r="FE124" s="418"/>
      <c r="FF124" s="418"/>
      <c r="FG124" s="418"/>
      <c r="FH124" s="418"/>
      <c r="FI124" s="418"/>
      <c r="FJ124" s="418"/>
      <c r="FK124" s="418"/>
      <c r="FL124" s="418"/>
      <c r="FM124" s="418"/>
      <c r="FN124" s="418"/>
      <c r="FO124" s="418"/>
      <c r="FP124" s="418"/>
      <c r="FQ124" s="418"/>
      <c r="FR124" s="418"/>
      <c r="FS124" s="418"/>
      <c r="FT124" s="418"/>
      <c r="FU124" s="418"/>
      <c r="FV124" s="418"/>
      <c r="FW124" s="418"/>
      <c r="FX124" s="418"/>
      <c r="FY124" s="418"/>
      <c r="FZ124" s="418"/>
      <c r="GA124" s="418"/>
      <c r="GB124" s="418"/>
      <c r="GC124" s="418"/>
      <c r="GD124" s="418"/>
      <c r="GE124" s="418"/>
      <c r="GF124" s="418"/>
      <c r="GG124" s="418"/>
      <c r="GH124" s="418"/>
      <c r="GI124" s="418"/>
      <c r="GJ124" s="418"/>
      <c r="GK124" s="418"/>
      <c r="GL124" s="418"/>
      <c r="GM124" s="418"/>
      <c r="GN124" s="418"/>
      <c r="GO124" s="418"/>
      <c r="GP124" s="418"/>
      <c r="GQ124" s="418"/>
      <c r="GR124" s="418"/>
      <c r="GS124" s="418"/>
      <c r="GT124" s="418"/>
      <c r="GU124" s="418"/>
      <c r="GV124" s="418"/>
      <c r="GW124" s="418"/>
      <c r="GX124" s="418"/>
      <c r="GY124" s="418"/>
      <c r="GZ124" s="418"/>
      <c r="HA124" s="418"/>
      <c r="HB124" s="418"/>
      <c r="HC124" s="418"/>
      <c r="HD124" s="418"/>
      <c r="HE124" s="418"/>
      <c r="HF124" s="418"/>
      <c r="HG124" s="418"/>
      <c r="HH124" s="418"/>
      <c r="HI124" s="418"/>
      <c r="HJ124" s="418"/>
      <c r="HK124" s="418"/>
      <c r="HL124" s="418"/>
      <c r="HM124" s="418"/>
      <c r="HN124" s="418"/>
      <c r="HO124" s="418"/>
      <c r="HP124" s="418"/>
      <c r="HQ124" s="418"/>
      <c r="HR124" s="418"/>
      <c r="HS124" s="418"/>
      <c r="HT124" s="418"/>
      <c r="HU124" s="418"/>
      <c r="HV124" s="418"/>
      <c r="HW124" s="418"/>
      <c r="HX124" s="418"/>
      <c r="HY124" s="418"/>
      <c r="HZ124" s="418"/>
      <c r="IA124" s="418"/>
      <c r="IB124" s="418"/>
      <c r="IC124" s="418"/>
      <c r="ID124" s="418"/>
      <c r="IE124" s="418"/>
      <c r="IF124" s="418"/>
      <c r="IG124" s="418"/>
      <c r="IH124" s="418"/>
      <c r="II124" s="418"/>
      <c r="IJ124" s="418"/>
      <c r="IK124" s="418"/>
      <c r="IL124" s="418"/>
      <c r="IM124" s="418"/>
      <c r="IN124" s="418"/>
      <c r="IO124" s="418"/>
      <c r="IP124" s="418"/>
      <c r="IQ124" s="418"/>
      <c r="IR124" s="418"/>
      <c r="IS124" s="418"/>
      <c r="IT124" s="418"/>
      <c r="IU124" s="418"/>
      <c r="IV124" s="418"/>
      <c r="IW124" s="418"/>
      <c r="IX124" s="418"/>
      <c r="IY124" s="418"/>
      <c r="IZ124" s="418"/>
      <c r="JA124" s="418"/>
    </row>
    <row r="125" spans="1:261" s="758" customFormat="1" ht="18" customHeight="1" x14ac:dyDescent="0.35">
      <c r="A125" s="773">
        <v>115</v>
      </c>
      <c r="B125" s="766"/>
      <c r="C125" s="464"/>
      <c r="D125" s="1318" t="s">
        <v>947</v>
      </c>
      <c r="E125" s="430"/>
      <c r="F125" s="762"/>
      <c r="G125" s="431"/>
      <c r="H125" s="999"/>
      <c r="I125" s="995"/>
      <c r="J125" s="759"/>
      <c r="K125" s="759"/>
      <c r="L125" s="759"/>
      <c r="M125" s="759"/>
      <c r="N125" s="759"/>
      <c r="O125" s="1599">
        <f>SUM(I125:N125)</f>
        <v>0</v>
      </c>
      <c r="P125" s="763"/>
      <c r="Q125" s="418"/>
      <c r="R125" s="418"/>
      <c r="S125" s="418"/>
      <c r="T125" s="418"/>
      <c r="U125" s="418"/>
      <c r="V125" s="418"/>
      <c r="W125" s="418"/>
      <c r="X125" s="418"/>
      <c r="Y125" s="418"/>
      <c r="Z125" s="418"/>
      <c r="AA125" s="418"/>
      <c r="AB125" s="418"/>
      <c r="AC125" s="418"/>
      <c r="AD125" s="418"/>
      <c r="AE125" s="418"/>
      <c r="AF125" s="418"/>
      <c r="AG125" s="418"/>
      <c r="AH125" s="418"/>
      <c r="AI125" s="418"/>
      <c r="AJ125" s="418"/>
      <c r="AK125" s="418"/>
      <c r="AL125" s="418"/>
      <c r="AM125" s="418"/>
      <c r="AN125" s="418"/>
      <c r="AO125" s="418"/>
      <c r="AP125" s="418"/>
      <c r="AQ125" s="418"/>
      <c r="AR125" s="418"/>
      <c r="AS125" s="418"/>
      <c r="AT125" s="418"/>
      <c r="AU125" s="418"/>
      <c r="AV125" s="418"/>
      <c r="AW125" s="418"/>
      <c r="AX125" s="418"/>
      <c r="AY125" s="418"/>
      <c r="AZ125" s="418"/>
      <c r="BA125" s="418"/>
      <c r="BB125" s="418"/>
      <c r="BC125" s="418"/>
      <c r="BD125" s="418"/>
      <c r="BE125" s="418"/>
      <c r="BF125" s="418"/>
      <c r="BG125" s="418"/>
      <c r="BH125" s="418"/>
      <c r="BI125" s="418"/>
      <c r="BJ125" s="418"/>
      <c r="BK125" s="418"/>
      <c r="BL125" s="418"/>
      <c r="BM125" s="418"/>
      <c r="BN125" s="418"/>
      <c r="BO125" s="418"/>
      <c r="BP125" s="418"/>
      <c r="BQ125" s="418"/>
      <c r="BR125" s="418"/>
      <c r="BS125" s="418"/>
      <c r="BT125" s="418"/>
      <c r="BU125" s="418"/>
      <c r="BV125" s="418"/>
      <c r="BW125" s="418"/>
      <c r="BX125" s="418"/>
      <c r="BY125" s="418"/>
      <c r="BZ125" s="418"/>
      <c r="CA125" s="418"/>
      <c r="CB125" s="418"/>
      <c r="CC125" s="418"/>
      <c r="CD125" s="418"/>
      <c r="CE125" s="418"/>
      <c r="CF125" s="418"/>
      <c r="CG125" s="418"/>
      <c r="CH125" s="418"/>
      <c r="CI125" s="418"/>
      <c r="CJ125" s="418"/>
      <c r="CK125" s="418"/>
      <c r="CL125" s="418"/>
      <c r="CM125" s="418"/>
      <c r="CN125" s="418"/>
      <c r="CO125" s="418"/>
      <c r="CP125" s="418"/>
      <c r="CQ125" s="418"/>
      <c r="CR125" s="418"/>
      <c r="CS125" s="418"/>
      <c r="CT125" s="418"/>
      <c r="CU125" s="418"/>
      <c r="CV125" s="418"/>
      <c r="CW125" s="418"/>
      <c r="CX125" s="418"/>
      <c r="CY125" s="418"/>
      <c r="CZ125" s="418"/>
      <c r="DA125" s="418"/>
      <c r="DB125" s="418"/>
      <c r="DC125" s="418"/>
      <c r="DD125" s="418"/>
      <c r="DE125" s="418"/>
      <c r="DF125" s="418"/>
      <c r="DG125" s="418"/>
      <c r="DH125" s="418"/>
      <c r="DI125" s="418"/>
      <c r="DJ125" s="418"/>
      <c r="DK125" s="418"/>
      <c r="DL125" s="418"/>
      <c r="DM125" s="418"/>
      <c r="DN125" s="418"/>
      <c r="DO125" s="418"/>
      <c r="DP125" s="418"/>
      <c r="DQ125" s="418"/>
      <c r="DR125" s="418"/>
      <c r="DS125" s="418"/>
      <c r="DT125" s="418"/>
      <c r="DU125" s="418"/>
      <c r="DV125" s="418"/>
      <c r="DW125" s="418"/>
      <c r="DX125" s="418"/>
      <c r="DY125" s="418"/>
      <c r="DZ125" s="418"/>
      <c r="EA125" s="418"/>
      <c r="EB125" s="418"/>
      <c r="EC125" s="418"/>
      <c r="ED125" s="418"/>
      <c r="EE125" s="418"/>
      <c r="EF125" s="418"/>
      <c r="EG125" s="418"/>
      <c r="EH125" s="418"/>
      <c r="EI125" s="418"/>
      <c r="EJ125" s="418"/>
      <c r="EK125" s="418"/>
      <c r="EL125" s="418"/>
      <c r="EM125" s="418"/>
      <c r="EN125" s="418"/>
      <c r="EO125" s="418"/>
      <c r="EP125" s="418"/>
      <c r="EQ125" s="418"/>
      <c r="ER125" s="418"/>
      <c r="ES125" s="418"/>
      <c r="ET125" s="418"/>
      <c r="EU125" s="418"/>
      <c r="EV125" s="418"/>
      <c r="EW125" s="418"/>
      <c r="EX125" s="418"/>
      <c r="EY125" s="418"/>
      <c r="EZ125" s="418"/>
      <c r="FA125" s="418"/>
      <c r="FB125" s="418"/>
      <c r="FC125" s="418"/>
      <c r="FD125" s="418"/>
      <c r="FE125" s="418"/>
      <c r="FF125" s="418"/>
      <c r="FG125" s="418"/>
      <c r="FH125" s="418"/>
      <c r="FI125" s="418"/>
      <c r="FJ125" s="418"/>
      <c r="FK125" s="418"/>
      <c r="FL125" s="418"/>
      <c r="FM125" s="418"/>
      <c r="FN125" s="418"/>
      <c r="FO125" s="418"/>
      <c r="FP125" s="418"/>
      <c r="FQ125" s="418"/>
      <c r="FR125" s="418"/>
      <c r="FS125" s="418"/>
      <c r="FT125" s="418"/>
      <c r="FU125" s="418"/>
      <c r="FV125" s="418"/>
      <c r="FW125" s="418"/>
      <c r="FX125" s="418"/>
      <c r="FY125" s="418"/>
      <c r="FZ125" s="418"/>
      <c r="GA125" s="418"/>
      <c r="GB125" s="418"/>
      <c r="GC125" s="418"/>
      <c r="GD125" s="418"/>
      <c r="GE125" s="418"/>
      <c r="GF125" s="418"/>
      <c r="GG125" s="418"/>
      <c r="GH125" s="418"/>
      <c r="GI125" s="418"/>
      <c r="GJ125" s="418"/>
      <c r="GK125" s="418"/>
      <c r="GL125" s="418"/>
      <c r="GM125" s="418"/>
      <c r="GN125" s="418"/>
      <c r="GO125" s="418"/>
      <c r="GP125" s="418"/>
      <c r="GQ125" s="418"/>
      <c r="GR125" s="418"/>
      <c r="GS125" s="418"/>
      <c r="GT125" s="418"/>
      <c r="GU125" s="418"/>
      <c r="GV125" s="418"/>
      <c r="GW125" s="418"/>
      <c r="GX125" s="418"/>
      <c r="GY125" s="418"/>
      <c r="GZ125" s="418"/>
      <c r="HA125" s="418"/>
      <c r="HB125" s="418"/>
      <c r="HC125" s="418"/>
      <c r="HD125" s="418"/>
      <c r="HE125" s="418"/>
      <c r="HF125" s="418"/>
      <c r="HG125" s="418"/>
      <c r="HH125" s="418"/>
      <c r="HI125" s="418"/>
      <c r="HJ125" s="418"/>
      <c r="HK125" s="418"/>
      <c r="HL125" s="418"/>
      <c r="HM125" s="418"/>
      <c r="HN125" s="418"/>
      <c r="HO125" s="418"/>
      <c r="HP125" s="418"/>
      <c r="HQ125" s="418"/>
      <c r="HR125" s="418"/>
      <c r="HS125" s="418"/>
      <c r="HT125" s="418"/>
      <c r="HU125" s="418"/>
      <c r="HV125" s="418"/>
      <c r="HW125" s="418"/>
      <c r="HX125" s="418"/>
      <c r="HY125" s="418"/>
      <c r="HZ125" s="418"/>
      <c r="IA125" s="418"/>
      <c r="IB125" s="418"/>
      <c r="IC125" s="418"/>
      <c r="ID125" s="418"/>
      <c r="IE125" s="418"/>
      <c r="IF125" s="418"/>
      <c r="IG125" s="418"/>
      <c r="IH125" s="418"/>
      <c r="II125" s="418"/>
      <c r="IJ125" s="418"/>
      <c r="IK125" s="418"/>
      <c r="IL125" s="418"/>
      <c r="IM125" s="418"/>
      <c r="IN125" s="418"/>
      <c r="IO125" s="418"/>
      <c r="IP125" s="418"/>
      <c r="IQ125" s="418"/>
      <c r="IR125" s="418"/>
      <c r="IS125" s="418"/>
      <c r="IT125" s="418"/>
      <c r="IU125" s="418"/>
      <c r="IV125" s="418"/>
      <c r="IW125" s="418"/>
      <c r="IX125" s="418"/>
      <c r="IY125" s="418"/>
      <c r="IZ125" s="418"/>
      <c r="JA125" s="418"/>
    </row>
    <row r="126" spans="1:261" s="758" customFormat="1" ht="18" customHeight="1" x14ac:dyDescent="0.35">
      <c r="A126" s="773">
        <v>116</v>
      </c>
      <c r="B126" s="766"/>
      <c r="C126" s="464"/>
      <c r="D126" s="576" t="s">
        <v>1250</v>
      </c>
      <c r="E126" s="430"/>
      <c r="F126" s="762"/>
      <c r="G126" s="431"/>
      <c r="H126" s="999"/>
      <c r="I126" s="995"/>
      <c r="J126" s="759"/>
      <c r="K126" s="759">
        <f>SUM(K124:K125)</f>
        <v>3667</v>
      </c>
      <c r="L126" s="759"/>
      <c r="M126" s="759">
        <f>SUM(M124:M125)</f>
        <v>246253</v>
      </c>
      <c r="N126" s="759"/>
      <c r="O126" s="767">
        <f>SUM(I126:N126)</f>
        <v>249920</v>
      </c>
      <c r="P126" s="763"/>
      <c r="Q126" s="418"/>
      <c r="R126" s="418"/>
      <c r="S126" s="418"/>
      <c r="T126" s="418"/>
      <c r="U126" s="418"/>
      <c r="V126" s="418"/>
      <c r="W126" s="418"/>
      <c r="X126" s="418"/>
      <c r="Y126" s="418"/>
      <c r="Z126" s="418"/>
      <c r="AA126" s="418"/>
      <c r="AB126" s="418"/>
      <c r="AC126" s="418"/>
      <c r="AD126" s="418"/>
      <c r="AE126" s="418"/>
      <c r="AF126" s="418"/>
      <c r="AG126" s="418"/>
      <c r="AH126" s="418"/>
      <c r="AI126" s="418"/>
      <c r="AJ126" s="418"/>
      <c r="AK126" s="418"/>
      <c r="AL126" s="418"/>
      <c r="AM126" s="418"/>
      <c r="AN126" s="418"/>
      <c r="AO126" s="418"/>
      <c r="AP126" s="418"/>
      <c r="AQ126" s="418"/>
      <c r="AR126" s="418"/>
      <c r="AS126" s="418"/>
      <c r="AT126" s="418"/>
      <c r="AU126" s="418"/>
      <c r="AV126" s="418"/>
      <c r="AW126" s="418"/>
      <c r="AX126" s="418"/>
      <c r="AY126" s="418"/>
      <c r="AZ126" s="418"/>
      <c r="BA126" s="418"/>
      <c r="BB126" s="418"/>
      <c r="BC126" s="418"/>
      <c r="BD126" s="418"/>
      <c r="BE126" s="418"/>
      <c r="BF126" s="418"/>
      <c r="BG126" s="418"/>
      <c r="BH126" s="418"/>
      <c r="BI126" s="418"/>
      <c r="BJ126" s="418"/>
      <c r="BK126" s="418"/>
      <c r="BL126" s="418"/>
      <c r="BM126" s="418"/>
      <c r="BN126" s="418"/>
      <c r="BO126" s="418"/>
      <c r="BP126" s="418"/>
      <c r="BQ126" s="418"/>
      <c r="BR126" s="418"/>
      <c r="BS126" s="418"/>
      <c r="BT126" s="418"/>
      <c r="BU126" s="418"/>
      <c r="BV126" s="418"/>
      <c r="BW126" s="418"/>
      <c r="BX126" s="418"/>
      <c r="BY126" s="418"/>
      <c r="BZ126" s="418"/>
      <c r="CA126" s="418"/>
      <c r="CB126" s="418"/>
      <c r="CC126" s="418"/>
      <c r="CD126" s="418"/>
      <c r="CE126" s="418"/>
      <c r="CF126" s="418"/>
      <c r="CG126" s="418"/>
      <c r="CH126" s="418"/>
      <c r="CI126" s="418"/>
      <c r="CJ126" s="418"/>
      <c r="CK126" s="418"/>
      <c r="CL126" s="418"/>
      <c r="CM126" s="418"/>
      <c r="CN126" s="418"/>
      <c r="CO126" s="418"/>
      <c r="CP126" s="418"/>
      <c r="CQ126" s="418"/>
      <c r="CR126" s="418"/>
      <c r="CS126" s="418"/>
      <c r="CT126" s="418"/>
      <c r="CU126" s="418"/>
      <c r="CV126" s="418"/>
      <c r="CW126" s="418"/>
      <c r="CX126" s="418"/>
      <c r="CY126" s="418"/>
      <c r="CZ126" s="418"/>
      <c r="DA126" s="418"/>
      <c r="DB126" s="418"/>
      <c r="DC126" s="418"/>
      <c r="DD126" s="418"/>
      <c r="DE126" s="418"/>
      <c r="DF126" s="418"/>
      <c r="DG126" s="418"/>
      <c r="DH126" s="418"/>
      <c r="DI126" s="418"/>
      <c r="DJ126" s="418"/>
      <c r="DK126" s="418"/>
      <c r="DL126" s="418"/>
      <c r="DM126" s="418"/>
      <c r="DN126" s="418"/>
      <c r="DO126" s="418"/>
      <c r="DP126" s="418"/>
      <c r="DQ126" s="418"/>
      <c r="DR126" s="418"/>
      <c r="DS126" s="418"/>
      <c r="DT126" s="418"/>
      <c r="DU126" s="418"/>
      <c r="DV126" s="418"/>
      <c r="DW126" s="418"/>
      <c r="DX126" s="418"/>
      <c r="DY126" s="418"/>
      <c r="DZ126" s="418"/>
      <c r="EA126" s="418"/>
      <c r="EB126" s="418"/>
      <c r="EC126" s="418"/>
      <c r="ED126" s="418"/>
      <c r="EE126" s="418"/>
      <c r="EF126" s="418"/>
      <c r="EG126" s="418"/>
      <c r="EH126" s="418"/>
      <c r="EI126" s="418"/>
      <c r="EJ126" s="418"/>
      <c r="EK126" s="418"/>
      <c r="EL126" s="418"/>
      <c r="EM126" s="418"/>
      <c r="EN126" s="418"/>
      <c r="EO126" s="418"/>
      <c r="EP126" s="418"/>
      <c r="EQ126" s="418"/>
      <c r="ER126" s="418"/>
      <c r="ES126" s="418"/>
      <c r="ET126" s="418"/>
      <c r="EU126" s="418"/>
      <c r="EV126" s="418"/>
      <c r="EW126" s="418"/>
      <c r="EX126" s="418"/>
      <c r="EY126" s="418"/>
      <c r="EZ126" s="418"/>
      <c r="FA126" s="418"/>
      <c r="FB126" s="418"/>
      <c r="FC126" s="418"/>
      <c r="FD126" s="418"/>
      <c r="FE126" s="418"/>
      <c r="FF126" s="418"/>
      <c r="FG126" s="418"/>
      <c r="FH126" s="418"/>
      <c r="FI126" s="418"/>
      <c r="FJ126" s="418"/>
      <c r="FK126" s="418"/>
      <c r="FL126" s="418"/>
      <c r="FM126" s="418"/>
      <c r="FN126" s="418"/>
      <c r="FO126" s="418"/>
      <c r="FP126" s="418"/>
      <c r="FQ126" s="418"/>
      <c r="FR126" s="418"/>
      <c r="FS126" s="418"/>
      <c r="FT126" s="418"/>
      <c r="FU126" s="418"/>
      <c r="FV126" s="418"/>
      <c r="FW126" s="418"/>
      <c r="FX126" s="418"/>
      <c r="FY126" s="418"/>
      <c r="FZ126" s="418"/>
      <c r="GA126" s="418"/>
      <c r="GB126" s="418"/>
      <c r="GC126" s="418"/>
      <c r="GD126" s="418"/>
      <c r="GE126" s="418"/>
      <c r="GF126" s="418"/>
      <c r="GG126" s="418"/>
      <c r="GH126" s="418"/>
      <c r="GI126" s="418"/>
      <c r="GJ126" s="418"/>
      <c r="GK126" s="418"/>
      <c r="GL126" s="418"/>
      <c r="GM126" s="418"/>
      <c r="GN126" s="418"/>
      <c r="GO126" s="418"/>
      <c r="GP126" s="418"/>
      <c r="GQ126" s="418"/>
      <c r="GR126" s="418"/>
      <c r="GS126" s="418"/>
      <c r="GT126" s="418"/>
      <c r="GU126" s="418"/>
      <c r="GV126" s="418"/>
      <c r="GW126" s="418"/>
      <c r="GX126" s="418"/>
      <c r="GY126" s="418"/>
      <c r="GZ126" s="418"/>
      <c r="HA126" s="418"/>
      <c r="HB126" s="418"/>
      <c r="HC126" s="418"/>
      <c r="HD126" s="418"/>
      <c r="HE126" s="418"/>
      <c r="HF126" s="418"/>
      <c r="HG126" s="418"/>
      <c r="HH126" s="418"/>
      <c r="HI126" s="418"/>
      <c r="HJ126" s="418"/>
      <c r="HK126" s="418"/>
      <c r="HL126" s="418"/>
      <c r="HM126" s="418"/>
      <c r="HN126" s="418"/>
      <c r="HO126" s="418"/>
      <c r="HP126" s="418"/>
      <c r="HQ126" s="418"/>
      <c r="HR126" s="418"/>
      <c r="HS126" s="418"/>
      <c r="HT126" s="418"/>
      <c r="HU126" s="418"/>
      <c r="HV126" s="418"/>
      <c r="HW126" s="418"/>
      <c r="HX126" s="418"/>
      <c r="HY126" s="418"/>
      <c r="HZ126" s="418"/>
      <c r="IA126" s="418"/>
      <c r="IB126" s="418"/>
      <c r="IC126" s="418"/>
      <c r="ID126" s="418"/>
      <c r="IE126" s="418"/>
      <c r="IF126" s="418"/>
      <c r="IG126" s="418"/>
      <c r="IH126" s="418"/>
      <c r="II126" s="418"/>
      <c r="IJ126" s="418"/>
      <c r="IK126" s="418"/>
      <c r="IL126" s="418"/>
      <c r="IM126" s="418"/>
      <c r="IN126" s="418"/>
      <c r="IO126" s="418"/>
      <c r="IP126" s="418"/>
      <c r="IQ126" s="418"/>
      <c r="IR126" s="418"/>
      <c r="IS126" s="418"/>
      <c r="IT126" s="418"/>
      <c r="IU126" s="418"/>
      <c r="IV126" s="418"/>
      <c r="IW126" s="418"/>
      <c r="IX126" s="418"/>
      <c r="IY126" s="418"/>
      <c r="IZ126" s="418"/>
      <c r="JA126" s="418"/>
    </row>
    <row r="127" spans="1:261" ht="36.75" customHeight="1" x14ac:dyDescent="0.35">
      <c r="A127" s="773">
        <v>117</v>
      </c>
      <c r="B127" s="618"/>
      <c r="C127" s="420">
        <v>24</v>
      </c>
      <c r="D127" s="422" t="s">
        <v>841</v>
      </c>
      <c r="E127" s="430"/>
      <c r="F127" s="762"/>
      <c r="G127" s="431"/>
      <c r="H127" s="999" t="s">
        <v>24</v>
      </c>
      <c r="I127" s="1017"/>
      <c r="J127" s="1013"/>
      <c r="K127" s="1013"/>
      <c r="L127" s="1013"/>
      <c r="M127" s="1013"/>
      <c r="N127" s="1013"/>
      <c r="O127" s="982"/>
      <c r="P127" s="763"/>
    </row>
    <row r="128" spans="1:261" s="758" customFormat="1" ht="18" customHeight="1" x14ac:dyDescent="0.35">
      <c r="A128" s="773">
        <v>118</v>
      </c>
      <c r="B128" s="766"/>
      <c r="C128" s="420"/>
      <c r="D128" s="992" t="s">
        <v>308</v>
      </c>
      <c r="E128" s="430">
        <f>F128+G128+O131+P131+89379+55491</f>
        <v>184000</v>
      </c>
      <c r="F128" s="762">
        <v>9200</v>
      </c>
      <c r="G128" s="431">
        <f>3350+5228+2096+1</f>
        <v>10675</v>
      </c>
      <c r="H128" s="999"/>
      <c r="I128" s="1017"/>
      <c r="J128" s="1013"/>
      <c r="K128" s="1013">
        <v>19255</v>
      </c>
      <c r="L128" s="1013"/>
      <c r="M128" s="1013"/>
      <c r="N128" s="1013"/>
      <c r="O128" s="982">
        <f>SUM(I128:N128)</f>
        <v>19255</v>
      </c>
      <c r="P128" s="763"/>
      <c r="Q128" s="418"/>
      <c r="R128" s="418"/>
      <c r="S128" s="418"/>
      <c r="T128" s="418"/>
      <c r="U128" s="418"/>
      <c r="V128" s="418"/>
      <c r="W128" s="418"/>
      <c r="X128" s="418"/>
      <c r="Y128" s="418"/>
      <c r="Z128" s="418"/>
      <c r="AA128" s="418"/>
      <c r="AB128" s="418"/>
      <c r="AC128" s="418"/>
      <c r="AD128" s="418"/>
      <c r="AE128" s="418"/>
      <c r="AF128" s="418"/>
      <c r="AG128" s="418"/>
      <c r="AH128" s="418"/>
      <c r="AI128" s="418"/>
      <c r="AJ128" s="418"/>
      <c r="AK128" s="418"/>
      <c r="AL128" s="418"/>
      <c r="AM128" s="418"/>
      <c r="AN128" s="418"/>
      <c r="AO128" s="418"/>
      <c r="AP128" s="418"/>
      <c r="AQ128" s="418"/>
      <c r="AR128" s="418"/>
      <c r="AS128" s="418"/>
      <c r="AT128" s="418"/>
      <c r="AU128" s="418"/>
      <c r="AV128" s="418"/>
      <c r="AW128" s="418"/>
      <c r="AX128" s="418"/>
      <c r="AY128" s="418"/>
      <c r="AZ128" s="418"/>
      <c r="BA128" s="418"/>
      <c r="BB128" s="418"/>
      <c r="BC128" s="418"/>
      <c r="BD128" s="418"/>
      <c r="BE128" s="418"/>
      <c r="BF128" s="418"/>
      <c r="BG128" s="418"/>
      <c r="BH128" s="418"/>
      <c r="BI128" s="418"/>
      <c r="BJ128" s="418"/>
      <c r="BK128" s="418"/>
      <c r="BL128" s="418"/>
      <c r="BM128" s="418"/>
      <c r="BN128" s="418"/>
      <c r="BO128" s="418"/>
      <c r="BP128" s="418"/>
      <c r="BQ128" s="418"/>
      <c r="BR128" s="418"/>
      <c r="BS128" s="418"/>
      <c r="BT128" s="418"/>
      <c r="BU128" s="418"/>
      <c r="BV128" s="418"/>
      <c r="BW128" s="418"/>
      <c r="BX128" s="418"/>
      <c r="BY128" s="418"/>
      <c r="BZ128" s="418"/>
      <c r="CA128" s="418"/>
      <c r="CB128" s="418"/>
      <c r="CC128" s="418"/>
      <c r="CD128" s="418"/>
      <c r="CE128" s="418"/>
      <c r="CF128" s="418"/>
      <c r="CG128" s="418"/>
      <c r="CH128" s="418"/>
      <c r="CI128" s="418"/>
      <c r="CJ128" s="418"/>
      <c r="CK128" s="418"/>
      <c r="CL128" s="418"/>
      <c r="CM128" s="418"/>
      <c r="CN128" s="418"/>
      <c r="CO128" s="418"/>
      <c r="CP128" s="418"/>
      <c r="CQ128" s="418"/>
      <c r="CR128" s="418"/>
      <c r="CS128" s="418"/>
      <c r="CT128" s="418"/>
      <c r="CU128" s="418"/>
      <c r="CV128" s="418"/>
      <c r="CW128" s="418"/>
      <c r="CX128" s="418"/>
      <c r="CY128" s="418"/>
      <c r="CZ128" s="418"/>
      <c r="DA128" s="418"/>
      <c r="DB128" s="418"/>
      <c r="DC128" s="418"/>
      <c r="DD128" s="418"/>
      <c r="DE128" s="418"/>
      <c r="DF128" s="418"/>
      <c r="DG128" s="418"/>
      <c r="DH128" s="418"/>
      <c r="DI128" s="418"/>
      <c r="DJ128" s="418"/>
      <c r="DK128" s="418"/>
      <c r="DL128" s="418"/>
      <c r="DM128" s="418"/>
      <c r="DN128" s="418"/>
      <c r="DO128" s="418"/>
      <c r="DP128" s="418"/>
      <c r="DQ128" s="418"/>
      <c r="DR128" s="418"/>
      <c r="DS128" s="418"/>
      <c r="DT128" s="418"/>
      <c r="DU128" s="418"/>
      <c r="DV128" s="418"/>
      <c r="DW128" s="418"/>
      <c r="DX128" s="418"/>
      <c r="DY128" s="418"/>
      <c r="DZ128" s="418"/>
      <c r="EA128" s="418"/>
      <c r="EB128" s="418"/>
      <c r="EC128" s="418"/>
      <c r="ED128" s="418"/>
      <c r="EE128" s="418"/>
      <c r="EF128" s="418"/>
      <c r="EG128" s="418"/>
      <c r="EH128" s="418"/>
      <c r="EI128" s="418"/>
      <c r="EJ128" s="418"/>
      <c r="EK128" s="418"/>
      <c r="EL128" s="418"/>
      <c r="EM128" s="418"/>
      <c r="EN128" s="418"/>
      <c r="EO128" s="418"/>
      <c r="EP128" s="418"/>
      <c r="EQ128" s="418"/>
      <c r="ER128" s="418"/>
      <c r="ES128" s="418"/>
      <c r="ET128" s="418"/>
      <c r="EU128" s="418"/>
      <c r="EV128" s="418"/>
      <c r="EW128" s="418"/>
      <c r="EX128" s="418"/>
      <c r="EY128" s="418"/>
      <c r="EZ128" s="418"/>
      <c r="FA128" s="418"/>
      <c r="FB128" s="418"/>
      <c r="FC128" s="418"/>
      <c r="FD128" s="418"/>
      <c r="FE128" s="418"/>
      <c r="FF128" s="418"/>
      <c r="FG128" s="418"/>
      <c r="FH128" s="418"/>
      <c r="FI128" s="418"/>
      <c r="FJ128" s="418"/>
      <c r="FK128" s="418"/>
      <c r="FL128" s="418"/>
      <c r="FM128" s="418"/>
      <c r="FN128" s="418"/>
      <c r="FO128" s="418"/>
      <c r="FP128" s="418"/>
      <c r="FQ128" s="418"/>
      <c r="FR128" s="418"/>
      <c r="FS128" s="418"/>
      <c r="FT128" s="418"/>
      <c r="FU128" s="418"/>
      <c r="FV128" s="418"/>
      <c r="FW128" s="418"/>
      <c r="FX128" s="418"/>
      <c r="FY128" s="418"/>
      <c r="FZ128" s="418"/>
      <c r="GA128" s="418"/>
      <c r="GB128" s="418"/>
      <c r="GC128" s="418"/>
      <c r="GD128" s="418"/>
      <c r="GE128" s="418"/>
      <c r="GF128" s="418"/>
      <c r="GG128" s="418"/>
      <c r="GH128" s="418"/>
      <c r="GI128" s="418"/>
      <c r="GJ128" s="418"/>
      <c r="GK128" s="418"/>
      <c r="GL128" s="418"/>
      <c r="GM128" s="418"/>
      <c r="GN128" s="418"/>
      <c r="GO128" s="418"/>
      <c r="GP128" s="418"/>
      <c r="GQ128" s="418"/>
      <c r="GR128" s="418"/>
      <c r="GS128" s="418"/>
      <c r="GT128" s="418"/>
      <c r="GU128" s="418"/>
      <c r="GV128" s="418"/>
      <c r="GW128" s="418"/>
      <c r="GX128" s="418"/>
      <c r="GY128" s="418"/>
      <c r="GZ128" s="418"/>
      <c r="HA128" s="418"/>
      <c r="HB128" s="418"/>
      <c r="HC128" s="418"/>
      <c r="HD128" s="418"/>
      <c r="HE128" s="418"/>
      <c r="HF128" s="418"/>
      <c r="HG128" s="418"/>
      <c r="HH128" s="418"/>
      <c r="HI128" s="418"/>
      <c r="HJ128" s="418"/>
      <c r="HK128" s="418"/>
      <c r="HL128" s="418"/>
      <c r="HM128" s="418"/>
      <c r="HN128" s="418"/>
      <c r="HO128" s="418"/>
      <c r="HP128" s="418"/>
      <c r="HQ128" s="418"/>
      <c r="HR128" s="418"/>
      <c r="HS128" s="418"/>
      <c r="HT128" s="418"/>
      <c r="HU128" s="418"/>
      <c r="HV128" s="418"/>
      <c r="HW128" s="418"/>
      <c r="HX128" s="418"/>
      <c r="HY128" s="418"/>
      <c r="HZ128" s="418"/>
      <c r="IA128" s="418"/>
      <c r="IB128" s="418"/>
      <c r="IC128" s="418"/>
      <c r="ID128" s="418"/>
      <c r="IE128" s="418"/>
      <c r="IF128" s="418"/>
      <c r="IG128" s="418"/>
      <c r="IH128" s="418"/>
      <c r="II128" s="418"/>
      <c r="IJ128" s="418"/>
      <c r="IK128" s="418"/>
      <c r="IL128" s="418"/>
      <c r="IM128" s="418"/>
      <c r="IN128" s="418"/>
      <c r="IO128" s="418"/>
      <c r="IP128" s="418"/>
      <c r="IQ128" s="418"/>
      <c r="IR128" s="418"/>
      <c r="IS128" s="418"/>
      <c r="IT128" s="418"/>
      <c r="IU128" s="418"/>
      <c r="IV128" s="418"/>
      <c r="IW128" s="418"/>
      <c r="IX128" s="418"/>
      <c r="IY128" s="418"/>
      <c r="IZ128" s="418"/>
      <c r="JA128" s="418"/>
    </row>
    <row r="129" spans="1:261" s="758" customFormat="1" ht="18" customHeight="1" x14ac:dyDescent="0.35">
      <c r="A129" s="773">
        <v>119</v>
      </c>
      <c r="B129" s="766"/>
      <c r="C129" s="420"/>
      <c r="D129" s="576" t="s">
        <v>1158</v>
      </c>
      <c r="E129" s="430"/>
      <c r="F129" s="762"/>
      <c r="G129" s="431"/>
      <c r="H129" s="999"/>
      <c r="I129" s="1017"/>
      <c r="J129" s="1013"/>
      <c r="K129" s="759">
        <v>19255</v>
      </c>
      <c r="L129" s="1013"/>
      <c r="M129" s="1013"/>
      <c r="N129" s="1013"/>
      <c r="O129" s="767">
        <f>SUM(I129:N129)</f>
        <v>19255</v>
      </c>
      <c r="P129" s="763"/>
      <c r="Q129" s="418"/>
      <c r="R129" s="418"/>
      <c r="S129" s="418"/>
      <c r="T129" s="418"/>
      <c r="U129" s="418"/>
      <c r="V129" s="418"/>
      <c r="W129" s="418"/>
      <c r="X129" s="418"/>
      <c r="Y129" s="418"/>
      <c r="Z129" s="418"/>
      <c r="AA129" s="418"/>
      <c r="AB129" s="418"/>
      <c r="AC129" s="418"/>
      <c r="AD129" s="418"/>
      <c r="AE129" s="418"/>
      <c r="AF129" s="418"/>
      <c r="AG129" s="418"/>
      <c r="AH129" s="418"/>
      <c r="AI129" s="418"/>
      <c r="AJ129" s="418"/>
      <c r="AK129" s="418"/>
      <c r="AL129" s="418"/>
      <c r="AM129" s="418"/>
      <c r="AN129" s="418"/>
      <c r="AO129" s="418"/>
      <c r="AP129" s="418"/>
      <c r="AQ129" s="418"/>
      <c r="AR129" s="418"/>
      <c r="AS129" s="418"/>
      <c r="AT129" s="418"/>
      <c r="AU129" s="418"/>
      <c r="AV129" s="418"/>
      <c r="AW129" s="418"/>
      <c r="AX129" s="418"/>
      <c r="AY129" s="418"/>
      <c r="AZ129" s="418"/>
      <c r="BA129" s="418"/>
      <c r="BB129" s="418"/>
      <c r="BC129" s="418"/>
      <c r="BD129" s="418"/>
      <c r="BE129" s="418"/>
      <c r="BF129" s="418"/>
      <c r="BG129" s="418"/>
      <c r="BH129" s="418"/>
      <c r="BI129" s="418"/>
      <c r="BJ129" s="418"/>
      <c r="BK129" s="418"/>
      <c r="BL129" s="418"/>
      <c r="BM129" s="418"/>
      <c r="BN129" s="418"/>
      <c r="BO129" s="418"/>
      <c r="BP129" s="418"/>
      <c r="BQ129" s="418"/>
      <c r="BR129" s="418"/>
      <c r="BS129" s="418"/>
      <c r="BT129" s="418"/>
      <c r="BU129" s="418"/>
      <c r="BV129" s="418"/>
      <c r="BW129" s="418"/>
      <c r="BX129" s="418"/>
      <c r="BY129" s="418"/>
      <c r="BZ129" s="418"/>
      <c r="CA129" s="418"/>
      <c r="CB129" s="418"/>
      <c r="CC129" s="418"/>
      <c r="CD129" s="418"/>
      <c r="CE129" s="418"/>
      <c r="CF129" s="418"/>
      <c r="CG129" s="418"/>
      <c r="CH129" s="418"/>
      <c r="CI129" s="418"/>
      <c r="CJ129" s="418"/>
      <c r="CK129" s="418"/>
      <c r="CL129" s="418"/>
      <c r="CM129" s="418"/>
      <c r="CN129" s="418"/>
      <c r="CO129" s="418"/>
      <c r="CP129" s="418"/>
      <c r="CQ129" s="418"/>
      <c r="CR129" s="418"/>
      <c r="CS129" s="418"/>
      <c r="CT129" s="418"/>
      <c r="CU129" s="418"/>
      <c r="CV129" s="418"/>
      <c r="CW129" s="418"/>
      <c r="CX129" s="418"/>
      <c r="CY129" s="418"/>
      <c r="CZ129" s="418"/>
      <c r="DA129" s="418"/>
      <c r="DB129" s="418"/>
      <c r="DC129" s="418"/>
      <c r="DD129" s="418"/>
      <c r="DE129" s="418"/>
      <c r="DF129" s="418"/>
      <c r="DG129" s="418"/>
      <c r="DH129" s="418"/>
      <c r="DI129" s="418"/>
      <c r="DJ129" s="418"/>
      <c r="DK129" s="418"/>
      <c r="DL129" s="418"/>
      <c r="DM129" s="418"/>
      <c r="DN129" s="418"/>
      <c r="DO129" s="418"/>
      <c r="DP129" s="418"/>
      <c r="DQ129" s="418"/>
      <c r="DR129" s="418"/>
      <c r="DS129" s="418"/>
      <c r="DT129" s="418"/>
      <c r="DU129" s="418"/>
      <c r="DV129" s="418"/>
      <c r="DW129" s="418"/>
      <c r="DX129" s="418"/>
      <c r="DY129" s="418"/>
      <c r="DZ129" s="418"/>
      <c r="EA129" s="418"/>
      <c r="EB129" s="418"/>
      <c r="EC129" s="418"/>
      <c r="ED129" s="418"/>
      <c r="EE129" s="418"/>
      <c r="EF129" s="418"/>
      <c r="EG129" s="418"/>
      <c r="EH129" s="418"/>
      <c r="EI129" s="418"/>
      <c r="EJ129" s="418"/>
      <c r="EK129" s="418"/>
      <c r="EL129" s="418"/>
      <c r="EM129" s="418"/>
      <c r="EN129" s="418"/>
      <c r="EO129" s="418"/>
      <c r="EP129" s="418"/>
      <c r="EQ129" s="418"/>
      <c r="ER129" s="418"/>
      <c r="ES129" s="418"/>
      <c r="ET129" s="418"/>
      <c r="EU129" s="418"/>
      <c r="EV129" s="418"/>
      <c r="EW129" s="418"/>
      <c r="EX129" s="418"/>
      <c r="EY129" s="418"/>
      <c r="EZ129" s="418"/>
      <c r="FA129" s="418"/>
      <c r="FB129" s="418"/>
      <c r="FC129" s="418"/>
      <c r="FD129" s="418"/>
      <c r="FE129" s="418"/>
      <c r="FF129" s="418"/>
      <c r="FG129" s="418"/>
      <c r="FH129" s="418"/>
      <c r="FI129" s="418"/>
      <c r="FJ129" s="418"/>
      <c r="FK129" s="418"/>
      <c r="FL129" s="418"/>
      <c r="FM129" s="418"/>
      <c r="FN129" s="418"/>
      <c r="FO129" s="418"/>
      <c r="FP129" s="418"/>
      <c r="FQ129" s="418"/>
      <c r="FR129" s="418"/>
      <c r="FS129" s="418"/>
      <c r="FT129" s="418"/>
      <c r="FU129" s="418"/>
      <c r="FV129" s="418"/>
      <c r="FW129" s="418"/>
      <c r="FX129" s="418"/>
      <c r="FY129" s="418"/>
      <c r="FZ129" s="418"/>
      <c r="GA129" s="418"/>
      <c r="GB129" s="418"/>
      <c r="GC129" s="418"/>
      <c r="GD129" s="418"/>
      <c r="GE129" s="418"/>
      <c r="GF129" s="418"/>
      <c r="GG129" s="418"/>
      <c r="GH129" s="418"/>
      <c r="GI129" s="418"/>
      <c r="GJ129" s="418"/>
      <c r="GK129" s="418"/>
      <c r="GL129" s="418"/>
      <c r="GM129" s="418"/>
      <c r="GN129" s="418"/>
      <c r="GO129" s="418"/>
      <c r="GP129" s="418"/>
      <c r="GQ129" s="418"/>
      <c r="GR129" s="418"/>
      <c r="GS129" s="418"/>
      <c r="GT129" s="418"/>
      <c r="GU129" s="418"/>
      <c r="GV129" s="418"/>
      <c r="GW129" s="418"/>
      <c r="GX129" s="418"/>
      <c r="GY129" s="418"/>
      <c r="GZ129" s="418"/>
      <c r="HA129" s="418"/>
      <c r="HB129" s="418"/>
      <c r="HC129" s="418"/>
      <c r="HD129" s="418"/>
      <c r="HE129" s="418"/>
      <c r="HF129" s="418"/>
      <c r="HG129" s="418"/>
      <c r="HH129" s="418"/>
      <c r="HI129" s="418"/>
      <c r="HJ129" s="418"/>
      <c r="HK129" s="418"/>
      <c r="HL129" s="418"/>
      <c r="HM129" s="418"/>
      <c r="HN129" s="418"/>
      <c r="HO129" s="418"/>
      <c r="HP129" s="418"/>
      <c r="HQ129" s="418"/>
      <c r="HR129" s="418"/>
      <c r="HS129" s="418"/>
      <c r="HT129" s="418"/>
      <c r="HU129" s="418"/>
      <c r="HV129" s="418"/>
      <c r="HW129" s="418"/>
      <c r="HX129" s="418"/>
      <c r="HY129" s="418"/>
      <c r="HZ129" s="418"/>
      <c r="IA129" s="418"/>
      <c r="IB129" s="418"/>
      <c r="IC129" s="418"/>
      <c r="ID129" s="418"/>
      <c r="IE129" s="418"/>
      <c r="IF129" s="418"/>
      <c r="IG129" s="418"/>
      <c r="IH129" s="418"/>
      <c r="II129" s="418"/>
      <c r="IJ129" s="418"/>
      <c r="IK129" s="418"/>
      <c r="IL129" s="418"/>
      <c r="IM129" s="418"/>
      <c r="IN129" s="418"/>
      <c r="IO129" s="418"/>
      <c r="IP129" s="418"/>
      <c r="IQ129" s="418"/>
      <c r="IR129" s="418"/>
      <c r="IS129" s="418"/>
      <c r="IT129" s="418"/>
      <c r="IU129" s="418"/>
      <c r="IV129" s="418"/>
      <c r="IW129" s="418"/>
      <c r="IX129" s="418"/>
      <c r="IY129" s="418"/>
      <c r="IZ129" s="418"/>
      <c r="JA129" s="418"/>
    </row>
    <row r="130" spans="1:261" s="758" customFormat="1" ht="18" customHeight="1" x14ac:dyDescent="0.35">
      <c r="A130" s="773">
        <v>120</v>
      </c>
      <c r="B130" s="766"/>
      <c r="C130" s="420"/>
      <c r="D130" s="1318" t="s">
        <v>947</v>
      </c>
      <c r="E130" s="430"/>
      <c r="F130" s="762"/>
      <c r="G130" s="431"/>
      <c r="H130" s="999"/>
      <c r="I130" s="995"/>
      <c r="J130" s="759"/>
      <c r="K130" s="759"/>
      <c r="L130" s="759"/>
      <c r="M130" s="759"/>
      <c r="N130" s="759"/>
      <c r="O130" s="1599">
        <f>SUM(I130:N130)</f>
        <v>0</v>
      </c>
      <c r="P130" s="763"/>
      <c r="Q130" s="418"/>
      <c r="R130" s="418"/>
      <c r="S130" s="418"/>
      <c r="T130" s="418"/>
      <c r="U130" s="418"/>
      <c r="V130" s="418"/>
      <c r="W130" s="418"/>
      <c r="X130" s="418"/>
      <c r="Y130" s="418"/>
      <c r="Z130" s="418"/>
      <c r="AA130" s="418"/>
      <c r="AB130" s="418"/>
      <c r="AC130" s="418"/>
      <c r="AD130" s="418"/>
      <c r="AE130" s="418"/>
      <c r="AF130" s="418"/>
      <c r="AG130" s="418"/>
      <c r="AH130" s="418"/>
      <c r="AI130" s="418"/>
      <c r="AJ130" s="418"/>
      <c r="AK130" s="418"/>
      <c r="AL130" s="418"/>
      <c r="AM130" s="418"/>
      <c r="AN130" s="418"/>
      <c r="AO130" s="418"/>
      <c r="AP130" s="418"/>
      <c r="AQ130" s="418"/>
      <c r="AR130" s="418"/>
      <c r="AS130" s="418"/>
      <c r="AT130" s="418"/>
      <c r="AU130" s="418"/>
      <c r="AV130" s="418"/>
      <c r="AW130" s="418"/>
      <c r="AX130" s="418"/>
      <c r="AY130" s="418"/>
      <c r="AZ130" s="418"/>
      <c r="BA130" s="418"/>
      <c r="BB130" s="418"/>
      <c r="BC130" s="418"/>
      <c r="BD130" s="418"/>
      <c r="BE130" s="418"/>
      <c r="BF130" s="418"/>
      <c r="BG130" s="418"/>
      <c r="BH130" s="418"/>
      <c r="BI130" s="418"/>
      <c r="BJ130" s="418"/>
      <c r="BK130" s="418"/>
      <c r="BL130" s="418"/>
      <c r="BM130" s="418"/>
      <c r="BN130" s="418"/>
      <c r="BO130" s="418"/>
      <c r="BP130" s="418"/>
      <c r="BQ130" s="418"/>
      <c r="BR130" s="418"/>
      <c r="BS130" s="418"/>
      <c r="BT130" s="418"/>
      <c r="BU130" s="418"/>
      <c r="BV130" s="418"/>
      <c r="BW130" s="418"/>
      <c r="BX130" s="418"/>
      <c r="BY130" s="418"/>
      <c r="BZ130" s="418"/>
      <c r="CA130" s="418"/>
      <c r="CB130" s="418"/>
      <c r="CC130" s="418"/>
      <c r="CD130" s="418"/>
      <c r="CE130" s="418"/>
      <c r="CF130" s="418"/>
      <c r="CG130" s="418"/>
      <c r="CH130" s="418"/>
      <c r="CI130" s="418"/>
      <c r="CJ130" s="418"/>
      <c r="CK130" s="418"/>
      <c r="CL130" s="418"/>
      <c r="CM130" s="418"/>
      <c r="CN130" s="418"/>
      <c r="CO130" s="418"/>
      <c r="CP130" s="418"/>
      <c r="CQ130" s="418"/>
      <c r="CR130" s="418"/>
      <c r="CS130" s="418"/>
      <c r="CT130" s="418"/>
      <c r="CU130" s="418"/>
      <c r="CV130" s="418"/>
      <c r="CW130" s="418"/>
      <c r="CX130" s="418"/>
      <c r="CY130" s="418"/>
      <c r="CZ130" s="418"/>
      <c r="DA130" s="418"/>
      <c r="DB130" s="418"/>
      <c r="DC130" s="418"/>
      <c r="DD130" s="418"/>
      <c r="DE130" s="418"/>
      <c r="DF130" s="418"/>
      <c r="DG130" s="418"/>
      <c r="DH130" s="418"/>
      <c r="DI130" s="418"/>
      <c r="DJ130" s="418"/>
      <c r="DK130" s="418"/>
      <c r="DL130" s="418"/>
      <c r="DM130" s="418"/>
      <c r="DN130" s="418"/>
      <c r="DO130" s="418"/>
      <c r="DP130" s="418"/>
      <c r="DQ130" s="418"/>
      <c r="DR130" s="418"/>
      <c r="DS130" s="418"/>
      <c r="DT130" s="418"/>
      <c r="DU130" s="418"/>
      <c r="DV130" s="418"/>
      <c r="DW130" s="418"/>
      <c r="DX130" s="418"/>
      <c r="DY130" s="418"/>
      <c r="DZ130" s="418"/>
      <c r="EA130" s="418"/>
      <c r="EB130" s="418"/>
      <c r="EC130" s="418"/>
      <c r="ED130" s="418"/>
      <c r="EE130" s="418"/>
      <c r="EF130" s="418"/>
      <c r="EG130" s="418"/>
      <c r="EH130" s="418"/>
      <c r="EI130" s="418"/>
      <c r="EJ130" s="418"/>
      <c r="EK130" s="418"/>
      <c r="EL130" s="418"/>
      <c r="EM130" s="418"/>
      <c r="EN130" s="418"/>
      <c r="EO130" s="418"/>
      <c r="EP130" s="418"/>
      <c r="EQ130" s="418"/>
      <c r="ER130" s="418"/>
      <c r="ES130" s="418"/>
      <c r="ET130" s="418"/>
      <c r="EU130" s="418"/>
      <c r="EV130" s="418"/>
      <c r="EW130" s="418"/>
      <c r="EX130" s="418"/>
      <c r="EY130" s="418"/>
      <c r="EZ130" s="418"/>
      <c r="FA130" s="418"/>
      <c r="FB130" s="418"/>
      <c r="FC130" s="418"/>
      <c r="FD130" s="418"/>
      <c r="FE130" s="418"/>
      <c r="FF130" s="418"/>
      <c r="FG130" s="418"/>
      <c r="FH130" s="418"/>
      <c r="FI130" s="418"/>
      <c r="FJ130" s="418"/>
      <c r="FK130" s="418"/>
      <c r="FL130" s="418"/>
      <c r="FM130" s="418"/>
      <c r="FN130" s="418"/>
      <c r="FO130" s="418"/>
      <c r="FP130" s="418"/>
      <c r="FQ130" s="418"/>
      <c r="FR130" s="418"/>
      <c r="FS130" s="418"/>
      <c r="FT130" s="418"/>
      <c r="FU130" s="418"/>
      <c r="FV130" s="418"/>
      <c r="FW130" s="418"/>
      <c r="FX130" s="418"/>
      <c r="FY130" s="418"/>
      <c r="FZ130" s="418"/>
      <c r="GA130" s="418"/>
      <c r="GB130" s="418"/>
      <c r="GC130" s="418"/>
      <c r="GD130" s="418"/>
      <c r="GE130" s="418"/>
      <c r="GF130" s="418"/>
      <c r="GG130" s="418"/>
      <c r="GH130" s="418"/>
      <c r="GI130" s="418"/>
      <c r="GJ130" s="418"/>
      <c r="GK130" s="418"/>
      <c r="GL130" s="418"/>
      <c r="GM130" s="418"/>
      <c r="GN130" s="418"/>
      <c r="GO130" s="418"/>
      <c r="GP130" s="418"/>
      <c r="GQ130" s="418"/>
      <c r="GR130" s="418"/>
      <c r="GS130" s="418"/>
      <c r="GT130" s="418"/>
      <c r="GU130" s="418"/>
      <c r="GV130" s="418"/>
      <c r="GW130" s="418"/>
      <c r="GX130" s="418"/>
      <c r="GY130" s="418"/>
      <c r="GZ130" s="418"/>
      <c r="HA130" s="418"/>
      <c r="HB130" s="418"/>
      <c r="HC130" s="418"/>
      <c r="HD130" s="418"/>
      <c r="HE130" s="418"/>
      <c r="HF130" s="418"/>
      <c r="HG130" s="418"/>
      <c r="HH130" s="418"/>
      <c r="HI130" s="418"/>
      <c r="HJ130" s="418"/>
      <c r="HK130" s="418"/>
      <c r="HL130" s="418"/>
      <c r="HM130" s="418"/>
      <c r="HN130" s="418"/>
      <c r="HO130" s="418"/>
      <c r="HP130" s="418"/>
      <c r="HQ130" s="418"/>
      <c r="HR130" s="418"/>
      <c r="HS130" s="418"/>
      <c r="HT130" s="418"/>
      <c r="HU130" s="418"/>
      <c r="HV130" s="418"/>
      <c r="HW130" s="418"/>
      <c r="HX130" s="418"/>
      <c r="HY130" s="418"/>
      <c r="HZ130" s="418"/>
      <c r="IA130" s="418"/>
      <c r="IB130" s="418"/>
      <c r="IC130" s="418"/>
      <c r="ID130" s="418"/>
      <c r="IE130" s="418"/>
      <c r="IF130" s="418"/>
      <c r="IG130" s="418"/>
      <c r="IH130" s="418"/>
      <c r="II130" s="418"/>
      <c r="IJ130" s="418"/>
      <c r="IK130" s="418"/>
      <c r="IL130" s="418"/>
      <c r="IM130" s="418"/>
      <c r="IN130" s="418"/>
      <c r="IO130" s="418"/>
      <c r="IP130" s="418"/>
      <c r="IQ130" s="418"/>
      <c r="IR130" s="418"/>
      <c r="IS130" s="418"/>
      <c r="IT130" s="418"/>
      <c r="IU130" s="418"/>
      <c r="IV130" s="418"/>
      <c r="IW130" s="418"/>
      <c r="IX130" s="418"/>
      <c r="IY130" s="418"/>
      <c r="IZ130" s="418"/>
      <c r="JA130" s="418"/>
    </row>
    <row r="131" spans="1:261" s="758" customFormat="1" ht="18" customHeight="1" x14ac:dyDescent="0.35">
      <c r="A131" s="773">
        <v>121</v>
      </c>
      <c r="B131" s="766"/>
      <c r="C131" s="420"/>
      <c r="D131" s="576" t="s">
        <v>1250</v>
      </c>
      <c r="E131" s="430"/>
      <c r="F131" s="762"/>
      <c r="G131" s="431"/>
      <c r="H131" s="999"/>
      <c r="I131" s="995"/>
      <c r="J131" s="759"/>
      <c r="K131" s="759">
        <f>SUM(K129:K130)</f>
        <v>19255</v>
      </c>
      <c r="L131" s="759"/>
      <c r="M131" s="759"/>
      <c r="N131" s="759"/>
      <c r="O131" s="767">
        <f>SUM(I131:N131)</f>
        <v>19255</v>
      </c>
      <c r="P131" s="763"/>
      <c r="Q131" s="418"/>
      <c r="R131" s="418"/>
      <c r="S131" s="418"/>
      <c r="T131" s="418"/>
      <c r="U131" s="418"/>
      <c r="V131" s="418"/>
      <c r="W131" s="418"/>
      <c r="X131" s="418"/>
      <c r="Y131" s="418"/>
      <c r="Z131" s="418"/>
      <c r="AA131" s="418"/>
      <c r="AB131" s="418"/>
      <c r="AC131" s="418"/>
      <c r="AD131" s="418"/>
      <c r="AE131" s="418"/>
      <c r="AF131" s="418"/>
      <c r="AG131" s="418"/>
      <c r="AH131" s="418"/>
      <c r="AI131" s="418"/>
      <c r="AJ131" s="418"/>
      <c r="AK131" s="418"/>
      <c r="AL131" s="418"/>
      <c r="AM131" s="418"/>
      <c r="AN131" s="418"/>
      <c r="AO131" s="418"/>
      <c r="AP131" s="418"/>
      <c r="AQ131" s="418"/>
      <c r="AR131" s="418"/>
      <c r="AS131" s="418"/>
      <c r="AT131" s="418"/>
      <c r="AU131" s="418"/>
      <c r="AV131" s="418"/>
      <c r="AW131" s="418"/>
      <c r="AX131" s="418"/>
      <c r="AY131" s="418"/>
      <c r="AZ131" s="418"/>
      <c r="BA131" s="418"/>
      <c r="BB131" s="418"/>
      <c r="BC131" s="418"/>
      <c r="BD131" s="418"/>
      <c r="BE131" s="418"/>
      <c r="BF131" s="418"/>
      <c r="BG131" s="418"/>
      <c r="BH131" s="418"/>
      <c r="BI131" s="418"/>
      <c r="BJ131" s="418"/>
      <c r="BK131" s="418"/>
      <c r="BL131" s="418"/>
      <c r="BM131" s="418"/>
      <c r="BN131" s="418"/>
      <c r="BO131" s="418"/>
      <c r="BP131" s="418"/>
      <c r="BQ131" s="418"/>
      <c r="BR131" s="418"/>
      <c r="BS131" s="418"/>
      <c r="BT131" s="418"/>
      <c r="BU131" s="418"/>
      <c r="BV131" s="418"/>
      <c r="BW131" s="418"/>
      <c r="BX131" s="418"/>
      <c r="BY131" s="418"/>
      <c r="BZ131" s="418"/>
      <c r="CA131" s="418"/>
      <c r="CB131" s="418"/>
      <c r="CC131" s="418"/>
      <c r="CD131" s="418"/>
      <c r="CE131" s="418"/>
      <c r="CF131" s="418"/>
      <c r="CG131" s="418"/>
      <c r="CH131" s="418"/>
      <c r="CI131" s="418"/>
      <c r="CJ131" s="418"/>
      <c r="CK131" s="418"/>
      <c r="CL131" s="418"/>
      <c r="CM131" s="418"/>
      <c r="CN131" s="418"/>
      <c r="CO131" s="418"/>
      <c r="CP131" s="418"/>
      <c r="CQ131" s="418"/>
      <c r="CR131" s="418"/>
      <c r="CS131" s="418"/>
      <c r="CT131" s="418"/>
      <c r="CU131" s="418"/>
      <c r="CV131" s="418"/>
      <c r="CW131" s="418"/>
      <c r="CX131" s="418"/>
      <c r="CY131" s="418"/>
      <c r="CZ131" s="418"/>
      <c r="DA131" s="418"/>
      <c r="DB131" s="418"/>
      <c r="DC131" s="418"/>
      <c r="DD131" s="418"/>
      <c r="DE131" s="418"/>
      <c r="DF131" s="418"/>
      <c r="DG131" s="418"/>
      <c r="DH131" s="418"/>
      <c r="DI131" s="418"/>
      <c r="DJ131" s="418"/>
      <c r="DK131" s="418"/>
      <c r="DL131" s="418"/>
      <c r="DM131" s="418"/>
      <c r="DN131" s="418"/>
      <c r="DO131" s="418"/>
      <c r="DP131" s="418"/>
      <c r="DQ131" s="418"/>
      <c r="DR131" s="418"/>
      <c r="DS131" s="418"/>
      <c r="DT131" s="418"/>
      <c r="DU131" s="418"/>
      <c r="DV131" s="418"/>
      <c r="DW131" s="418"/>
      <c r="DX131" s="418"/>
      <c r="DY131" s="418"/>
      <c r="DZ131" s="418"/>
      <c r="EA131" s="418"/>
      <c r="EB131" s="418"/>
      <c r="EC131" s="418"/>
      <c r="ED131" s="418"/>
      <c r="EE131" s="418"/>
      <c r="EF131" s="418"/>
      <c r="EG131" s="418"/>
      <c r="EH131" s="418"/>
      <c r="EI131" s="418"/>
      <c r="EJ131" s="418"/>
      <c r="EK131" s="418"/>
      <c r="EL131" s="418"/>
      <c r="EM131" s="418"/>
      <c r="EN131" s="418"/>
      <c r="EO131" s="418"/>
      <c r="EP131" s="418"/>
      <c r="EQ131" s="418"/>
      <c r="ER131" s="418"/>
      <c r="ES131" s="418"/>
      <c r="ET131" s="418"/>
      <c r="EU131" s="418"/>
      <c r="EV131" s="418"/>
      <c r="EW131" s="418"/>
      <c r="EX131" s="418"/>
      <c r="EY131" s="418"/>
      <c r="EZ131" s="418"/>
      <c r="FA131" s="418"/>
      <c r="FB131" s="418"/>
      <c r="FC131" s="418"/>
      <c r="FD131" s="418"/>
      <c r="FE131" s="418"/>
      <c r="FF131" s="418"/>
      <c r="FG131" s="418"/>
      <c r="FH131" s="418"/>
      <c r="FI131" s="418"/>
      <c r="FJ131" s="418"/>
      <c r="FK131" s="418"/>
      <c r="FL131" s="418"/>
      <c r="FM131" s="418"/>
      <c r="FN131" s="418"/>
      <c r="FO131" s="418"/>
      <c r="FP131" s="418"/>
      <c r="FQ131" s="418"/>
      <c r="FR131" s="418"/>
      <c r="FS131" s="418"/>
      <c r="FT131" s="418"/>
      <c r="FU131" s="418"/>
      <c r="FV131" s="418"/>
      <c r="FW131" s="418"/>
      <c r="FX131" s="418"/>
      <c r="FY131" s="418"/>
      <c r="FZ131" s="418"/>
      <c r="GA131" s="418"/>
      <c r="GB131" s="418"/>
      <c r="GC131" s="418"/>
      <c r="GD131" s="418"/>
      <c r="GE131" s="418"/>
      <c r="GF131" s="418"/>
      <c r="GG131" s="418"/>
      <c r="GH131" s="418"/>
      <c r="GI131" s="418"/>
      <c r="GJ131" s="418"/>
      <c r="GK131" s="418"/>
      <c r="GL131" s="418"/>
      <c r="GM131" s="418"/>
      <c r="GN131" s="418"/>
      <c r="GO131" s="418"/>
      <c r="GP131" s="418"/>
      <c r="GQ131" s="418"/>
      <c r="GR131" s="418"/>
      <c r="GS131" s="418"/>
      <c r="GT131" s="418"/>
      <c r="GU131" s="418"/>
      <c r="GV131" s="418"/>
      <c r="GW131" s="418"/>
      <c r="GX131" s="418"/>
      <c r="GY131" s="418"/>
      <c r="GZ131" s="418"/>
      <c r="HA131" s="418"/>
      <c r="HB131" s="418"/>
      <c r="HC131" s="418"/>
      <c r="HD131" s="418"/>
      <c r="HE131" s="418"/>
      <c r="HF131" s="418"/>
      <c r="HG131" s="418"/>
      <c r="HH131" s="418"/>
      <c r="HI131" s="418"/>
      <c r="HJ131" s="418"/>
      <c r="HK131" s="418"/>
      <c r="HL131" s="418"/>
      <c r="HM131" s="418"/>
      <c r="HN131" s="418"/>
      <c r="HO131" s="418"/>
      <c r="HP131" s="418"/>
      <c r="HQ131" s="418"/>
      <c r="HR131" s="418"/>
      <c r="HS131" s="418"/>
      <c r="HT131" s="418"/>
      <c r="HU131" s="418"/>
      <c r="HV131" s="418"/>
      <c r="HW131" s="418"/>
      <c r="HX131" s="418"/>
      <c r="HY131" s="418"/>
      <c r="HZ131" s="418"/>
      <c r="IA131" s="418"/>
      <c r="IB131" s="418"/>
      <c r="IC131" s="418"/>
      <c r="ID131" s="418"/>
      <c r="IE131" s="418"/>
      <c r="IF131" s="418"/>
      <c r="IG131" s="418"/>
      <c r="IH131" s="418"/>
      <c r="II131" s="418"/>
      <c r="IJ131" s="418"/>
      <c r="IK131" s="418"/>
      <c r="IL131" s="418"/>
      <c r="IM131" s="418"/>
      <c r="IN131" s="418"/>
      <c r="IO131" s="418"/>
      <c r="IP131" s="418"/>
      <c r="IQ131" s="418"/>
      <c r="IR131" s="418"/>
      <c r="IS131" s="418"/>
      <c r="IT131" s="418"/>
      <c r="IU131" s="418"/>
      <c r="IV131" s="418"/>
      <c r="IW131" s="418"/>
      <c r="IX131" s="418"/>
      <c r="IY131" s="418"/>
      <c r="IZ131" s="418"/>
      <c r="JA131" s="418"/>
    </row>
    <row r="132" spans="1:261" ht="36" customHeight="1" x14ac:dyDescent="0.35">
      <c r="A132" s="773">
        <v>122</v>
      </c>
      <c r="B132" s="618"/>
      <c r="C132" s="420">
        <v>25</v>
      </c>
      <c r="D132" s="422" t="s">
        <v>537</v>
      </c>
      <c r="E132" s="430"/>
      <c r="F132" s="762"/>
      <c r="G132" s="431"/>
      <c r="H132" s="999" t="s">
        <v>24</v>
      </c>
      <c r="I132" s="1017"/>
      <c r="J132" s="1013"/>
      <c r="K132" s="1013"/>
      <c r="L132" s="1013"/>
      <c r="M132" s="1013"/>
      <c r="N132" s="1013"/>
      <c r="O132" s="982"/>
      <c r="P132" s="763"/>
    </row>
    <row r="133" spans="1:261" s="758" customFormat="1" ht="18" customHeight="1" x14ac:dyDescent="0.35">
      <c r="A133" s="773">
        <v>123</v>
      </c>
      <c r="B133" s="766"/>
      <c r="C133" s="420"/>
      <c r="D133" s="992" t="s">
        <v>308</v>
      </c>
      <c r="E133" s="430">
        <f>F133+G133+O136+P136+62</f>
        <v>51117</v>
      </c>
      <c r="F133" s="762">
        <v>1176</v>
      </c>
      <c r="G133" s="431">
        <f>23795+13</f>
        <v>23808</v>
      </c>
      <c r="H133" s="999"/>
      <c r="I133" s="1017"/>
      <c r="J133" s="1013"/>
      <c r="K133" s="1013">
        <f>15925+8079</f>
        <v>24004</v>
      </c>
      <c r="L133" s="1013"/>
      <c r="M133" s="1013"/>
      <c r="N133" s="1013"/>
      <c r="O133" s="982">
        <f>SUM(I133:N133)</f>
        <v>24004</v>
      </c>
      <c r="P133" s="763"/>
      <c r="Q133" s="418"/>
      <c r="R133" s="418"/>
      <c r="S133" s="418"/>
      <c r="T133" s="418"/>
      <c r="U133" s="418"/>
      <c r="V133" s="418"/>
      <c r="W133" s="418"/>
      <c r="X133" s="418"/>
      <c r="Y133" s="418"/>
      <c r="Z133" s="418"/>
      <c r="AA133" s="418"/>
      <c r="AB133" s="418"/>
      <c r="AC133" s="418"/>
      <c r="AD133" s="418"/>
      <c r="AE133" s="418"/>
      <c r="AF133" s="418"/>
      <c r="AG133" s="418"/>
      <c r="AH133" s="418"/>
      <c r="AI133" s="418"/>
      <c r="AJ133" s="418"/>
      <c r="AK133" s="418"/>
      <c r="AL133" s="418"/>
      <c r="AM133" s="418"/>
      <c r="AN133" s="418"/>
      <c r="AO133" s="418"/>
      <c r="AP133" s="418"/>
      <c r="AQ133" s="418"/>
      <c r="AR133" s="418"/>
      <c r="AS133" s="418"/>
      <c r="AT133" s="418"/>
      <c r="AU133" s="418"/>
      <c r="AV133" s="418"/>
      <c r="AW133" s="418"/>
      <c r="AX133" s="418"/>
      <c r="AY133" s="418"/>
      <c r="AZ133" s="418"/>
      <c r="BA133" s="418"/>
      <c r="BB133" s="418"/>
      <c r="BC133" s="418"/>
      <c r="BD133" s="418"/>
      <c r="BE133" s="418"/>
      <c r="BF133" s="418"/>
      <c r="BG133" s="418"/>
      <c r="BH133" s="418"/>
      <c r="BI133" s="418"/>
      <c r="BJ133" s="418"/>
      <c r="BK133" s="418"/>
      <c r="BL133" s="418"/>
      <c r="BM133" s="418"/>
      <c r="BN133" s="418"/>
      <c r="BO133" s="418"/>
      <c r="BP133" s="418"/>
      <c r="BQ133" s="418"/>
      <c r="BR133" s="418"/>
      <c r="BS133" s="418"/>
      <c r="BT133" s="418"/>
      <c r="BU133" s="418"/>
      <c r="BV133" s="418"/>
      <c r="BW133" s="418"/>
      <c r="BX133" s="418"/>
      <c r="BY133" s="418"/>
      <c r="BZ133" s="418"/>
      <c r="CA133" s="418"/>
      <c r="CB133" s="418"/>
      <c r="CC133" s="418"/>
      <c r="CD133" s="418"/>
      <c r="CE133" s="418"/>
      <c r="CF133" s="418"/>
      <c r="CG133" s="418"/>
      <c r="CH133" s="418"/>
      <c r="CI133" s="418"/>
      <c r="CJ133" s="418"/>
      <c r="CK133" s="418"/>
      <c r="CL133" s="418"/>
      <c r="CM133" s="418"/>
      <c r="CN133" s="418"/>
      <c r="CO133" s="418"/>
      <c r="CP133" s="418"/>
      <c r="CQ133" s="418"/>
      <c r="CR133" s="418"/>
      <c r="CS133" s="418"/>
      <c r="CT133" s="418"/>
      <c r="CU133" s="418"/>
      <c r="CV133" s="418"/>
      <c r="CW133" s="418"/>
      <c r="CX133" s="418"/>
      <c r="CY133" s="418"/>
      <c r="CZ133" s="418"/>
      <c r="DA133" s="418"/>
      <c r="DB133" s="418"/>
      <c r="DC133" s="418"/>
      <c r="DD133" s="418"/>
      <c r="DE133" s="418"/>
      <c r="DF133" s="418"/>
      <c r="DG133" s="418"/>
      <c r="DH133" s="418"/>
      <c r="DI133" s="418"/>
      <c r="DJ133" s="418"/>
      <c r="DK133" s="418"/>
      <c r="DL133" s="418"/>
      <c r="DM133" s="418"/>
      <c r="DN133" s="418"/>
      <c r="DO133" s="418"/>
      <c r="DP133" s="418"/>
      <c r="DQ133" s="418"/>
      <c r="DR133" s="418"/>
      <c r="DS133" s="418"/>
      <c r="DT133" s="418"/>
      <c r="DU133" s="418"/>
      <c r="DV133" s="418"/>
      <c r="DW133" s="418"/>
      <c r="DX133" s="418"/>
      <c r="DY133" s="418"/>
      <c r="DZ133" s="418"/>
      <c r="EA133" s="418"/>
      <c r="EB133" s="418"/>
      <c r="EC133" s="418"/>
      <c r="ED133" s="418"/>
      <c r="EE133" s="418"/>
      <c r="EF133" s="418"/>
      <c r="EG133" s="418"/>
      <c r="EH133" s="418"/>
      <c r="EI133" s="418"/>
      <c r="EJ133" s="418"/>
      <c r="EK133" s="418"/>
      <c r="EL133" s="418"/>
      <c r="EM133" s="418"/>
      <c r="EN133" s="418"/>
      <c r="EO133" s="418"/>
      <c r="EP133" s="418"/>
      <c r="EQ133" s="418"/>
      <c r="ER133" s="418"/>
      <c r="ES133" s="418"/>
      <c r="ET133" s="418"/>
      <c r="EU133" s="418"/>
      <c r="EV133" s="418"/>
      <c r="EW133" s="418"/>
      <c r="EX133" s="418"/>
      <c r="EY133" s="418"/>
      <c r="EZ133" s="418"/>
      <c r="FA133" s="418"/>
      <c r="FB133" s="418"/>
      <c r="FC133" s="418"/>
      <c r="FD133" s="418"/>
      <c r="FE133" s="418"/>
      <c r="FF133" s="418"/>
      <c r="FG133" s="418"/>
      <c r="FH133" s="418"/>
      <c r="FI133" s="418"/>
      <c r="FJ133" s="418"/>
      <c r="FK133" s="418"/>
      <c r="FL133" s="418"/>
      <c r="FM133" s="418"/>
      <c r="FN133" s="418"/>
      <c r="FO133" s="418"/>
      <c r="FP133" s="418"/>
      <c r="FQ133" s="418"/>
      <c r="FR133" s="418"/>
      <c r="FS133" s="418"/>
      <c r="FT133" s="418"/>
      <c r="FU133" s="418"/>
      <c r="FV133" s="418"/>
      <c r="FW133" s="418"/>
      <c r="FX133" s="418"/>
      <c r="FY133" s="418"/>
      <c r="FZ133" s="418"/>
      <c r="GA133" s="418"/>
      <c r="GB133" s="418"/>
      <c r="GC133" s="418"/>
      <c r="GD133" s="418"/>
      <c r="GE133" s="418"/>
      <c r="GF133" s="418"/>
      <c r="GG133" s="418"/>
      <c r="GH133" s="418"/>
      <c r="GI133" s="418"/>
      <c r="GJ133" s="418"/>
      <c r="GK133" s="418"/>
      <c r="GL133" s="418"/>
      <c r="GM133" s="418"/>
      <c r="GN133" s="418"/>
      <c r="GO133" s="418"/>
      <c r="GP133" s="418"/>
      <c r="GQ133" s="418"/>
      <c r="GR133" s="418"/>
      <c r="GS133" s="418"/>
      <c r="GT133" s="418"/>
      <c r="GU133" s="418"/>
      <c r="GV133" s="418"/>
      <c r="GW133" s="418"/>
      <c r="GX133" s="418"/>
      <c r="GY133" s="418"/>
      <c r="GZ133" s="418"/>
      <c r="HA133" s="418"/>
      <c r="HB133" s="418"/>
      <c r="HC133" s="418"/>
      <c r="HD133" s="418"/>
      <c r="HE133" s="418"/>
      <c r="HF133" s="418"/>
      <c r="HG133" s="418"/>
      <c r="HH133" s="418"/>
      <c r="HI133" s="418"/>
      <c r="HJ133" s="418"/>
      <c r="HK133" s="418"/>
      <c r="HL133" s="418"/>
      <c r="HM133" s="418"/>
      <c r="HN133" s="418"/>
      <c r="HO133" s="418"/>
      <c r="HP133" s="418"/>
      <c r="HQ133" s="418"/>
      <c r="HR133" s="418"/>
      <c r="HS133" s="418"/>
      <c r="HT133" s="418"/>
      <c r="HU133" s="418"/>
      <c r="HV133" s="418"/>
      <c r="HW133" s="418"/>
      <c r="HX133" s="418"/>
      <c r="HY133" s="418"/>
      <c r="HZ133" s="418"/>
      <c r="IA133" s="418"/>
      <c r="IB133" s="418"/>
      <c r="IC133" s="418"/>
      <c r="ID133" s="418"/>
      <c r="IE133" s="418"/>
      <c r="IF133" s="418"/>
      <c r="IG133" s="418"/>
      <c r="IH133" s="418"/>
      <c r="II133" s="418"/>
      <c r="IJ133" s="418"/>
      <c r="IK133" s="418"/>
      <c r="IL133" s="418"/>
      <c r="IM133" s="418"/>
      <c r="IN133" s="418"/>
      <c r="IO133" s="418"/>
      <c r="IP133" s="418"/>
      <c r="IQ133" s="418"/>
      <c r="IR133" s="418"/>
      <c r="IS133" s="418"/>
      <c r="IT133" s="418"/>
      <c r="IU133" s="418"/>
      <c r="IV133" s="418"/>
      <c r="IW133" s="418"/>
      <c r="IX133" s="418"/>
      <c r="IY133" s="418"/>
      <c r="IZ133" s="418"/>
      <c r="JA133" s="418"/>
    </row>
    <row r="134" spans="1:261" s="758" customFormat="1" ht="18" customHeight="1" x14ac:dyDescent="0.35">
      <c r="A134" s="773">
        <v>124</v>
      </c>
      <c r="B134" s="766"/>
      <c r="C134" s="420"/>
      <c r="D134" s="576" t="s">
        <v>1158</v>
      </c>
      <c r="E134" s="430"/>
      <c r="F134" s="762"/>
      <c r="G134" s="431"/>
      <c r="H134" s="999"/>
      <c r="I134" s="995">
        <v>744</v>
      </c>
      <c r="J134" s="759">
        <v>333</v>
      </c>
      <c r="K134" s="759">
        <v>7845</v>
      </c>
      <c r="L134" s="759">
        <v>15139</v>
      </c>
      <c r="M134" s="1013"/>
      <c r="N134" s="1013"/>
      <c r="O134" s="767">
        <f>SUM(I134:N134)</f>
        <v>24061</v>
      </c>
      <c r="P134" s="763"/>
      <c r="Q134" s="418"/>
      <c r="R134" s="418"/>
      <c r="S134" s="418"/>
      <c r="T134" s="418"/>
      <c r="U134" s="418"/>
      <c r="V134" s="418"/>
      <c r="W134" s="418"/>
      <c r="X134" s="418"/>
      <c r="Y134" s="418"/>
      <c r="Z134" s="418"/>
      <c r="AA134" s="418"/>
      <c r="AB134" s="418"/>
      <c r="AC134" s="418"/>
      <c r="AD134" s="418"/>
      <c r="AE134" s="418"/>
      <c r="AF134" s="418"/>
      <c r="AG134" s="418"/>
      <c r="AH134" s="418"/>
      <c r="AI134" s="418"/>
      <c r="AJ134" s="418"/>
      <c r="AK134" s="418"/>
      <c r="AL134" s="418"/>
      <c r="AM134" s="418"/>
      <c r="AN134" s="418"/>
      <c r="AO134" s="418"/>
      <c r="AP134" s="418"/>
      <c r="AQ134" s="418"/>
      <c r="AR134" s="418"/>
      <c r="AS134" s="418"/>
      <c r="AT134" s="418"/>
      <c r="AU134" s="418"/>
      <c r="AV134" s="418"/>
      <c r="AW134" s="418"/>
      <c r="AX134" s="418"/>
      <c r="AY134" s="418"/>
      <c r="AZ134" s="418"/>
      <c r="BA134" s="418"/>
      <c r="BB134" s="418"/>
      <c r="BC134" s="418"/>
      <c r="BD134" s="418"/>
      <c r="BE134" s="418"/>
      <c r="BF134" s="418"/>
      <c r="BG134" s="418"/>
      <c r="BH134" s="418"/>
      <c r="BI134" s="418"/>
      <c r="BJ134" s="418"/>
      <c r="BK134" s="418"/>
      <c r="BL134" s="418"/>
      <c r="BM134" s="418"/>
      <c r="BN134" s="418"/>
      <c r="BO134" s="418"/>
      <c r="BP134" s="418"/>
      <c r="BQ134" s="418"/>
      <c r="BR134" s="418"/>
      <c r="BS134" s="418"/>
      <c r="BT134" s="418"/>
      <c r="BU134" s="418"/>
      <c r="BV134" s="418"/>
      <c r="BW134" s="418"/>
      <c r="BX134" s="418"/>
      <c r="BY134" s="418"/>
      <c r="BZ134" s="418"/>
      <c r="CA134" s="418"/>
      <c r="CB134" s="418"/>
      <c r="CC134" s="418"/>
      <c r="CD134" s="418"/>
      <c r="CE134" s="418"/>
      <c r="CF134" s="418"/>
      <c r="CG134" s="418"/>
      <c r="CH134" s="418"/>
      <c r="CI134" s="418"/>
      <c r="CJ134" s="418"/>
      <c r="CK134" s="418"/>
      <c r="CL134" s="418"/>
      <c r="CM134" s="418"/>
      <c r="CN134" s="418"/>
      <c r="CO134" s="418"/>
      <c r="CP134" s="418"/>
      <c r="CQ134" s="418"/>
      <c r="CR134" s="418"/>
      <c r="CS134" s="418"/>
      <c r="CT134" s="418"/>
      <c r="CU134" s="418"/>
      <c r="CV134" s="418"/>
      <c r="CW134" s="418"/>
      <c r="CX134" s="418"/>
      <c r="CY134" s="418"/>
      <c r="CZ134" s="418"/>
      <c r="DA134" s="418"/>
      <c r="DB134" s="418"/>
      <c r="DC134" s="418"/>
      <c r="DD134" s="418"/>
      <c r="DE134" s="418"/>
      <c r="DF134" s="418"/>
      <c r="DG134" s="418"/>
      <c r="DH134" s="418"/>
      <c r="DI134" s="418"/>
      <c r="DJ134" s="418"/>
      <c r="DK134" s="418"/>
      <c r="DL134" s="418"/>
      <c r="DM134" s="418"/>
      <c r="DN134" s="418"/>
      <c r="DO134" s="418"/>
      <c r="DP134" s="418"/>
      <c r="DQ134" s="418"/>
      <c r="DR134" s="418"/>
      <c r="DS134" s="418"/>
      <c r="DT134" s="418"/>
      <c r="DU134" s="418"/>
      <c r="DV134" s="418"/>
      <c r="DW134" s="418"/>
      <c r="DX134" s="418"/>
      <c r="DY134" s="418"/>
      <c r="DZ134" s="418"/>
      <c r="EA134" s="418"/>
      <c r="EB134" s="418"/>
      <c r="EC134" s="418"/>
      <c r="ED134" s="418"/>
      <c r="EE134" s="418"/>
      <c r="EF134" s="418"/>
      <c r="EG134" s="418"/>
      <c r="EH134" s="418"/>
      <c r="EI134" s="418"/>
      <c r="EJ134" s="418"/>
      <c r="EK134" s="418"/>
      <c r="EL134" s="418"/>
      <c r="EM134" s="418"/>
      <c r="EN134" s="418"/>
      <c r="EO134" s="418"/>
      <c r="EP134" s="418"/>
      <c r="EQ134" s="418"/>
      <c r="ER134" s="418"/>
      <c r="ES134" s="418"/>
      <c r="ET134" s="418"/>
      <c r="EU134" s="418"/>
      <c r="EV134" s="418"/>
      <c r="EW134" s="418"/>
      <c r="EX134" s="418"/>
      <c r="EY134" s="418"/>
      <c r="EZ134" s="418"/>
      <c r="FA134" s="418"/>
      <c r="FB134" s="418"/>
      <c r="FC134" s="418"/>
      <c r="FD134" s="418"/>
      <c r="FE134" s="418"/>
      <c r="FF134" s="418"/>
      <c r="FG134" s="418"/>
      <c r="FH134" s="418"/>
      <c r="FI134" s="418"/>
      <c r="FJ134" s="418"/>
      <c r="FK134" s="418"/>
      <c r="FL134" s="418"/>
      <c r="FM134" s="418"/>
      <c r="FN134" s="418"/>
      <c r="FO134" s="418"/>
      <c r="FP134" s="418"/>
      <c r="FQ134" s="418"/>
      <c r="FR134" s="418"/>
      <c r="FS134" s="418"/>
      <c r="FT134" s="418"/>
      <c r="FU134" s="418"/>
      <c r="FV134" s="418"/>
      <c r="FW134" s="418"/>
      <c r="FX134" s="418"/>
      <c r="FY134" s="418"/>
      <c r="FZ134" s="418"/>
      <c r="GA134" s="418"/>
      <c r="GB134" s="418"/>
      <c r="GC134" s="418"/>
      <c r="GD134" s="418"/>
      <c r="GE134" s="418"/>
      <c r="GF134" s="418"/>
      <c r="GG134" s="418"/>
      <c r="GH134" s="418"/>
      <c r="GI134" s="418"/>
      <c r="GJ134" s="418"/>
      <c r="GK134" s="418"/>
      <c r="GL134" s="418"/>
      <c r="GM134" s="418"/>
      <c r="GN134" s="418"/>
      <c r="GO134" s="418"/>
      <c r="GP134" s="418"/>
      <c r="GQ134" s="418"/>
      <c r="GR134" s="418"/>
      <c r="GS134" s="418"/>
      <c r="GT134" s="418"/>
      <c r="GU134" s="418"/>
      <c r="GV134" s="418"/>
      <c r="GW134" s="418"/>
      <c r="GX134" s="418"/>
      <c r="GY134" s="418"/>
      <c r="GZ134" s="418"/>
      <c r="HA134" s="418"/>
      <c r="HB134" s="418"/>
      <c r="HC134" s="418"/>
      <c r="HD134" s="418"/>
      <c r="HE134" s="418"/>
      <c r="HF134" s="418"/>
      <c r="HG134" s="418"/>
      <c r="HH134" s="418"/>
      <c r="HI134" s="418"/>
      <c r="HJ134" s="418"/>
      <c r="HK134" s="418"/>
      <c r="HL134" s="418"/>
      <c r="HM134" s="418"/>
      <c r="HN134" s="418"/>
      <c r="HO134" s="418"/>
      <c r="HP134" s="418"/>
      <c r="HQ134" s="418"/>
      <c r="HR134" s="418"/>
      <c r="HS134" s="418"/>
      <c r="HT134" s="418"/>
      <c r="HU134" s="418"/>
      <c r="HV134" s="418"/>
      <c r="HW134" s="418"/>
      <c r="HX134" s="418"/>
      <c r="HY134" s="418"/>
      <c r="HZ134" s="418"/>
      <c r="IA134" s="418"/>
      <c r="IB134" s="418"/>
      <c r="IC134" s="418"/>
      <c r="ID134" s="418"/>
      <c r="IE134" s="418"/>
      <c r="IF134" s="418"/>
      <c r="IG134" s="418"/>
      <c r="IH134" s="418"/>
      <c r="II134" s="418"/>
      <c r="IJ134" s="418"/>
      <c r="IK134" s="418"/>
      <c r="IL134" s="418"/>
      <c r="IM134" s="418"/>
      <c r="IN134" s="418"/>
      <c r="IO134" s="418"/>
      <c r="IP134" s="418"/>
      <c r="IQ134" s="418"/>
      <c r="IR134" s="418"/>
      <c r="IS134" s="418"/>
      <c r="IT134" s="418"/>
      <c r="IU134" s="418"/>
      <c r="IV134" s="418"/>
      <c r="IW134" s="418"/>
      <c r="IX134" s="418"/>
      <c r="IY134" s="418"/>
      <c r="IZ134" s="418"/>
      <c r="JA134" s="418"/>
    </row>
    <row r="135" spans="1:261" s="758" customFormat="1" ht="18" customHeight="1" x14ac:dyDescent="0.35">
      <c r="A135" s="773">
        <v>125</v>
      </c>
      <c r="B135" s="766"/>
      <c r="C135" s="420"/>
      <c r="D135" s="1774" t="s">
        <v>1296</v>
      </c>
      <c r="E135" s="430"/>
      <c r="F135" s="762"/>
      <c r="G135" s="431"/>
      <c r="H135" s="999"/>
      <c r="I135" s="1775"/>
      <c r="J135" s="1771"/>
      <c r="K135" s="1771"/>
      <c r="L135" s="759">
        <v>2010</v>
      </c>
      <c r="M135" s="759"/>
      <c r="N135" s="759"/>
      <c r="O135" s="1599">
        <f>SUM(I135:N135)</f>
        <v>2010</v>
      </c>
      <c r="P135" s="763"/>
      <c r="Q135" s="418"/>
      <c r="R135" s="418"/>
      <c r="S135" s="418"/>
      <c r="T135" s="418"/>
      <c r="U135" s="418"/>
      <c r="V135" s="418"/>
      <c r="W135" s="418"/>
      <c r="X135" s="418"/>
      <c r="Y135" s="418"/>
      <c r="Z135" s="418"/>
      <c r="AA135" s="418"/>
      <c r="AB135" s="418"/>
      <c r="AC135" s="418"/>
      <c r="AD135" s="418"/>
      <c r="AE135" s="418"/>
      <c r="AF135" s="418"/>
      <c r="AG135" s="418"/>
      <c r="AH135" s="418"/>
      <c r="AI135" s="418"/>
      <c r="AJ135" s="418"/>
      <c r="AK135" s="418"/>
      <c r="AL135" s="418"/>
      <c r="AM135" s="418"/>
      <c r="AN135" s="418"/>
      <c r="AO135" s="418"/>
      <c r="AP135" s="418"/>
      <c r="AQ135" s="418"/>
      <c r="AR135" s="418"/>
      <c r="AS135" s="418"/>
      <c r="AT135" s="418"/>
      <c r="AU135" s="418"/>
      <c r="AV135" s="418"/>
      <c r="AW135" s="418"/>
      <c r="AX135" s="418"/>
      <c r="AY135" s="418"/>
      <c r="AZ135" s="418"/>
      <c r="BA135" s="418"/>
      <c r="BB135" s="418"/>
      <c r="BC135" s="418"/>
      <c r="BD135" s="418"/>
      <c r="BE135" s="418"/>
      <c r="BF135" s="418"/>
      <c r="BG135" s="418"/>
      <c r="BH135" s="418"/>
      <c r="BI135" s="418"/>
      <c r="BJ135" s="418"/>
      <c r="BK135" s="418"/>
      <c r="BL135" s="418"/>
      <c r="BM135" s="418"/>
      <c r="BN135" s="418"/>
      <c r="BO135" s="418"/>
      <c r="BP135" s="418"/>
      <c r="BQ135" s="418"/>
      <c r="BR135" s="418"/>
      <c r="BS135" s="418"/>
      <c r="BT135" s="418"/>
      <c r="BU135" s="418"/>
      <c r="BV135" s="418"/>
      <c r="BW135" s="418"/>
      <c r="BX135" s="418"/>
      <c r="BY135" s="418"/>
      <c r="BZ135" s="418"/>
      <c r="CA135" s="418"/>
      <c r="CB135" s="418"/>
      <c r="CC135" s="418"/>
      <c r="CD135" s="418"/>
      <c r="CE135" s="418"/>
      <c r="CF135" s="418"/>
      <c r="CG135" s="418"/>
      <c r="CH135" s="418"/>
      <c r="CI135" s="418"/>
      <c r="CJ135" s="418"/>
      <c r="CK135" s="418"/>
      <c r="CL135" s="418"/>
      <c r="CM135" s="418"/>
      <c r="CN135" s="418"/>
      <c r="CO135" s="418"/>
      <c r="CP135" s="418"/>
      <c r="CQ135" s="418"/>
      <c r="CR135" s="418"/>
      <c r="CS135" s="418"/>
      <c r="CT135" s="418"/>
      <c r="CU135" s="418"/>
      <c r="CV135" s="418"/>
      <c r="CW135" s="418"/>
      <c r="CX135" s="418"/>
      <c r="CY135" s="418"/>
      <c r="CZ135" s="418"/>
      <c r="DA135" s="418"/>
      <c r="DB135" s="418"/>
      <c r="DC135" s="418"/>
      <c r="DD135" s="418"/>
      <c r="DE135" s="418"/>
      <c r="DF135" s="418"/>
      <c r="DG135" s="418"/>
      <c r="DH135" s="418"/>
      <c r="DI135" s="418"/>
      <c r="DJ135" s="418"/>
      <c r="DK135" s="418"/>
      <c r="DL135" s="418"/>
      <c r="DM135" s="418"/>
      <c r="DN135" s="418"/>
      <c r="DO135" s="418"/>
      <c r="DP135" s="418"/>
      <c r="DQ135" s="418"/>
      <c r="DR135" s="418"/>
      <c r="DS135" s="418"/>
      <c r="DT135" s="418"/>
      <c r="DU135" s="418"/>
      <c r="DV135" s="418"/>
      <c r="DW135" s="418"/>
      <c r="DX135" s="418"/>
      <c r="DY135" s="418"/>
      <c r="DZ135" s="418"/>
      <c r="EA135" s="418"/>
      <c r="EB135" s="418"/>
      <c r="EC135" s="418"/>
      <c r="ED135" s="418"/>
      <c r="EE135" s="418"/>
      <c r="EF135" s="418"/>
      <c r="EG135" s="418"/>
      <c r="EH135" s="418"/>
      <c r="EI135" s="418"/>
      <c r="EJ135" s="418"/>
      <c r="EK135" s="418"/>
      <c r="EL135" s="418"/>
      <c r="EM135" s="418"/>
      <c r="EN135" s="418"/>
      <c r="EO135" s="418"/>
      <c r="EP135" s="418"/>
      <c r="EQ135" s="418"/>
      <c r="ER135" s="418"/>
      <c r="ES135" s="418"/>
      <c r="ET135" s="418"/>
      <c r="EU135" s="418"/>
      <c r="EV135" s="418"/>
      <c r="EW135" s="418"/>
      <c r="EX135" s="418"/>
      <c r="EY135" s="418"/>
      <c r="EZ135" s="418"/>
      <c r="FA135" s="418"/>
      <c r="FB135" s="418"/>
      <c r="FC135" s="418"/>
      <c r="FD135" s="418"/>
      <c r="FE135" s="418"/>
      <c r="FF135" s="418"/>
      <c r="FG135" s="418"/>
      <c r="FH135" s="418"/>
      <c r="FI135" s="418"/>
      <c r="FJ135" s="418"/>
      <c r="FK135" s="418"/>
      <c r="FL135" s="418"/>
      <c r="FM135" s="418"/>
      <c r="FN135" s="418"/>
      <c r="FO135" s="418"/>
      <c r="FP135" s="418"/>
      <c r="FQ135" s="418"/>
      <c r="FR135" s="418"/>
      <c r="FS135" s="418"/>
      <c r="FT135" s="418"/>
      <c r="FU135" s="418"/>
      <c r="FV135" s="418"/>
      <c r="FW135" s="418"/>
      <c r="FX135" s="418"/>
      <c r="FY135" s="418"/>
      <c r="FZ135" s="418"/>
      <c r="GA135" s="418"/>
      <c r="GB135" s="418"/>
      <c r="GC135" s="418"/>
      <c r="GD135" s="418"/>
      <c r="GE135" s="418"/>
      <c r="GF135" s="418"/>
      <c r="GG135" s="418"/>
      <c r="GH135" s="418"/>
      <c r="GI135" s="418"/>
      <c r="GJ135" s="418"/>
      <c r="GK135" s="418"/>
      <c r="GL135" s="418"/>
      <c r="GM135" s="418"/>
      <c r="GN135" s="418"/>
      <c r="GO135" s="418"/>
      <c r="GP135" s="418"/>
      <c r="GQ135" s="418"/>
      <c r="GR135" s="418"/>
      <c r="GS135" s="418"/>
      <c r="GT135" s="418"/>
      <c r="GU135" s="418"/>
      <c r="GV135" s="418"/>
      <c r="GW135" s="418"/>
      <c r="GX135" s="418"/>
      <c r="GY135" s="418"/>
      <c r="GZ135" s="418"/>
      <c r="HA135" s="418"/>
      <c r="HB135" s="418"/>
      <c r="HC135" s="418"/>
      <c r="HD135" s="418"/>
      <c r="HE135" s="418"/>
      <c r="HF135" s="418"/>
      <c r="HG135" s="418"/>
      <c r="HH135" s="418"/>
      <c r="HI135" s="418"/>
      <c r="HJ135" s="418"/>
      <c r="HK135" s="418"/>
      <c r="HL135" s="418"/>
      <c r="HM135" s="418"/>
      <c r="HN135" s="418"/>
      <c r="HO135" s="418"/>
      <c r="HP135" s="418"/>
      <c r="HQ135" s="418"/>
      <c r="HR135" s="418"/>
      <c r="HS135" s="418"/>
      <c r="HT135" s="418"/>
      <c r="HU135" s="418"/>
      <c r="HV135" s="418"/>
      <c r="HW135" s="418"/>
      <c r="HX135" s="418"/>
      <c r="HY135" s="418"/>
      <c r="HZ135" s="418"/>
      <c r="IA135" s="418"/>
      <c r="IB135" s="418"/>
      <c r="IC135" s="418"/>
      <c r="ID135" s="418"/>
      <c r="IE135" s="418"/>
      <c r="IF135" s="418"/>
      <c r="IG135" s="418"/>
      <c r="IH135" s="418"/>
      <c r="II135" s="418"/>
      <c r="IJ135" s="418"/>
      <c r="IK135" s="418"/>
      <c r="IL135" s="418"/>
      <c r="IM135" s="418"/>
      <c r="IN135" s="418"/>
      <c r="IO135" s="418"/>
      <c r="IP135" s="418"/>
      <c r="IQ135" s="418"/>
      <c r="IR135" s="418"/>
      <c r="IS135" s="418"/>
      <c r="IT135" s="418"/>
      <c r="IU135" s="418"/>
      <c r="IV135" s="418"/>
      <c r="IW135" s="418"/>
      <c r="IX135" s="418"/>
      <c r="IY135" s="418"/>
      <c r="IZ135" s="418"/>
      <c r="JA135" s="418"/>
    </row>
    <row r="136" spans="1:261" s="758" customFormat="1" ht="18" customHeight="1" x14ac:dyDescent="0.35">
      <c r="A136" s="773">
        <v>126</v>
      </c>
      <c r="B136" s="766"/>
      <c r="C136" s="420"/>
      <c r="D136" s="576" t="s">
        <v>1250</v>
      </c>
      <c r="E136" s="430"/>
      <c r="F136" s="762"/>
      <c r="G136" s="431"/>
      <c r="H136" s="999"/>
      <c r="I136" s="995">
        <f>SUM(I134:I135)</f>
        <v>744</v>
      </c>
      <c r="J136" s="995">
        <f>SUM(J134:J135)</f>
        <v>333</v>
      </c>
      <c r="K136" s="995">
        <f t="shared" ref="K136:L136" si="16">SUM(K134:K135)</f>
        <v>7845</v>
      </c>
      <c r="L136" s="995">
        <f t="shared" si="16"/>
        <v>17149</v>
      </c>
      <c r="M136" s="759"/>
      <c r="N136" s="759"/>
      <c r="O136" s="767">
        <f>SUM(I136:N136)</f>
        <v>26071</v>
      </c>
      <c r="P136" s="763"/>
      <c r="Q136" s="418"/>
      <c r="R136" s="418"/>
      <c r="S136" s="418"/>
      <c r="T136" s="418"/>
      <c r="U136" s="418"/>
      <c r="V136" s="418"/>
      <c r="W136" s="418"/>
      <c r="X136" s="418"/>
      <c r="Y136" s="418"/>
      <c r="Z136" s="418"/>
      <c r="AA136" s="418"/>
      <c r="AB136" s="418"/>
      <c r="AC136" s="418"/>
      <c r="AD136" s="418"/>
      <c r="AE136" s="418"/>
      <c r="AF136" s="418"/>
      <c r="AG136" s="418"/>
      <c r="AH136" s="418"/>
      <c r="AI136" s="418"/>
      <c r="AJ136" s="418"/>
      <c r="AK136" s="418"/>
      <c r="AL136" s="418"/>
      <c r="AM136" s="418"/>
      <c r="AN136" s="418"/>
      <c r="AO136" s="418"/>
      <c r="AP136" s="418"/>
      <c r="AQ136" s="418"/>
      <c r="AR136" s="418"/>
      <c r="AS136" s="418"/>
      <c r="AT136" s="418"/>
      <c r="AU136" s="418"/>
      <c r="AV136" s="418"/>
      <c r="AW136" s="418"/>
      <c r="AX136" s="418"/>
      <c r="AY136" s="418"/>
      <c r="AZ136" s="418"/>
      <c r="BA136" s="418"/>
      <c r="BB136" s="418"/>
      <c r="BC136" s="418"/>
      <c r="BD136" s="418"/>
      <c r="BE136" s="418"/>
      <c r="BF136" s="418"/>
      <c r="BG136" s="418"/>
      <c r="BH136" s="418"/>
      <c r="BI136" s="418"/>
      <c r="BJ136" s="418"/>
      <c r="BK136" s="418"/>
      <c r="BL136" s="418"/>
      <c r="BM136" s="418"/>
      <c r="BN136" s="418"/>
      <c r="BO136" s="418"/>
      <c r="BP136" s="418"/>
      <c r="BQ136" s="418"/>
      <c r="BR136" s="418"/>
      <c r="BS136" s="418"/>
      <c r="BT136" s="418"/>
      <c r="BU136" s="418"/>
      <c r="BV136" s="418"/>
      <c r="BW136" s="418"/>
      <c r="BX136" s="418"/>
      <c r="BY136" s="418"/>
      <c r="BZ136" s="418"/>
      <c r="CA136" s="418"/>
      <c r="CB136" s="418"/>
      <c r="CC136" s="418"/>
      <c r="CD136" s="418"/>
      <c r="CE136" s="418"/>
      <c r="CF136" s="418"/>
      <c r="CG136" s="418"/>
      <c r="CH136" s="418"/>
      <c r="CI136" s="418"/>
      <c r="CJ136" s="418"/>
      <c r="CK136" s="418"/>
      <c r="CL136" s="418"/>
      <c r="CM136" s="418"/>
      <c r="CN136" s="418"/>
      <c r="CO136" s="418"/>
      <c r="CP136" s="418"/>
      <c r="CQ136" s="418"/>
      <c r="CR136" s="418"/>
      <c r="CS136" s="418"/>
      <c r="CT136" s="418"/>
      <c r="CU136" s="418"/>
      <c r="CV136" s="418"/>
      <c r="CW136" s="418"/>
      <c r="CX136" s="418"/>
      <c r="CY136" s="418"/>
      <c r="CZ136" s="418"/>
      <c r="DA136" s="418"/>
      <c r="DB136" s="418"/>
      <c r="DC136" s="418"/>
      <c r="DD136" s="418"/>
      <c r="DE136" s="418"/>
      <c r="DF136" s="418"/>
      <c r="DG136" s="418"/>
      <c r="DH136" s="418"/>
      <c r="DI136" s="418"/>
      <c r="DJ136" s="418"/>
      <c r="DK136" s="418"/>
      <c r="DL136" s="418"/>
      <c r="DM136" s="418"/>
      <c r="DN136" s="418"/>
      <c r="DO136" s="418"/>
      <c r="DP136" s="418"/>
      <c r="DQ136" s="418"/>
      <c r="DR136" s="418"/>
      <c r="DS136" s="418"/>
      <c r="DT136" s="418"/>
      <c r="DU136" s="418"/>
      <c r="DV136" s="418"/>
      <c r="DW136" s="418"/>
      <c r="DX136" s="418"/>
      <c r="DY136" s="418"/>
      <c r="DZ136" s="418"/>
      <c r="EA136" s="418"/>
      <c r="EB136" s="418"/>
      <c r="EC136" s="418"/>
      <c r="ED136" s="418"/>
      <c r="EE136" s="418"/>
      <c r="EF136" s="418"/>
      <c r="EG136" s="418"/>
      <c r="EH136" s="418"/>
      <c r="EI136" s="418"/>
      <c r="EJ136" s="418"/>
      <c r="EK136" s="418"/>
      <c r="EL136" s="418"/>
      <c r="EM136" s="418"/>
      <c r="EN136" s="418"/>
      <c r="EO136" s="418"/>
      <c r="EP136" s="418"/>
      <c r="EQ136" s="418"/>
      <c r="ER136" s="418"/>
      <c r="ES136" s="418"/>
      <c r="ET136" s="418"/>
      <c r="EU136" s="418"/>
      <c r="EV136" s="418"/>
      <c r="EW136" s="418"/>
      <c r="EX136" s="418"/>
      <c r="EY136" s="418"/>
      <c r="EZ136" s="418"/>
      <c r="FA136" s="418"/>
      <c r="FB136" s="418"/>
      <c r="FC136" s="418"/>
      <c r="FD136" s="418"/>
      <c r="FE136" s="418"/>
      <c r="FF136" s="418"/>
      <c r="FG136" s="418"/>
      <c r="FH136" s="418"/>
      <c r="FI136" s="418"/>
      <c r="FJ136" s="418"/>
      <c r="FK136" s="418"/>
      <c r="FL136" s="418"/>
      <c r="FM136" s="418"/>
      <c r="FN136" s="418"/>
      <c r="FO136" s="418"/>
      <c r="FP136" s="418"/>
      <c r="FQ136" s="418"/>
      <c r="FR136" s="418"/>
      <c r="FS136" s="418"/>
      <c r="FT136" s="418"/>
      <c r="FU136" s="418"/>
      <c r="FV136" s="418"/>
      <c r="FW136" s="418"/>
      <c r="FX136" s="418"/>
      <c r="FY136" s="418"/>
      <c r="FZ136" s="418"/>
      <c r="GA136" s="418"/>
      <c r="GB136" s="418"/>
      <c r="GC136" s="418"/>
      <c r="GD136" s="418"/>
      <c r="GE136" s="418"/>
      <c r="GF136" s="418"/>
      <c r="GG136" s="418"/>
      <c r="GH136" s="418"/>
      <c r="GI136" s="418"/>
      <c r="GJ136" s="418"/>
      <c r="GK136" s="418"/>
      <c r="GL136" s="418"/>
      <c r="GM136" s="418"/>
      <c r="GN136" s="418"/>
      <c r="GO136" s="418"/>
      <c r="GP136" s="418"/>
      <c r="GQ136" s="418"/>
      <c r="GR136" s="418"/>
      <c r="GS136" s="418"/>
      <c r="GT136" s="418"/>
      <c r="GU136" s="418"/>
      <c r="GV136" s="418"/>
      <c r="GW136" s="418"/>
      <c r="GX136" s="418"/>
      <c r="GY136" s="418"/>
      <c r="GZ136" s="418"/>
      <c r="HA136" s="418"/>
      <c r="HB136" s="418"/>
      <c r="HC136" s="418"/>
      <c r="HD136" s="418"/>
      <c r="HE136" s="418"/>
      <c r="HF136" s="418"/>
      <c r="HG136" s="418"/>
      <c r="HH136" s="418"/>
      <c r="HI136" s="418"/>
      <c r="HJ136" s="418"/>
      <c r="HK136" s="418"/>
      <c r="HL136" s="418"/>
      <c r="HM136" s="418"/>
      <c r="HN136" s="418"/>
      <c r="HO136" s="418"/>
      <c r="HP136" s="418"/>
      <c r="HQ136" s="418"/>
      <c r="HR136" s="418"/>
      <c r="HS136" s="418"/>
      <c r="HT136" s="418"/>
      <c r="HU136" s="418"/>
      <c r="HV136" s="418"/>
      <c r="HW136" s="418"/>
      <c r="HX136" s="418"/>
      <c r="HY136" s="418"/>
      <c r="HZ136" s="418"/>
      <c r="IA136" s="418"/>
      <c r="IB136" s="418"/>
      <c r="IC136" s="418"/>
      <c r="ID136" s="418"/>
      <c r="IE136" s="418"/>
      <c r="IF136" s="418"/>
      <c r="IG136" s="418"/>
      <c r="IH136" s="418"/>
      <c r="II136" s="418"/>
      <c r="IJ136" s="418"/>
      <c r="IK136" s="418"/>
      <c r="IL136" s="418"/>
      <c r="IM136" s="418"/>
      <c r="IN136" s="418"/>
      <c r="IO136" s="418"/>
      <c r="IP136" s="418"/>
      <c r="IQ136" s="418"/>
      <c r="IR136" s="418"/>
      <c r="IS136" s="418"/>
      <c r="IT136" s="418"/>
      <c r="IU136" s="418"/>
      <c r="IV136" s="418"/>
      <c r="IW136" s="418"/>
      <c r="IX136" s="418"/>
      <c r="IY136" s="418"/>
      <c r="IZ136" s="418"/>
      <c r="JA136" s="418"/>
    </row>
    <row r="137" spans="1:261" ht="22.5" customHeight="1" x14ac:dyDescent="0.35">
      <c r="A137" s="773">
        <v>127</v>
      </c>
      <c r="B137" s="618"/>
      <c r="C137" s="464">
        <v>26</v>
      </c>
      <c r="D137" s="761" t="s">
        <v>671</v>
      </c>
      <c r="E137" s="430"/>
      <c r="F137" s="762"/>
      <c r="G137" s="431"/>
      <c r="H137" s="999" t="s">
        <v>24</v>
      </c>
      <c r="I137" s="1017"/>
      <c r="J137" s="1013"/>
      <c r="K137" s="1013"/>
      <c r="L137" s="1013"/>
      <c r="M137" s="1013"/>
      <c r="N137" s="1013"/>
      <c r="O137" s="982"/>
      <c r="P137" s="763"/>
    </row>
    <row r="138" spans="1:261" s="758" customFormat="1" ht="18" customHeight="1" x14ac:dyDescent="0.35">
      <c r="A138" s="773">
        <v>128</v>
      </c>
      <c r="B138" s="766"/>
      <c r="C138" s="420"/>
      <c r="D138" s="992" t="s">
        <v>308</v>
      </c>
      <c r="E138" s="430">
        <f>F138+G138+O141+P141</f>
        <v>9039</v>
      </c>
      <c r="F138" s="762">
        <v>7830</v>
      </c>
      <c r="G138" s="431">
        <v>186</v>
      </c>
      <c r="H138" s="999"/>
      <c r="I138" s="1018"/>
      <c r="J138" s="1012"/>
      <c r="K138" s="1012"/>
      <c r="L138" s="1012">
        <v>1023</v>
      </c>
      <c r="M138" s="1012"/>
      <c r="N138" s="1012"/>
      <c r="O138" s="982">
        <f>SUM(I138:N138)</f>
        <v>1023</v>
      </c>
      <c r="P138" s="763"/>
      <c r="Q138" s="418"/>
      <c r="R138" s="418"/>
      <c r="S138" s="418"/>
      <c r="T138" s="418"/>
      <c r="U138" s="418"/>
      <c r="V138" s="418"/>
      <c r="W138" s="418"/>
      <c r="X138" s="418"/>
      <c r="Y138" s="418"/>
      <c r="Z138" s="418"/>
      <c r="AA138" s="418"/>
      <c r="AB138" s="418"/>
      <c r="AC138" s="418"/>
      <c r="AD138" s="418"/>
      <c r="AE138" s="418"/>
      <c r="AF138" s="418"/>
      <c r="AG138" s="418"/>
      <c r="AH138" s="418"/>
      <c r="AI138" s="418"/>
      <c r="AJ138" s="418"/>
      <c r="AK138" s="418"/>
      <c r="AL138" s="418"/>
      <c r="AM138" s="418"/>
      <c r="AN138" s="418"/>
      <c r="AO138" s="418"/>
      <c r="AP138" s="418"/>
      <c r="AQ138" s="418"/>
      <c r="AR138" s="418"/>
      <c r="AS138" s="418"/>
      <c r="AT138" s="418"/>
      <c r="AU138" s="418"/>
      <c r="AV138" s="418"/>
      <c r="AW138" s="418"/>
      <c r="AX138" s="418"/>
      <c r="AY138" s="418"/>
      <c r="AZ138" s="418"/>
      <c r="BA138" s="418"/>
      <c r="BB138" s="418"/>
      <c r="BC138" s="418"/>
      <c r="BD138" s="418"/>
      <c r="BE138" s="418"/>
      <c r="BF138" s="418"/>
      <c r="BG138" s="418"/>
      <c r="BH138" s="418"/>
      <c r="BI138" s="418"/>
      <c r="BJ138" s="418"/>
      <c r="BK138" s="418"/>
      <c r="BL138" s="418"/>
      <c r="BM138" s="418"/>
      <c r="BN138" s="418"/>
      <c r="BO138" s="418"/>
      <c r="BP138" s="418"/>
      <c r="BQ138" s="418"/>
      <c r="BR138" s="418"/>
      <c r="BS138" s="418"/>
      <c r="BT138" s="418"/>
      <c r="BU138" s="418"/>
      <c r="BV138" s="418"/>
      <c r="BW138" s="418"/>
      <c r="BX138" s="418"/>
      <c r="BY138" s="418"/>
      <c r="BZ138" s="418"/>
      <c r="CA138" s="418"/>
      <c r="CB138" s="418"/>
      <c r="CC138" s="418"/>
      <c r="CD138" s="418"/>
      <c r="CE138" s="418"/>
      <c r="CF138" s="418"/>
      <c r="CG138" s="418"/>
      <c r="CH138" s="418"/>
      <c r="CI138" s="418"/>
      <c r="CJ138" s="418"/>
      <c r="CK138" s="418"/>
      <c r="CL138" s="418"/>
      <c r="CM138" s="418"/>
      <c r="CN138" s="418"/>
      <c r="CO138" s="418"/>
      <c r="CP138" s="418"/>
      <c r="CQ138" s="418"/>
      <c r="CR138" s="418"/>
      <c r="CS138" s="418"/>
      <c r="CT138" s="418"/>
      <c r="CU138" s="418"/>
      <c r="CV138" s="418"/>
      <c r="CW138" s="418"/>
      <c r="CX138" s="418"/>
      <c r="CY138" s="418"/>
      <c r="CZ138" s="418"/>
      <c r="DA138" s="418"/>
      <c r="DB138" s="418"/>
      <c r="DC138" s="418"/>
      <c r="DD138" s="418"/>
      <c r="DE138" s="418"/>
      <c r="DF138" s="418"/>
      <c r="DG138" s="418"/>
      <c r="DH138" s="418"/>
      <c r="DI138" s="418"/>
      <c r="DJ138" s="418"/>
      <c r="DK138" s="418"/>
      <c r="DL138" s="418"/>
      <c r="DM138" s="418"/>
      <c r="DN138" s="418"/>
      <c r="DO138" s="418"/>
      <c r="DP138" s="418"/>
      <c r="DQ138" s="418"/>
      <c r="DR138" s="418"/>
      <c r="DS138" s="418"/>
      <c r="DT138" s="418"/>
      <c r="DU138" s="418"/>
      <c r="DV138" s="418"/>
      <c r="DW138" s="418"/>
      <c r="DX138" s="418"/>
      <c r="DY138" s="418"/>
      <c r="DZ138" s="418"/>
      <c r="EA138" s="418"/>
      <c r="EB138" s="418"/>
      <c r="EC138" s="418"/>
      <c r="ED138" s="418"/>
      <c r="EE138" s="418"/>
      <c r="EF138" s="418"/>
      <c r="EG138" s="418"/>
      <c r="EH138" s="418"/>
      <c r="EI138" s="418"/>
      <c r="EJ138" s="418"/>
      <c r="EK138" s="418"/>
      <c r="EL138" s="418"/>
      <c r="EM138" s="418"/>
      <c r="EN138" s="418"/>
      <c r="EO138" s="418"/>
      <c r="EP138" s="418"/>
      <c r="EQ138" s="418"/>
      <c r="ER138" s="418"/>
      <c r="ES138" s="418"/>
      <c r="ET138" s="418"/>
      <c r="EU138" s="418"/>
      <c r="EV138" s="418"/>
      <c r="EW138" s="418"/>
      <c r="EX138" s="418"/>
      <c r="EY138" s="418"/>
      <c r="EZ138" s="418"/>
      <c r="FA138" s="418"/>
      <c r="FB138" s="418"/>
      <c r="FC138" s="418"/>
      <c r="FD138" s="418"/>
      <c r="FE138" s="418"/>
      <c r="FF138" s="418"/>
      <c r="FG138" s="418"/>
      <c r="FH138" s="418"/>
      <c r="FI138" s="418"/>
      <c r="FJ138" s="418"/>
      <c r="FK138" s="418"/>
      <c r="FL138" s="418"/>
      <c r="FM138" s="418"/>
      <c r="FN138" s="418"/>
      <c r="FO138" s="418"/>
      <c r="FP138" s="418"/>
      <c r="FQ138" s="418"/>
      <c r="FR138" s="418"/>
      <c r="FS138" s="418"/>
      <c r="FT138" s="418"/>
      <c r="FU138" s="418"/>
      <c r="FV138" s="418"/>
      <c r="FW138" s="418"/>
      <c r="FX138" s="418"/>
      <c r="FY138" s="418"/>
      <c r="FZ138" s="418"/>
      <c r="GA138" s="418"/>
      <c r="GB138" s="418"/>
      <c r="GC138" s="418"/>
      <c r="GD138" s="418"/>
      <c r="GE138" s="418"/>
      <c r="GF138" s="418"/>
      <c r="GG138" s="418"/>
      <c r="GH138" s="418"/>
      <c r="GI138" s="418"/>
      <c r="GJ138" s="418"/>
      <c r="GK138" s="418"/>
      <c r="GL138" s="418"/>
      <c r="GM138" s="418"/>
      <c r="GN138" s="418"/>
      <c r="GO138" s="418"/>
      <c r="GP138" s="418"/>
      <c r="GQ138" s="418"/>
      <c r="GR138" s="418"/>
      <c r="GS138" s="418"/>
      <c r="GT138" s="418"/>
      <c r="GU138" s="418"/>
      <c r="GV138" s="418"/>
      <c r="GW138" s="418"/>
      <c r="GX138" s="418"/>
      <c r="GY138" s="418"/>
      <c r="GZ138" s="418"/>
      <c r="HA138" s="418"/>
      <c r="HB138" s="418"/>
      <c r="HC138" s="418"/>
      <c r="HD138" s="418"/>
      <c r="HE138" s="418"/>
      <c r="HF138" s="418"/>
      <c r="HG138" s="418"/>
      <c r="HH138" s="418"/>
      <c r="HI138" s="418"/>
      <c r="HJ138" s="418"/>
      <c r="HK138" s="418"/>
      <c r="HL138" s="418"/>
      <c r="HM138" s="418"/>
      <c r="HN138" s="418"/>
      <c r="HO138" s="418"/>
      <c r="HP138" s="418"/>
      <c r="HQ138" s="418"/>
      <c r="HR138" s="418"/>
      <c r="HS138" s="418"/>
      <c r="HT138" s="418"/>
      <c r="HU138" s="418"/>
      <c r="HV138" s="418"/>
      <c r="HW138" s="418"/>
      <c r="HX138" s="418"/>
      <c r="HY138" s="418"/>
      <c r="HZ138" s="418"/>
      <c r="IA138" s="418"/>
      <c r="IB138" s="418"/>
      <c r="IC138" s="418"/>
      <c r="ID138" s="418"/>
      <c r="IE138" s="418"/>
      <c r="IF138" s="418"/>
      <c r="IG138" s="418"/>
      <c r="IH138" s="418"/>
      <c r="II138" s="418"/>
      <c r="IJ138" s="418"/>
      <c r="IK138" s="418"/>
      <c r="IL138" s="418"/>
      <c r="IM138" s="418"/>
      <c r="IN138" s="418"/>
      <c r="IO138" s="418"/>
      <c r="IP138" s="418"/>
      <c r="IQ138" s="418"/>
      <c r="IR138" s="418"/>
      <c r="IS138" s="418"/>
      <c r="IT138" s="418"/>
      <c r="IU138" s="418"/>
      <c r="IV138" s="418"/>
      <c r="IW138" s="418"/>
      <c r="IX138" s="418"/>
      <c r="IY138" s="418"/>
      <c r="IZ138" s="418"/>
      <c r="JA138" s="418"/>
    </row>
    <row r="139" spans="1:261" s="758" customFormat="1" ht="18" customHeight="1" x14ac:dyDescent="0.35">
      <c r="A139" s="773">
        <v>129</v>
      </c>
      <c r="B139" s="766"/>
      <c r="C139" s="420"/>
      <c r="D139" s="576" t="s">
        <v>1158</v>
      </c>
      <c r="E139" s="430"/>
      <c r="F139" s="762"/>
      <c r="G139" s="431"/>
      <c r="H139" s="999"/>
      <c r="I139" s="1018"/>
      <c r="J139" s="1012"/>
      <c r="K139" s="1012"/>
      <c r="L139" s="430">
        <v>1023</v>
      </c>
      <c r="M139" s="1012"/>
      <c r="N139" s="1012"/>
      <c r="O139" s="767">
        <f>SUM(I139:N139)</f>
        <v>1023</v>
      </c>
      <c r="P139" s="763"/>
      <c r="Q139" s="418"/>
      <c r="R139" s="418"/>
      <c r="S139" s="418"/>
      <c r="T139" s="418"/>
      <c r="U139" s="418"/>
      <c r="V139" s="418"/>
      <c r="W139" s="418"/>
      <c r="X139" s="418"/>
      <c r="Y139" s="418"/>
      <c r="Z139" s="418"/>
      <c r="AA139" s="418"/>
      <c r="AB139" s="418"/>
      <c r="AC139" s="418"/>
      <c r="AD139" s="418"/>
      <c r="AE139" s="418"/>
      <c r="AF139" s="418"/>
      <c r="AG139" s="418"/>
      <c r="AH139" s="418"/>
      <c r="AI139" s="418"/>
      <c r="AJ139" s="418"/>
      <c r="AK139" s="418"/>
      <c r="AL139" s="418"/>
      <c r="AM139" s="418"/>
      <c r="AN139" s="418"/>
      <c r="AO139" s="418"/>
      <c r="AP139" s="418"/>
      <c r="AQ139" s="418"/>
      <c r="AR139" s="418"/>
      <c r="AS139" s="418"/>
      <c r="AT139" s="418"/>
      <c r="AU139" s="418"/>
      <c r="AV139" s="418"/>
      <c r="AW139" s="418"/>
      <c r="AX139" s="418"/>
      <c r="AY139" s="418"/>
      <c r="AZ139" s="418"/>
      <c r="BA139" s="418"/>
      <c r="BB139" s="418"/>
      <c r="BC139" s="418"/>
      <c r="BD139" s="418"/>
      <c r="BE139" s="418"/>
      <c r="BF139" s="418"/>
      <c r="BG139" s="418"/>
      <c r="BH139" s="418"/>
      <c r="BI139" s="418"/>
      <c r="BJ139" s="418"/>
      <c r="BK139" s="418"/>
      <c r="BL139" s="418"/>
      <c r="BM139" s="418"/>
      <c r="BN139" s="418"/>
      <c r="BO139" s="418"/>
      <c r="BP139" s="418"/>
      <c r="BQ139" s="418"/>
      <c r="BR139" s="418"/>
      <c r="BS139" s="418"/>
      <c r="BT139" s="418"/>
      <c r="BU139" s="418"/>
      <c r="BV139" s="418"/>
      <c r="BW139" s="418"/>
      <c r="BX139" s="418"/>
      <c r="BY139" s="418"/>
      <c r="BZ139" s="418"/>
      <c r="CA139" s="418"/>
      <c r="CB139" s="418"/>
      <c r="CC139" s="418"/>
      <c r="CD139" s="418"/>
      <c r="CE139" s="418"/>
      <c r="CF139" s="418"/>
      <c r="CG139" s="418"/>
      <c r="CH139" s="418"/>
      <c r="CI139" s="418"/>
      <c r="CJ139" s="418"/>
      <c r="CK139" s="418"/>
      <c r="CL139" s="418"/>
      <c r="CM139" s="418"/>
      <c r="CN139" s="418"/>
      <c r="CO139" s="418"/>
      <c r="CP139" s="418"/>
      <c r="CQ139" s="418"/>
      <c r="CR139" s="418"/>
      <c r="CS139" s="418"/>
      <c r="CT139" s="418"/>
      <c r="CU139" s="418"/>
      <c r="CV139" s="418"/>
      <c r="CW139" s="418"/>
      <c r="CX139" s="418"/>
      <c r="CY139" s="418"/>
      <c r="CZ139" s="418"/>
      <c r="DA139" s="418"/>
      <c r="DB139" s="418"/>
      <c r="DC139" s="418"/>
      <c r="DD139" s="418"/>
      <c r="DE139" s="418"/>
      <c r="DF139" s="418"/>
      <c r="DG139" s="418"/>
      <c r="DH139" s="418"/>
      <c r="DI139" s="418"/>
      <c r="DJ139" s="418"/>
      <c r="DK139" s="418"/>
      <c r="DL139" s="418"/>
      <c r="DM139" s="418"/>
      <c r="DN139" s="418"/>
      <c r="DO139" s="418"/>
      <c r="DP139" s="418"/>
      <c r="DQ139" s="418"/>
      <c r="DR139" s="418"/>
      <c r="DS139" s="418"/>
      <c r="DT139" s="418"/>
      <c r="DU139" s="418"/>
      <c r="DV139" s="418"/>
      <c r="DW139" s="418"/>
      <c r="DX139" s="418"/>
      <c r="DY139" s="418"/>
      <c r="DZ139" s="418"/>
      <c r="EA139" s="418"/>
      <c r="EB139" s="418"/>
      <c r="EC139" s="418"/>
      <c r="ED139" s="418"/>
      <c r="EE139" s="418"/>
      <c r="EF139" s="418"/>
      <c r="EG139" s="418"/>
      <c r="EH139" s="418"/>
      <c r="EI139" s="418"/>
      <c r="EJ139" s="418"/>
      <c r="EK139" s="418"/>
      <c r="EL139" s="418"/>
      <c r="EM139" s="418"/>
      <c r="EN139" s="418"/>
      <c r="EO139" s="418"/>
      <c r="EP139" s="418"/>
      <c r="EQ139" s="418"/>
      <c r="ER139" s="418"/>
      <c r="ES139" s="418"/>
      <c r="ET139" s="418"/>
      <c r="EU139" s="418"/>
      <c r="EV139" s="418"/>
      <c r="EW139" s="418"/>
      <c r="EX139" s="418"/>
      <c r="EY139" s="418"/>
      <c r="EZ139" s="418"/>
      <c r="FA139" s="418"/>
      <c r="FB139" s="418"/>
      <c r="FC139" s="418"/>
      <c r="FD139" s="418"/>
      <c r="FE139" s="418"/>
      <c r="FF139" s="418"/>
      <c r="FG139" s="418"/>
      <c r="FH139" s="418"/>
      <c r="FI139" s="418"/>
      <c r="FJ139" s="418"/>
      <c r="FK139" s="418"/>
      <c r="FL139" s="418"/>
      <c r="FM139" s="418"/>
      <c r="FN139" s="418"/>
      <c r="FO139" s="418"/>
      <c r="FP139" s="418"/>
      <c r="FQ139" s="418"/>
      <c r="FR139" s="418"/>
      <c r="FS139" s="418"/>
      <c r="FT139" s="418"/>
      <c r="FU139" s="418"/>
      <c r="FV139" s="418"/>
      <c r="FW139" s="418"/>
      <c r="FX139" s="418"/>
      <c r="FY139" s="418"/>
      <c r="FZ139" s="418"/>
      <c r="GA139" s="418"/>
      <c r="GB139" s="418"/>
      <c r="GC139" s="418"/>
      <c r="GD139" s="418"/>
      <c r="GE139" s="418"/>
      <c r="GF139" s="418"/>
      <c r="GG139" s="418"/>
      <c r="GH139" s="418"/>
      <c r="GI139" s="418"/>
      <c r="GJ139" s="418"/>
      <c r="GK139" s="418"/>
      <c r="GL139" s="418"/>
      <c r="GM139" s="418"/>
      <c r="GN139" s="418"/>
      <c r="GO139" s="418"/>
      <c r="GP139" s="418"/>
      <c r="GQ139" s="418"/>
      <c r="GR139" s="418"/>
      <c r="GS139" s="418"/>
      <c r="GT139" s="418"/>
      <c r="GU139" s="418"/>
      <c r="GV139" s="418"/>
      <c r="GW139" s="418"/>
      <c r="GX139" s="418"/>
      <c r="GY139" s="418"/>
      <c r="GZ139" s="418"/>
      <c r="HA139" s="418"/>
      <c r="HB139" s="418"/>
      <c r="HC139" s="418"/>
      <c r="HD139" s="418"/>
      <c r="HE139" s="418"/>
      <c r="HF139" s="418"/>
      <c r="HG139" s="418"/>
      <c r="HH139" s="418"/>
      <c r="HI139" s="418"/>
      <c r="HJ139" s="418"/>
      <c r="HK139" s="418"/>
      <c r="HL139" s="418"/>
      <c r="HM139" s="418"/>
      <c r="HN139" s="418"/>
      <c r="HO139" s="418"/>
      <c r="HP139" s="418"/>
      <c r="HQ139" s="418"/>
      <c r="HR139" s="418"/>
      <c r="HS139" s="418"/>
      <c r="HT139" s="418"/>
      <c r="HU139" s="418"/>
      <c r="HV139" s="418"/>
      <c r="HW139" s="418"/>
      <c r="HX139" s="418"/>
      <c r="HY139" s="418"/>
      <c r="HZ139" s="418"/>
      <c r="IA139" s="418"/>
      <c r="IB139" s="418"/>
      <c r="IC139" s="418"/>
      <c r="ID139" s="418"/>
      <c r="IE139" s="418"/>
      <c r="IF139" s="418"/>
      <c r="IG139" s="418"/>
      <c r="IH139" s="418"/>
      <c r="II139" s="418"/>
      <c r="IJ139" s="418"/>
      <c r="IK139" s="418"/>
      <c r="IL139" s="418"/>
      <c r="IM139" s="418"/>
      <c r="IN139" s="418"/>
      <c r="IO139" s="418"/>
      <c r="IP139" s="418"/>
      <c r="IQ139" s="418"/>
      <c r="IR139" s="418"/>
      <c r="IS139" s="418"/>
      <c r="IT139" s="418"/>
      <c r="IU139" s="418"/>
      <c r="IV139" s="418"/>
      <c r="IW139" s="418"/>
      <c r="IX139" s="418"/>
      <c r="IY139" s="418"/>
      <c r="IZ139" s="418"/>
      <c r="JA139" s="418"/>
    </row>
    <row r="140" spans="1:261" s="758" customFormat="1" ht="18" customHeight="1" x14ac:dyDescent="0.35">
      <c r="A140" s="773">
        <v>130</v>
      </c>
      <c r="B140" s="766"/>
      <c r="C140" s="420"/>
      <c r="D140" s="1318" t="s">
        <v>947</v>
      </c>
      <c r="E140" s="430"/>
      <c r="F140" s="762"/>
      <c r="G140" s="431"/>
      <c r="H140" s="999"/>
      <c r="I140" s="997"/>
      <c r="J140" s="430"/>
      <c r="K140" s="430"/>
      <c r="L140" s="430"/>
      <c r="M140" s="430"/>
      <c r="N140" s="430"/>
      <c r="O140" s="1599">
        <f>SUM(I140:N140)</f>
        <v>0</v>
      </c>
      <c r="P140" s="763"/>
      <c r="Q140" s="418"/>
      <c r="R140" s="418"/>
      <c r="S140" s="418"/>
      <c r="T140" s="418"/>
      <c r="U140" s="418"/>
      <c r="V140" s="418"/>
      <c r="W140" s="418"/>
      <c r="X140" s="418"/>
      <c r="Y140" s="418"/>
      <c r="Z140" s="418"/>
      <c r="AA140" s="418"/>
      <c r="AB140" s="418"/>
      <c r="AC140" s="418"/>
      <c r="AD140" s="418"/>
      <c r="AE140" s="418"/>
      <c r="AF140" s="418"/>
      <c r="AG140" s="418"/>
      <c r="AH140" s="418"/>
      <c r="AI140" s="418"/>
      <c r="AJ140" s="418"/>
      <c r="AK140" s="418"/>
      <c r="AL140" s="418"/>
      <c r="AM140" s="418"/>
      <c r="AN140" s="418"/>
      <c r="AO140" s="418"/>
      <c r="AP140" s="418"/>
      <c r="AQ140" s="418"/>
      <c r="AR140" s="418"/>
      <c r="AS140" s="418"/>
      <c r="AT140" s="418"/>
      <c r="AU140" s="418"/>
      <c r="AV140" s="418"/>
      <c r="AW140" s="418"/>
      <c r="AX140" s="418"/>
      <c r="AY140" s="418"/>
      <c r="AZ140" s="418"/>
      <c r="BA140" s="418"/>
      <c r="BB140" s="418"/>
      <c r="BC140" s="418"/>
      <c r="BD140" s="418"/>
      <c r="BE140" s="418"/>
      <c r="BF140" s="418"/>
      <c r="BG140" s="418"/>
      <c r="BH140" s="418"/>
      <c r="BI140" s="418"/>
      <c r="BJ140" s="418"/>
      <c r="BK140" s="418"/>
      <c r="BL140" s="418"/>
      <c r="BM140" s="418"/>
      <c r="BN140" s="418"/>
      <c r="BO140" s="418"/>
      <c r="BP140" s="418"/>
      <c r="BQ140" s="418"/>
      <c r="BR140" s="418"/>
      <c r="BS140" s="418"/>
      <c r="BT140" s="418"/>
      <c r="BU140" s="418"/>
      <c r="BV140" s="418"/>
      <c r="BW140" s="418"/>
      <c r="BX140" s="418"/>
      <c r="BY140" s="418"/>
      <c r="BZ140" s="418"/>
      <c r="CA140" s="418"/>
      <c r="CB140" s="418"/>
      <c r="CC140" s="418"/>
      <c r="CD140" s="418"/>
      <c r="CE140" s="418"/>
      <c r="CF140" s="418"/>
      <c r="CG140" s="418"/>
      <c r="CH140" s="418"/>
      <c r="CI140" s="418"/>
      <c r="CJ140" s="418"/>
      <c r="CK140" s="418"/>
      <c r="CL140" s="418"/>
      <c r="CM140" s="418"/>
      <c r="CN140" s="418"/>
      <c r="CO140" s="418"/>
      <c r="CP140" s="418"/>
      <c r="CQ140" s="418"/>
      <c r="CR140" s="418"/>
      <c r="CS140" s="418"/>
      <c r="CT140" s="418"/>
      <c r="CU140" s="418"/>
      <c r="CV140" s="418"/>
      <c r="CW140" s="418"/>
      <c r="CX140" s="418"/>
      <c r="CY140" s="418"/>
      <c r="CZ140" s="418"/>
      <c r="DA140" s="418"/>
      <c r="DB140" s="418"/>
      <c r="DC140" s="418"/>
      <c r="DD140" s="418"/>
      <c r="DE140" s="418"/>
      <c r="DF140" s="418"/>
      <c r="DG140" s="418"/>
      <c r="DH140" s="418"/>
      <c r="DI140" s="418"/>
      <c r="DJ140" s="418"/>
      <c r="DK140" s="418"/>
      <c r="DL140" s="418"/>
      <c r="DM140" s="418"/>
      <c r="DN140" s="418"/>
      <c r="DO140" s="418"/>
      <c r="DP140" s="418"/>
      <c r="DQ140" s="418"/>
      <c r="DR140" s="418"/>
      <c r="DS140" s="418"/>
      <c r="DT140" s="418"/>
      <c r="DU140" s="418"/>
      <c r="DV140" s="418"/>
      <c r="DW140" s="418"/>
      <c r="DX140" s="418"/>
      <c r="DY140" s="418"/>
      <c r="DZ140" s="418"/>
      <c r="EA140" s="418"/>
      <c r="EB140" s="418"/>
      <c r="EC140" s="418"/>
      <c r="ED140" s="418"/>
      <c r="EE140" s="418"/>
      <c r="EF140" s="418"/>
      <c r="EG140" s="418"/>
      <c r="EH140" s="418"/>
      <c r="EI140" s="418"/>
      <c r="EJ140" s="418"/>
      <c r="EK140" s="418"/>
      <c r="EL140" s="418"/>
      <c r="EM140" s="418"/>
      <c r="EN140" s="418"/>
      <c r="EO140" s="418"/>
      <c r="EP140" s="418"/>
      <c r="EQ140" s="418"/>
      <c r="ER140" s="418"/>
      <c r="ES140" s="418"/>
      <c r="ET140" s="418"/>
      <c r="EU140" s="418"/>
      <c r="EV140" s="418"/>
      <c r="EW140" s="418"/>
      <c r="EX140" s="418"/>
      <c r="EY140" s="418"/>
      <c r="EZ140" s="418"/>
      <c r="FA140" s="418"/>
      <c r="FB140" s="418"/>
      <c r="FC140" s="418"/>
      <c r="FD140" s="418"/>
      <c r="FE140" s="418"/>
      <c r="FF140" s="418"/>
      <c r="FG140" s="418"/>
      <c r="FH140" s="418"/>
      <c r="FI140" s="418"/>
      <c r="FJ140" s="418"/>
      <c r="FK140" s="418"/>
      <c r="FL140" s="418"/>
      <c r="FM140" s="418"/>
      <c r="FN140" s="418"/>
      <c r="FO140" s="418"/>
      <c r="FP140" s="418"/>
      <c r="FQ140" s="418"/>
      <c r="FR140" s="418"/>
      <c r="FS140" s="418"/>
      <c r="FT140" s="418"/>
      <c r="FU140" s="418"/>
      <c r="FV140" s="418"/>
      <c r="FW140" s="418"/>
      <c r="FX140" s="418"/>
      <c r="FY140" s="418"/>
      <c r="FZ140" s="418"/>
      <c r="GA140" s="418"/>
      <c r="GB140" s="418"/>
      <c r="GC140" s="418"/>
      <c r="GD140" s="418"/>
      <c r="GE140" s="418"/>
      <c r="GF140" s="418"/>
      <c r="GG140" s="418"/>
      <c r="GH140" s="418"/>
      <c r="GI140" s="418"/>
      <c r="GJ140" s="418"/>
      <c r="GK140" s="418"/>
      <c r="GL140" s="418"/>
      <c r="GM140" s="418"/>
      <c r="GN140" s="418"/>
      <c r="GO140" s="418"/>
      <c r="GP140" s="418"/>
      <c r="GQ140" s="418"/>
      <c r="GR140" s="418"/>
      <c r="GS140" s="418"/>
      <c r="GT140" s="418"/>
      <c r="GU140" s="418"/>
      <c r="GV140" s="418"/>
      <c r="GW140" s="418"/>
      <c r="GX140" s="418"/>
      <c r="GY140" s="418"/>
      <c r="GZ140" s="418"/>
      <c r="HA140" s="418"/>
      <c r="HB140" s="418"/>
      <c r="HC140" s="418"/>
      <c r="HD140" s="418"/>
      <c r="HE140" s="418"/>
      <c r="HF140" s="418"/>
      <c r="HG140" s="418"/>
      <c r="HH140" s="418"/>
      <c r="HI140" s="418"/>
      <c r="HJ140" s="418"/>
      <c r="HK140" s="418"/>
      <c r="HL140" s="418"/>
      <c r="HM140" s="418"/>
      <c r="HN140" s="418"/>
      <c r="HO140" s="418"/>
      <c r="HP140" s="418"/>
      <c r="HQ140" s="418"/>
      <c r="HR140" s="418"/>
      <c r="HS140" s="418"/>
      <c r="HT140" s="418"/>
      <c r="HU140" s="418"/>
      <c r="HV140" s="418"/>
      <c r="HW140" s="418"/>
      <c r="HX140" s="418"/>
      <c r="HY140" s="418"/>
      <c r="HZ140" s="418"/>
      <c r="IA140" s="418"/>
      <c r="IB140" s="418"/>
      <c r="IC140" s="418"/>
      <c r="ID140" s="418"/>
      <c r="IE140" s="418"/>
      <c r="IF140" s="418"/>
      <c r="IG140" s="418"/>
      <c r="IH140" s="418"/>
      <c r="II140" s="418"/>
      <c r="IJ140" s="418"/>
      <c r="IK140" s="418"/>
      <c r="IL140" s="418"/>
      <c r="IM140" s="418"/>
      <c r="IN140" s="418"/>
      <c r="IO140" s="418"/>
      <c r="IP140" s="418"/>
      <c r="IQ140" s="418"/>
      <c r="IR140" s="418"/>
      <c r="IS140" s="418"/>
      <c r="IT140" s="418"/>
      <c r="IU140" s="418"/>
      <c r="IV140" s="418"/>
      <c r="IW140" s="418"/>
      <c r="IX140" s="418"/>
      <c r="IY140" s="418"/>
      <c r="IZ140" s="418"/>
      <c r="JA140" s="418"/>
    </row>
    <row r="141" spans="1:261" s="758" customFormat="1" ht="18" customHeight="1" x14ac:dyDescent="0.35">
      <c r="A141" s="773">
        <v>131</v>
      </c>
      <c r="B141" s="766"/>
      <c r="C141" s="420"/>
      <c r="D141" s="576" t="s">
        <v>1250</v>
      </c>
      <c r="E141" s="430"/>
      <c r="F141" s="762"/>
      <c r="G141" s="431"/>
      <c r="H141" s="999"/>
      <c r="I141" s="997"/>
      <c r="J141" s="430"/>
      <c r="K141" s="430"/>
      <c r="L141" s="430">
        <f>SUM(L139:L140)</f>
        <v>1023</v>
      </c>
      <c r="M141" s="430"/>
      <c r="N141" s="430"/>
      <c r="O141" s="767">
        <f>SUM(I141:N141)</f>
        <v>1023</v>
      </c>
      <c r="P141" s="763"/>
      <c r="Q141" s="418"/>
      <c r="R141" s="418"/>
      <c r="S141" s="418"/>
      <c r="T141" s="418"/>
      <c r="U141" s="418"/>
      <c r="V141" s="418"/>
      <c r="W141" s="418"/>
      <c r="X141" s="418"/>
      <c r="Y141" s="418"/>
      <c r="Z141" s="418"/>
      <c r="AA141" s="418"/>
      <c r="AB141" s="418"/>
      <c r="AC141" s="418"/>
      <c r="AD141" s="418"/>
      <c r="AE141" s="418"/>
      <c r="AF141" s="418"/>
      <c r="AG141" s="418"/>
      <c r="AH141" s="418"/>
      <c r="AI141" s="418"/>
      <c r="AJ141" s="418"/>
      <c r="AK141" s="418"/>
      <c r="AL141" s="418"/>
      <c r="AM141" s="418"/>
      <c r="AN141" s="418"/>
      <c r="AO141" s="418"/>
      <c r="AP141" s="418"/>
      <c r="AQ141" s="418"/>
      <c r="AR141" s="418"/>
      <c r="AS141" s="418"/>
      <c r="AT141" s="418"/>
      <c r="AU141" s="418"/>
      <c r="AV141" s="418"/>
      <c r="AW141" s="418"/>
      <c r="AX141" s="418"/>
      <c r="AY141" s="418"/>
      <c r="AZ141" s="418"/>
      <c r="BA141" s="418"/>
      <c r="BB141" s="418"/>
      <c r="BC141" s="418"/>
      <c r="BD141" s="418"/>
      <c r="BE141" s="418"/>
      <c r="BF141" s="418"/>
      <c r="BG141" s="418"/>
      <c r="BH141" s="418"/>
      <c r="BI141" s="418"/>
      <c r="BJ141" s="418"/>
      <c r="BK141" s="418"/>
      <c r="BL141" s="418"/>
      <c r="BM141" s="418"/>
      <c r="BN141" s="418"/>
      <c r="BO141" s="418"/>
      <c r="BP141" s="418"/>
      <c r="BQ141" s="418"/>
      <c r="BR141" s="418"/>
      <c r="BS141" s="418"/>
      <c r="BT141" s="418"/>
      <c r="BU141" s="418"/>
      <c r="BV141" s="418"/>
      <c r="BW141" s="418"/>
      <c r="BX141" s="418"/>
      <c r="BY141" s="418"/>
      <c r="BZ141" s="418"/>
      <c r="CA141" s="418"/>
      <c r="CB141" s="418"/>
      <c r="CC141" s="418"/>
      <c r="CD141" s="418"/>
      <c r="CE141" s="418"/>
      <c r="CF141" s="418"/>
      <c r="CG141" s="418"/>
      <c r="CH141" s="418"/>
      <c r="CI141" s="418"/>
      <c r="CJ141" s="418"/>
      <c r="CK141" s="418"/>
      <c r="CL141" s="418"/>
      <c r="CM141" s="418"/>
      <c r="CN141" s="418"/>
      <c r="CO141" s="418"/>
      <c r="CP141" s="418"/>
      <c r="CQ141" s="418"/>
      <c r="CR141" s="418"/>
      <c r="CS141" s="418"/>
      <c r="CT141" s="418"/>
      <c r="CU141" s="418"/>
      <c r="CV141" s="418"/>
      <c r="CW141" s="418"/>
      <c r="CX141" s="418"/>
      <c r="CY141" s="418"/>
      <c r="CZ141" s="418"/>
      <c r="DA141" s="418"/>
      <c r="DB141" s="418"/>
      <c r="DC141" s="418"/>
      <c r="DD141" s="418"/>
      <c r="DE141" s="418"/>
      <c r="DF141" s="418"/>
      <c r="DG141" s="418"/>
      <c r="DH141" s="418"/>
      <c r="DI141" s="418"/>
      <c r="DJ141" s="418"/>
      <c r="DK141" s="418"/>
      <c r="DL141" s="418"/>
      <c r="DM141" s="418"/>
      <c r="DN141" s="418"/>
      <c r="DO141" s="418"/>
      <c r="DP141" s="418"/>
      <c r="DQ141" s="418"/>
      <c r="DR141" s="418"/>
      <c r="DS141" s="418"/>
      <c r="DT141" s="418"/>
      <c r="DU141" s="418"/>
      <c r="DV141" s="418"/>
      <c r="DW141" s="418"/>
      <c r="DX141" s="418"/>
      <c r="DY141" s="418"/>
      <c r="DZ141" s="418"/>
      <c r="EA141" s="418"/>
      <c r="EB141" s="418"/>
      <c r="EC141" s="418"/>
      <c r="ED141" s="418"/>
      <c r="EE141" s="418"/>
      <c r="EF141" s="418"/>
      <c r="EG141" s="418"/>
      <c r="EH141" s="418"/>
      <c r="EI141" s="418"/>
      <c r="EJ141" s="418"/>
      <c r="EK141" s="418"/>
      <c r="EL141" s="418"/>
      <c r="EM141" s="418"/>
      <c r="EN141" s="418"/>
      <c r="EO141" s="418"/>
      <c r="EP141" s="418"/>
      <c r="EQ141" s="418"/>
      <c r="ER141" s="418"/>
      <c r="ES141" s="418"/>
      <c r="ET141" s="418"/>
      <c r="EU141" s="418"/>
      <c r="EV141" s="418"/>
      <c r="EW141" s="418"/>
      <c r="EX141" s="418"/>
      <c r="EY141" s="418"/>
      <c r="EZ141" s="418"/>
      <c r="FA141" s="418"/>
      <c r="FB141" s="418"/>
      <c r="FC141" s="418"/>
      <c r="FD141" s="418"/>
      <c r="FE141" s="418"/>
      <c r="FF141" s="418"/>
      <c r="FG141" s="418"/>
      <c r="FH141" s="418"/>
      <c r="FI141" s="418"/>
      <c r="FJ141" s="418"/>
      <c r="FK141" s="418"/>
      <c r="FL141" s="418"/>
      <c r="FM141" s="418"/>
      <c r="FN141" s="418"/>
      <c r="FO141" s="418"/>
      <c r="FP141" s="418"/>
      <c r="FQ141" s="418"/>
      <c r="FR141" s="418"/>
      <c r="FS141" s="418"/>
      <c r="FT141" s="418"/>
      <c r="FU141" s="418"/>
      <c r="FV141" s="418"/>
      <c r="FW141" s="418"/>
      <c r="FX141" s="418"/>
      <c r="FY141" s="418"/>
      <c r="FZ141" s="418"/>
      <c r="GA141" s="418"/>
      <c r="GB141" s="418"/>
      <c r="GC141" s="418"/>
      <c r="GD141" s="418"/>
      <c r="GE141" s="418"/>
      <c r="GF141" s="418"/>
      <c r="GG141" s="418"/>
      <c r="GH141" s="418"/>
      <c r="GI141" s="418"/>
      <c r="GJ141" s="418"/>
      <c r="GK141" s="418"/>
      <c r="GL141" s="418"/>
      <c r="GM141" s="418"/>
      <c r="GN141" s="418"/>
      <c r="GO141" s="418"/>
      <c r="GP141" s="418"/>
      <c r="GQ141" s="418"/>
      <c r="GR141" s="418"/>
      <c r="GS141" s="418"/>
      <c r="GT141" s="418"/>
      <c r="GU141" s="418"/>
      <c r="GV141" s="418"/>
      <c r="GW141" s="418"/>
      <c r="GX141" s="418"/>
      <c r="GY141" s="418"/>
      <c r="GZ141" s="418"/>
      <c r="HA141" s="418"/>
      <c r="HB141" s="418"/>
      <c r="HC141" s="418"/>
      <c r="HD141" s="418"/>
      <c r="HE141" s="418"/>
      <c r="HF141" s="418"/>
      <c r="HG141" s="418"/>
      <c r="HH141" s="418"/>
      <c r="HI141" s="418"/>
      <c r="HJ141" s="418"/>
      <c r="HK141" s="418"/>
      <c r="HL141" s="418"/>
      <c r="HM141" s="418"/>
      <c r="HN141" s="418"/>
      <c r="HO141" s="418"/>
      <c r="HP141" s="418"/>
      <c r="HQ141" s="418"/>
      <c r="HR141" s="418"/>
      <c r="HS141" s="418"/>
      <c r="HT141" s="418"/>
      <c r="HU141" s="418"/>
      <c r="HV141" s="418"/>
      <c r="HW141" s="418"/>
      <c r="HX141" s="418"/>
      <c r="HY141" s="418"/>
      <c r="HZ141" s="418"/>
      <c r="IA141" s="418"/>
      <c r="IB141" s="418"/>
      <c r="IC141" s="418"/>
      <c r="ID141" s="418"/>
      <c r="IE141" s="418"/>
      <c r="IF141" s="418"/>
      <c r="IG141" s="418"/>
      <c r="IH141" s="418"/>
      <c r="II141" s="418"/>
      <c r="IJ141" s="418"/>
      <c r="IK141" s="418"/>
      <c r="IL141" s="418"/>
      <c r="IM141" s="418"/>
      <c r="IN141" s="418"/>
      <c r="IO141" s="418"/>
      <c r="IP141" s="418"/>
      <c r="IQ141" s="418"/>
      <c r="IR141" s="418"/>
      <c r="IS141" s="418"/>
      <c r="IT141" s="418"/>
      <c r="IU141" s="418"/>
      <c r="IV141" s="418"/>
      <c r="IW141" s="418"/>
      <c r="IX141" s="418"/>
      <c r="IY141" s="418"/>
      <c r="IZ141" s="418"/>
      <c r="JA141" s="418"/>
    </row>
    <row r="142" spans="1:261" ht="22.5" customHeight="1" x14ac:dyDescent="0.35">
      <c r="A142" s="773">
        <v>132</v>
      </c>
      <c r="B142" s="618"/>
      <c r="C142" s="464">
        <v>27</v>
      </c>
      <c r="D142" s="769" t="s">
        <v>681</v>
      </c>
      <c r="E142" s="430"/>
      <c r="F142" s="430"/>
      <c r="G142" s="431"/>
      <c r="H142" s="999" t="s">
        <v>24</v>
      </c>
      <c r="I142" s="1018"/>
      <c r="J142" s="1012"/>
      <c r="K142" s="1012"/>
      <c r="L142" s="1012"/>
      <c r="M142" s="1012"/>
      <c r="N142" s="1012"/>
      <c r="O142" s="1019"/>
      <c r="P142" s="763"/>
    </row>
    <row r="143" spans="1:261" ht="18" customHeight="1" x14ac:dyDescent="0.35">
      <c r="A143" s="773">
        <v>133</v>
      </c>
      <c r="B143" s="618"/>
      <c r="C143" s="464"/>
      <c r="D143" s="992" t="s">
        <v>308</v>
      </c>
      <c r="E143" s="430">
        <f>F143+G143+O146+P146+2313</f>
        <v>28307</v>
      </c>
      <c r="F143" s="430"/>
      <c r="G143" s="431">
        <f>6715+1684</f>
        <v>8399</v>
      </c>
      <c r="H143" s="999"/>
      <c r="I143" s="1018">
        <v>254</v>
      </c>
      <c r="J143" s="1012">
        <v>96</v>
      </c>
      <c r="K143" s="1012">
        <f>18397+834</f>
        <v>19231</v>
      </c>
      <c r="L143" s="1012"/>
      <c r="M143" s="1012"/>
      <c r="N143" s="1012"/>
      <c r="O143" s="982">
        <f>SUM(I143:N143)</f>
        <v>19581</v>
      </c>
      <c r="P143" s="763"/>
    </row>
    <row r="144" spans="1:261" ht="18" customHeight="1" x14ac:dyDescent="0.35">
      <c r="A144" s="773">
        <v>134</v>
      </c>
      <c r="B144" s="618"/>
      <c r="C144" s="464"/>
      <c r="D144" s="576" t="s">
        <v>1158</v>
      </c>
      <c r="E144" s="430"/>
      <c r="F144" s="430"/>
      <c r="G144" s="431"/>
      <c r="H144" s="999"/>
      <c r="I144" s="997">
        <v>5052</v>
      </c>
      <c r="J144" s="430">
        <v>888</v>
      </c>
      <c r="K144" s="430">
        <v>11655</v>
      </c>
      <c r="L144" s="1012"/>
      <c r="M144" s="1012"/>
      <c r="N144" s="1012"/>
      <c r="O144" s="767">
        <f>SUM(I144:N144)</f>
        <v>17595</v>
      </c>
      <c r="P144" s="763"/>
    </row>
    <row r="145" spans="1:16" ht="18" customHeight="1" x14ac:dyDescent="0.35">
      <c r="A145" s="773">
        <v>135</v>
      </c>
      <c r="B145" s="618"/>
      <c r="C145" s="464"/>
      <c r="D145" s="1318" t="s">
        <v>970</v>
      </c>
      <c r="E145" s="430"/>
      <c r="F145" s="430"/>
      <c r="G145" s="431"/>
      <c r="H145" s="999"/>
      <c r="I145" s="1773">
        <v>127</v>
      </c>
      <c r="J145" s="1563"/>
      <c r="K145" s="1563">
        <v>-127</v>
      </c>
      <c r="L145" s="430"/>
      <c r="M145" s="430"/>
      <c r="N145" s="430"/>
      <c r="O145" s="1599">
        <f>SUM(I145:N145)</f>
        <v>0</v>
      </c>
      <c r="P145" s="763"/>
    </row>
    <row r="146" spans="1:16" ht="18" customHeight="1" x14ac:dyDescent="0.35">
      <c r="A146" s="773">
        <v>136</v>
      </c>
      <c r="B146" s="618"/>
      <c r="C146" s="464"/>
      <c r="D146" s="576" t="s">
        <v>1250</v>
      </c>
      <c r="E146" s="430"/>
      <c r="F146" s="430"/>
      <c r="G146" s="431"/>
      <c r="H146" s="999"/>
      <c r="I146" s="997">
        <f>SUM(I144:I145)</f>
        <v>5179</v>
      </c>
      <c r="J146" s="997">
        <f t="shared" ref="J146:K146" si="17">SUM(J144:J145)</f>
        <v>888</v>
      </c>
      <c r="K146" s="997">
        <f t="shared" si="17"/>
        <v>11528</v>
      </c>
      <c r="L146" s="430"/>
      <c r="M146" s="430"/>
      <c r="N146" s="430"/>
      <c r="O146" s="767">
        <f>SUM(I146:N146)</f>
        <v>17595</v>
      </c>
      <c r="P146" s="763"/>
    </row>
    <row r="147" spans="1:16" ht="22.5" customHeight="1" x14ac:dyDescent="0.35">
      <c r="A147" s="773">
        <v>137</v>
      </c>
      <c r="B147" s="618"/>
      <c r="C147" s="464">
        <v>28</v>
      </c>
      <c r="D147" s="769" t="s">
        <v>682</v>
      </c>
      <c r="E147" s="430"/>
      <c r="F147" s="430"/>
      <c r="G147" s="431"/>
      <c r="H147" s="999" t="s">
        <v>24</v>
      </c>
      <c r="I147" s="1018"/>
      <c r="J147" s="1012"/>
      <c r="K147" s="1012"/>
      <c r="L147" s="1012"/>
      <c r="M147" s="1012"/>
      <c r="N147" s="1012"/>
      <c r="O147" s="1019"/>
      <c r="P147" s="763"/>
    </row>
    <row r="148" spans="1:16" ht="18" customHeight="1" x14ac:dyDescent="0.35">
      <c r="A148" s="773">
        <v>138</v>
      </c>
      <c r="B148" s="618"/>
      <c r="C148" s="464"/>
      <c r="D148" s="992" t="s">
        <v>308</v>
      </c>
      <c r="E148" s="430">
        <f>F148+G148+O151+P148</f>
        <v>0</v>
      </c>
      <c r="F148" s="430"/>
      <c r="G148" s="431"/>
      <c r="H148" s="999"/>
      <c r="I148" s="1018"/>
      <c r="J148" s="1012"/>
      <c r="K148" s="1012">
        <v>13749</v>
      </c>
      <c r="L148" s="1012"/>
      <c r="M148" s="1012"/>
      <c r="N148" s="1012"/>
      <c r="O148" s="982">
        <f>SUM(I148:N148)</f>
        <v>13749</v>
      </c>
      <c r="P148" s="763">
        <f>39409-39409</f>
        <v>0</v>
      </c>
    </row>
    <row r="149" spans="1:16" ht="18" customHeight="1" x14ac:dyDescent="0.35">
      <c r="A149" s="773">
        <v>139</v>
      </c>
      <c r="B149" s="618"/>
      <c r="C149" s="464"/>
      <c r="D149" s="576" t="s">
        <v>1158</v>
      </c>
      <c r="E149" s="430"/>
      <c r="F149" s="430"/>
      <c r="G149" s="431"/>
      <c r="H149" s="999"/>
      <c r="I149" s="1018"/>
      <c r="J149" s="1012"/>
      <c r="K149" s="430">
        <v>0</v>
      </c>
      <c r="L149" s="1012"/>
      <c r="M149" s="1012"/>
      <c r="N149" s="1012"/>
      <c r="O149" s="767">
        <f>SUM(I149:N149)</f>
        <v>0</v>
      </c>
      <c r="P149" s="763"/>
    </row>
    <row r="150" spans="1:16" ht="18" customHeight="1" x14ac:dyDescent="0.35">
      <c r="A150" s="773">
        <v>140</v>
      </c>
      <c r="B150" s="618"/>
      <c r="C150" s="464"/>
      <c r="D150" s="1318" t="s">
        <v>947</v>
      </c>
      <c r="E150" s="430"/>
      <c r="F150" s="430"/>
      <c r="G150" s="431"/>
      <c r="H150" s="999"/>
      <c r="I150" s="997"/>
      <c r="J150" s="430"/>
      <c r="K150" s="1563"/>
      <c r="L150" s="430"/>
      <c r="M150" s="430"/>
      <c r="N150" s="430"/>
      <c r="O150" s="1599">
        <f>SUM(I150:N150)</f>
        <v>0</v>
      </c>
      <c r="P150" s="763"/>
    </row>
    <row r="151" spans="1:16" ht="18" customHeight="1" x14ac:dyDescent="0.35">
      <c r="A151" s="773">
        <v>141</v>
      </c>
      <c r="B151" s="618"/>
      <c r="C151" s="464"/>
      <c r="D151" s="576" t="s">
        <v>1250</v>
      </c>
      <c r="E151" s="430"/>
      <c r="F151" s="430"/>
      <c r="G151" s="431"/>
      <c r="H151" s="999"/>
      <c r="I151" s="997"/>
      <c r="J151" s="430"/>
      <c r="K151" s="430">
        <f>SUM(K149:K150)</f>
        <v>0</v>
      </c>
      <c r="L151" s="430"/>
      <c r="M151" s="430"/>
      <c r="N151" s="430"/>
      <c r="O151" s="767">
        <f>SUM(I151:N151)</f>
        <v>0</v>
      </c>
      <c r="P151" s="763"/>
    </row>
    <row r="152" spans="1:16" ht="22.5" customHeight="1" x14ac:dyDescent="0.35">
      <c r="A152" s="773">
        <v>142</v>
      </c>
      <c r="B152" s="618"/>
      <c r="C152" s="464">
        <v>29</v>
      </c>
      <c r="D152" s="769" t="s">
        <v>683</v>
      </c>
      <c r="E152" s="430"/>
      <c r="F152" s="430"/>
      <c r="G152" s="431"/>
      <c r="H152" s="999" t="s">
        <v>24</v>
      </c>
      <c r="I152" s="1018"/>
      <c r="J152" s="1012"/>
      <c r="K152" s="1012"/>
      <c r="L152" s="1012"/>
      <c r="M152" s="1012"/>
      <c r="N152" s="1012"/>
      <c r="O152" s="1019"/>
      <c r="P152" s="763"/>
    </row>
    <row r="153" spans="1:16" ht="18" customHeight="1" x14ac:dyDescent="0.35">
      <c r="A153" s="773">
        <v>143</v>
      </c>
      <c r="B153" s="618"/>
      <c r="C153" s="464"/>
      <c r="D153" s="992" t="s">
        <v>308</v>
      </c>
      <c r="E153" s="430">
        <f>F153+G153+O156+P153</f>
        <v>3071</v>
      </c>
      <c r="F153" s="430"/>
      <c r="G153" s="431"/>
      <c r="H153" s="999"/>
      <c r="I153" s="1018"/>
      <c r="J153" s="1012"/>
      <c r="K153" s="1012">
        <v>3071</v>
      </c>
      <c r="L153" s="1012"/>
      <c r="M153" s="1012"/>
      <c r="N153" s="1012"/>
      <c r="O153" s="982">
        <f>SUM(I153:N153)</f>
        <v>3071</v>
      </c>
      <c r="P153" s="763"/>
    </row>
    <row r="154" spans="1:16" ht="18" customHeight="1" x14ac:dyDescent="0.35">
      <c r="A154" s="773">
        <v>144</v>
      </c>
      <c r="B154" s="618"/>
      <c r="C154" s="464"/>
      <c r="D154" s="576" t="s">
        <v>1158</v>
      </c>
      <c r="E154" s="430"/>
      <c r="F154" s="430"/>
      <c r="G154" s="431"/>
      <c r="H154" s="999"/>
      <c r="I154" s="1018"/>
      <c r="J154" s="1012"/>
      <c r="K154" s="430">
        <v>3071</v>
      </c>
      <c r="L154" s="1012"/>
      <c r="M154" s="1012"/>
      <c r="N154" s="1012"/>
      <c r="O154" s="767">
        <f>SUM(I154:N154)</f>
        <v>3071</v>
      </c>
      <c r="P154" s="763"/>
    </row>
    <row r="155" spans="1:16" ht="18" customHeight="1" x14ac:dyDescent="0.35">
      <c r="A155" s="773">
        <v>145</v>
      </c>
      <c r="B155" s="618"/>
      <c r="C155" s="464"/>
      <c r="D155" s="1318" t="s">
        <v>947</v>
      </c>
      <c r="E155" s="430"/>
      <c r="F155" s="430"/>
      <c r="G155" s="431"/>
      <c r="H155" s="999"/>
      <c r="I155" s="997"/>
      <c r="J155" s="430"/>
      <c r="K155" s="430"/>
      <c r="L155" s="430"/>
      <c r="M155" s="430"/>
      <c r="N155" s="430"/>
      <c r="O155" s="1599">
        <f>SUM(I155:N155)</f>
        <v>0</v>
      </c>
      <c r="P155" s="763"/>
    </row>
    <row r="156" spans="1:16" ht="18" customHeight="1" x14ac:dyDescent="0.35">
      <c r="A156" s="773">
        <v>146</v>
      </c>
      <c r="B156" s="618"/>
      <c r="C156" s="464"/>
      <c r="D156" s="576" t="s">
        <v>1250</v>
      </c>
      <c r="E156" s="430"/>
      <c r="F156" s="430"/>
      <c r="G156" s="431"/>
      <c r="H156" s="999"/>
      <c r="I156" s="997"/>
      <c r="J156" s="430"/>
      <c r="K156" s="430">
        <f>SUM(K154:K155)</f>
        <v>3071</v>
      </c>
      <c r="L156" s="430"/>
      <c r="M156" s="430"/>
      <c r="N156" s="430"/>
      <c r="O156" s="767">
        <f>SUM(I156:N156)</f>
        <v>3071</v>
      </c>
      <c r="P156" s="763"/>
    </row>
    <row r="157" spans="1:16" ht="22.5" customHeight="1" x14ac:dyDescent="0.35">
      <c r="A157" s="773">
        <v>147</v>
      </c>
      <c r="B157" s="618"/>
      <c r="C157" s="464">
        <v>30</v>
      </c>
      <c r="D157" s="769" t="s">
        <v>684</v>
      </c>
      <c r="E157" s="430"/>
      <c r="F157" s="430"/>
      <c r="G157" s="431"/>
      <c r="H157" s="999" t="s">
        <v>24</v>
      </c>
      <c r="I157" s="1018"/>
      <c r="J157" s="1012"/>
      <c r="K157" s="1012"/>
      <c r="L157" s="1012"/>
      <c r="M157" s="1012"/>
      <c r="N157" s="1012"/>
      <c r="O157" s="1019"/>
      <c r="P157" s="763"/>
    </row>
    <row r="158" spans="1:16" ht="18" customHeight="1" x14ac:dyDescent="0.35">
      <c r="A158" s="773">
        <v>148</v>
      </c>
      <c r="B158" s="618"/>
      <c r="C158" s="464"/>
      <c r="D158" s="992" t="s">
        <v>308</v>
      </c>
      <c r="E158" s="430">
        <f>F158+G158+O161+P158+3100</f>
        <v>35920</v>
      </c>
      <c r="F158" s="430"/>
      <c r="G158" s="431"/>
      <c r="H158" s="999"/>
      <c r="I158" s="1018"/>
      <c r="J158" s="1012"/>
      <c r="K158" s="1012">
        <v>17116</v>
      </c>
      <c r="L158" s="1012"/>
      <c r="M158" s="1012"/>
      <c r="N158" s="1012"/>
      <c r="O158" s="982">
        <f>SUM(I158:N158)</f>
        <v>17116</v>
      </c>
      <c r="P158" s="763">
        <v>28736</v>
      </c>
    </row>
    <row r="159" spans="1:16" ht="18" customHeight="1" x14ac:dyDescent="0.35">
      <c r="A159" s="773">
        <v>149</v>
      </c>
      <c r="B159" s="618"/>
      <c r="C159" s="464"/>
      <c r="D159" s="576" t="s">
        <v>1158</v>
      </c>
      <c r="E159" s="430"/>
      <c r="F159" s="430"/>
      <c r="G159" s="431"/>
      <c r="H159" s="999"/>
      <c r="I159" s="1018"/>
      <c r="J159" s="1012"/>
      <c r="K159" s="430">
        <v>4084</v>
      </c>
      <c r="L159" s="1012"/>
      <c r="M159" s="1012"/>
      <c r="N159" s="1012"/>
      <c r="O159" s="767">
        <f>SUM(I159:N159)</f>
        <v>4084</v>
      </c>
      <c r="P159" s="763"/>
    </row>
    <row r="160" spans="1:16" ht="18" customHeight="1" x14ac:dyDescent="0.35">
      <c r="A160" s="773">
        <v>150</v>
      </c>
      <c r="B160" s="618"/>
      <c r="C160" s="464"/>
      <c r="D160" s="1318" t="s">
        <v>969</v>
      </c>
      <c r="E160" s="430"/>
      <c r="F160" s="430"/>
      <c r="G160" s="431"/>
      <c r="H160" s="999"/>
      <c r="I160" s="997"/>
      <c r="J160" s="430"/>
      <c r="K160" s="1563"/>
      <c r="L160" s="430"/>
      <c r="M160" s="430"/>
      <c r="N160" s="430"/>
      <c r="O160" s="1599">
        <f>SUM(I160:N160)</f>
        <v>0</v>
      </c>
      <c r="P160" s="763"/>
    </row>
    <row r="161" spans="1:16" ht="18" customHeight="1" x14ac:dyDescent="0.35">
      <c r="A161" s="773">
        <v>151</v>
      </c>
      <c r="B161" s="618"/>
      <c r="C161" s="464"/>
      <c r="D161" s="576" t="s">
        <v>1250</v>
      </c>
      <c r="E161" s="430"/>
      <c r="F161" s="430"/>
      <c r="G161" s="431"/>
      <c r="H161" s="999"/>
      <c r="I161" s="997"/>
      <c r="J161" s="430"/>
      <c r="K161" s="430">
        <f>SUM(K159:K160)</f>
        <v>4084</v>
      </c>
      <c r="L161" s="430"/>
      <c r="M161" s="430"/>
      <c r="N161" s="430"/>
      <c r="O161" s="767">
        <f>SUM(I161:N161)</f>
        <v>4084</v>
      </c>
      <c r="P161" s="763"/>
    </row>
    <row r="162" spans="1:16" ht="22.5" customHeight="1" x14ac:dyDescent="0.35">
      <c r="A162" s="773">
        <v>152</v>
      </c>
      <c r="B162" s="618"/>
      <c r="C162" s="464">
        <v>31</v>
      </c>
      <c r="D162" s="769" t="s">
        <v>685</v>
      </c>
      <c r="E162" s="430"/>
      <c r="F162" s="430"/>
      <c r="G162" s="431"/>
      <c r="H162" s="999" t="s">
        <v>24</v>
      </c>
      <c r="I162" s="1018"/>
      <c r="J162" s="1012"/>
      <c r="K162" s="1012"/>
      <c r="L162" s="1012"/>
      <c r="M162" s="1012"/>
      <c r="N162" s="1012"/>
      <c r="O162" s="1019"/>
      <c r="P162" s="763"/>
    </row>
    <row r="163" spans="1:16" ht="18" customHeight="1" x14ac:dyDescent="0.35">
      <c r="A163" s="773">
        <v>153</v>
      </c>
      <c r="B163" s="618"/>
      <c r="C163" s="464"/>
      <c r="D163" s="992" t="s">
        <v>308</v>
      </c>
      <c r="E163" s="430">
        <f>F163+G163+O166+P163</f>
        <v>40000</v>
      </c>
      <c r="F163" s="430"/>
      <c r="G163" s="431"/>
      <c r="H163" s="999"/>
      <c r="I163" s="1018"/>
      <c r="J163" s="1012"/>
      <c r="K163" s="1012"/>
      <c r="L163" s="1012"/>
      <c r="M163" s="1012">
        <v>33863</v>
      </c>
      <c r="N163" s="1012"/>
      <c r="O163" s="982">
        <f>SUM(I163:N163)</f>
        <v>33863</v>
      </c>
      <c r="P163" s="763"/>
    </row>
    <row r="164" spans="1:16" ht="18" customHeight="1" x14ac:dyDescent="0.35">
      <c r="A164" s="773">
        <v>154</v>
      </c>
      <c r="B164" s="618"/>
      <c r="C164" s="464"/>
      <c r="D164" s="576" t="s">
        <v>1158</v>
      </c>
      <c r="E164" s="430"/>
      <c r="F164" s="430"/>
      <c r="G164" s="431"/>
      <c r="H164" s="999"/>
      <c r="I164" s="1018"/>
      <c r="J164" s="1012"/>
      <c r="K164" s="430">
        <v>295</v>
      </c>
      <c r="L164" s="430"/>
      <c r="M164" s="430">
        <v>39705</v>
      </c>
      <c r="N164" s="1012"/>
      <c r="O164" s="767">
        <f>SUM(I164:N164)</f>
        <v>40000</v>
      </c>
      <c r="P164" s="763"/>
    </row>
    <row r="165" spans="1:16" ht="18" customHeight="1" x14ac:dyDescent="0.35">
      <c r="A165" s="773">
        <v>155</v>
      </c>
      <c r="B165" s="618"/>
      <c r="C165" s="464"/>
      <c r="D165" s="1318" t="s">
        <v>969</v>
      </c>
      <c r="E165" s="430"/>
      <c r="F165" s="430"/>
      <c r="G165" s="431"/>
      <c r="H165" s="999"/>
      <c r="I165" s="997"/>
      <c r="J165" s="430"/>
      <c r="K165" s="1563"/>
      <c r="L165" s="430"/>
      <c r="M165" s="1563"/>
      <c r="N165" s="430"/>
      <c r="O165" s="1741">
        <f>SUM(I165:N165)</f>
        <v>0</v>
      </c>
      <c r="P165" s="763"/>
    </row>
    <row r="166" spans="1:16" ht="18" customHeight="1" x14ac:dyDescent="0.35">
      <c r="A166" s="773">
        <v>156</v>
      </c>
      <c r="B166" s="618"/>
      <c r="C166" s="464"/>
      <c r="D166" s="576" t="s">
        <v>1250</v>
      </c>
      <c r="E166" s="430"/>
      <c r="F166" s="430"/>
      <c r="G166" s="431"/>
      <c r="H166" s="999"/>
      <c r="I166" s="997"/>
      <c r="J166" s="430"/>
      <c r="K166" s="430">
        <f>SUM(K164:K165)</f>
        <v>295</v>
      </c>
      <c r="L166" s="430"/>
      <c r="M166" s="430">
        <f>SUM(M164:M165)</f>
        <v>39705</v>
      </c>
      <c r="N166" s="430"/>
      <c r="O166" s="767">
        <f>SUM(I166:N166)</f>
        <v>40000</v>
      </c>
      <c r="P166" s="763"/>
    </row>
    <row r="167" spans="1:16" ht="53.25" customHeight="1" x14ac:dyDescent="0.35">
      <c r="A167" s="773">
        <v>157</v>
      </c>
      <c r="B167" s="618"/>
      <c r="C167" s="420">
        <v>32</v>
      </c>
      <c r="D167" s="1021" t="s">
        <v>686</v>
      </c>
      <c r="E167" s="430"/>
      <c r="F167" s="430"/>
      <c r="G167" s="431"/>
      <c r="H167" s="999" t="s">
        <v>24</v>
      </c>
      <c r="I167" s="1018"/>
      <c r="J167" s="1012"/>
      <c r="K167" s="1012"/>
      <c r="L167" s="1012"/>
      <c r="M167" s="1012"/>
      <c r="N167" s="1012"/>
      <c r="O167" s="1019"/>
      <c r="P167" s="763"/>
    </row>
    <row r="168" spans="1:16" ht="18" customHeight="1" x14ac:dyDescent="0.35">
      <c r="A168" s="773">
        <v>158</v>
      </c>
      <c r="B168" s="618"/>
      <c r="C168" s="464"/>
      <c r="D168" s="992" t="s">
        <v>308</v>
      </c>
      <c r="E168" s="430">
        <f>F168+G168+O171+P168</f>
        <v>19985</v>
      </c>
      <c r="F168" s="430"/>
      <c r="G168" s="431"/>
      <c r="H168" s="999"/>
      <c r="I168" s="1018"/>
      <c r="J168" s="1012"/>
      <c r="K168" s="1012">
        <v>19985</v>
      </c>
      <c r="L168" s="1012"/>
      <c r="M168" s="1012"/>
      <c r="N168" s="1012"/>
      <c r="O168" s="982">
        <f>SUM(I168:N168)</f>
        <v>19985</v>
      </c>
      <c r="P168" s="763"/>
    </row>
    <row r="169" spans="1:16" ht="18" customHeight="1" x14ac:dyDescent="0.35">
      <c r="A169" s="773">
        <v>159</v>
      </c>
      <c r="B169" s="618"/>
      <c r="C169" s="464"/>
      <c r="D169" s="576" t="s">
        <v>1158</v>
      </c>
      <c r="E169" s="430"/>
      <c r="F169" s="430"/>
      <c r="G169" s="431"/>
      <c r="H169" s="999"/>
      <c r="I169" s="1018"/>
      <c r="J169" s="1012"/>
      <c r="K169" s="430">
        <v>19985</v>
      </c>
      <c r="L169" s="1012"/>
      <c r="M169" s="1012"/>
      <c r="N169" s="1012"/>
      <c r="O169" s="767">
        <f>SUM(I169:N169)</f>
        <v>19985</v>
      </c>
      <c r="P169" s="763"/>
    </row>
    <row r="170" spans="1:16" ht="18" customHeight="1" x14ac:dyDescent="0.35">
      <c r="A170" s="773">
        <v>160</v>
      </c>
      <c r="B170" s="618"/>
      <c r="C170" s="464"/>
      <c r="D170" s="1318" t="s">
        <v>947</v>
      </c>
      <c r="E170" s="430"/>
      <c r="F170" s="430"/>
      <c r="G170" s="431"/>
      <c r="H170" s="999"/>
      <c r="I170" s="997"/>
      <c r="J170" s="430"/>
      <c r="K170" s="430"/>
      <c r="L170" s="430"/>
      <c r="M170" s="430"/>
      <c r="N170" s="430"/>
      <c r="O170" s="1599">
        <f>SUM(I170:N170)</f>
        <v>0</v>
      </c>
      <c r="P170" s="763"/>
    </row>
    <row r="171" spans="1:16" ht="18" customHeight="1" x14ac:dyDescent="0.35">
      <c r="A171" s="773">
        <v>161</v>
      </c>
      <c r="B171" s="618"/>
      <c r="C171" s="464"/>
      <c r="D171" s="576" t="s">
        <v>1250</v>
      </c>
      <c r="E171" s="430"/>
      <c r="F171" s="430"/>
      <c r="G171" s="431"/>
      <c r="H171" s="999"/>
      <c r="I171" s="997"/>
      <c r="J171" s="430"/>
      <c r="K171" s="430">
        <f>SUM(K169:K170)</f>
        <v>19985</v>
      </c>
      <c r="L171" s="430"/>
      <c r="M171" s="430"/>
      <c r="N171" s="430"/>
      <c r="O171" s="767">
        <f>SUM(I171:N171)</f>
        <v>19985</v>
      </c>
      <c r="P171" s="763"/>
    </row>
    <row r="172" spans="1:16" ht="22.5" customHeight="1" x14ac:dyDescent="0.35">
      <c r="A172" s="773">
        <v>162</v>
      </c>
      <c r="B172" s="618"/>
      <c r="C172" s="464">
        <v>33</v>
      </c>
      <c r="D172" s="1037" t="s">
        <v>687</v>
      </c>
      <c r="E172" s="430"/>
      <c r="F172" s="430"/>
      <c r="G172" s="431"/>
      <c r="H172" s="999" t="s">
        <v>24</v>
      </c>
      <c r="I172" s="1018"/>
      <c r="J172" s="1012"/>
      <c r="K172" s="1012"/>
      <c r="L172" s="1012"/>
      <c r="M172" s="1012"/>
      <c r="N172" s="1012"/>
      <c r="O172" s="1019"/>
      <c r="P172" s="763"/>
    </row>
    <row r="173" spans="1:16" ht="18" customHeight="1" x14ac:dyDescent="0.35">
      <c r="A173" s="773">
        <v>163</v>
      </c>
      <c r="B173" s="618"/>
      <c r="C173" s="464"/>
      <c r="D173" s="992" t="s">
        <v>308</v>
      </c>
      <c r="E173" s="430">
        <f>F173+G173+O176+P173</f>
        <v>0</v>
      </c>
      <c r="F173" s="430"/>
      <c r="G173" s="431"/>
      <c r="H173" s="999"/>
      <c r="I173" s="1018"/>
      <c r="J173" s="1012"/>
      <c r="K173" s="1012">
        <v>52500</v>
      </c>
      <c r="L173" s="1012"/>
      <c r="M173" s="1012"/>
      <c r="N173" s="1012"/>
      <c r="O173" s="982">
        <f>SUM(I173:N173)</f>
        <v>52500</v>
      </c>
      <c r="P173" s="763">
        <f>105000-105000</f>
        <v>0</v>
      </c>
    </row>
    <row r="174" spans="1:16" ht="18" customHeight="1" x14ac:dyDescent="0.35">
      <c r="A174" s="773">
        <v>164</v>
      </c>
      <c r="B174" s="618"/>
      <c r="C174" s="464"/>
      <c r="D174" s="576" t="s">
        <v>1158</v>
      </c>
      <c r="E174" s="430"/>
      <c r="F174" s="430"/>
      <c r="G174" s="431"/>
      <c r="H174" s="999"/>
      <c r="I174" s="1018"/>
      <c r="J174" s="1012"/>
      <c r="K174" s="430">
        <v>0</v>
      </c>
      <c r="L174" s="1012"/>
      <c r="M174" s="1012"/>
      <c r="N174" s="1012"/>
      <c r="O174" s="767">
        <f>SUM(I174:N174)</f>
        <v>0</v>
      </c>
      <c r="P174" s="763"/>
    </row>
    <row r="175" spans="1:16" ht="18" customHeight="1" x14ac:dyDescent="0.35">
      <c r="A175" s="773">
        <v>165</v>
      </c>
      <c r="B175" s="618"/>
      <c r="C175" s="464"/>
      <c r="D175" s="1318" t="s">
        <v>969</v>
      </c>
      <c r="E175" s="430"/>
      <c r="F175" s="430"/>
      <c r="G175" s="431"/>
      <c r="H175" s="999"/>
      <c r="I175" s="997"/>
      <c r="J175" s="430"/>
      <c r="K175" s="430"/>
      <c r="L175" s="430"/>
      <c r="M175" s="430"/>
      <c r="N175" s="430"/>
      <c r="O175" s="1599">
        <f>SUM(I175:N175)</f>
        <v>0</v>
      </c>
      <c r="P175" s="763"/>
    </row>
    <row r="176" spans="1:16" ht="18" customHeight="1" x14ac:dyDescent="0.35">
      <c r="A176" s="773">
        <v>166</v>
      </c>
      <c r="B176" s="618"/>
      <c r="C176" s="464"/>
      <c r="D176" s="576" t="s">
        <v>1250</v>
      </c>
      <c r="E176" s="430"/>
      <c r="F176" s="430"/>
      <c r="G176" s="431"/>
      <c r="H176" s="999"/>
      <c r="I176" s="997"/>
      <c r="J176" s="430"/>
      <c r="K176" s="430">
        <f>SUM(K174:K175)</f>
        <v>0</v>
      </c>
      <c r="L176" s="430"/>
      <c r="M176" s="430"/>
      <c r="N176" s="430"/>
      <c r="O176" s="767">
        <f>SUM(I176:N176)</f>
        <v>0</v>
      </c>
      <c r="P176" s="763"/>
    </row>
    <row r="177" spans="1:261" ht="22.5" customHeight="1" x14ac:dyDescent="0.35">
      <c r="A177" s="773">
        <v>167</v>
      </c>
      <c r="B177" s="618"/>
      <c r="C177" s="464">
        <v>34</v>
      </c>
      <c r="D177" s="421" t="s">
        <v>689</v>
      </c>
      <c r="E177" s="430"/>
      <c r="F177" s="430"/>
      <c r="G177" s="431"/>
      <c r="H177" s="999" t="s">
        <v>24</v>
      </c>
      <c r="I177" s="1018"/>
      <c r="J177" s="1012"/>
      <c r="K177" s="1012"/>
      <c r="L177" s="1012"/>
      <c r="M177" s="1012"/>
      <c r="N177" s="1012"/>
      <c r="O177" s="1019"/>
      <c r="P177" s="763"/>
    </row>
    <row r="178" spans="1:261" ht="18" customHeight="1" x14ac:dyDescent="0.35">
      <c r="A178" s="773">
        <v>168</v>
      </c>
      <c r="B178" s="618"/>
      <c r="C178" s="464"/>
      <c r="D178" s="992" t="s">
        <v>308</v>
      </c>
      <c r="E178" s="430">
        <f>F178+G178+O181+P178</f>
        <v>555</v>
      </c>
      <c r="F178" s="430"/>
      <c r="G178" s="431"/>
      <c r="H178" s="999"/>
      <c r="I178" s="1018"/>
      <c r="J178" s="1012"/>
      <c r="K178" s="1012">
        <v>150</v>
      </c>
      <c r="L178" s="1012"/>
      <c r="M178" s="1012"/>
      <c r="N178" s="1012"/>
      <c r="O178" s="982">
        <f>SUM(I178:N178)</f>
        <v>150</v>
      </c>
      <c r="P178" s="763"/>
    </row>
    <row r="179" spans="1:261" ht="18" customHeight="1" x14ac:dyDescent="0.35">
      <c r="A179" s="773">
        <v>169</v>
      </c>
      <c r="B179" s="618"/>
      <c r="C179" s="464"/>
      <c r="D179" s="576" t="s">
        <v>1158</v>
      </c>
      <c r="E179" s="430"/>
      <c r="F179" s="430"/>
      <c r="G179" s="431"/>
      <c r="H179" s="999"/>
      <c r="I179" s="1018"/>
      <c r="J179" s="1012"/>
      <c r="K179" s="430">
        <v>155</v>
      </c>
      <c r="L179" s="430">
        <v>400</v>
      </c>
      <c r="M179" s="1012"/>
      <c r="N179" s="1012"/>
      <c r="O179" s="767">
        <f>SUM(I179:N179)</f>
        <v>555</v>
      </c>
      <c r="P179" s="763"/>
    </row>
    <row r="180" spans="1:261" ht="18" customHeight="1" x14ac:dyDescent="0.35">
      <c r="A180" s="773">
        <v>170</v>
      </c>
      <c r="B180" s="618"/>
      <c r="C180" s="464"/>
      <c r="D180" s="1318" t="s">
        <v>969</v>
      </c>
      <c r="E180" s="430"/>
      <c r="F180" s="430"/>
      <c r="G180" s="431"/>
      <c r="H180" s="999"/>
      <c r="I180" s="997"/>
      <c r="J180" s="430"/>
      <c r="K180" s="1563"/>
      <c r="L180" s="1563"/>
      <c r="M180" s="430"/>
      <c r="N180" s="430"/>
      <c r="O180" s="1599">
        <f>SUM(I180:N180)</f>
        <v>0</v>
      </c>
      <c r="P180" s="763"/>
    </row>
    <row r="181" spans="1:261" ht="18" customHeight="1" x14ac:dyDescent="0.35">
      <c r="A181" s="773">
        <v>171</v>
      </c>
      <c r="B181" s="618"/>
      <c r="C181" s="464"/>
      <c r="D181" s="576" t="s">
        <v>1250</v>
      </c>
      <c r="E181" s="430"/>
      <c r="F181" s="430"/>
      <c r="G181" s="431"/>
      <c r="H181" s="999"/>
      <c r="I181" s="997"/>
      <c r="J181" s="430"/>
      <c r="K181" s="430">
        <f>SUM(K179:K180)</f>
        <v>155</v>
      </c>
      <c r="L181" s="430">
        <f>SUM(L179:L180)</f>
        <v>400</v>
      </c>
      <c r="M181" s="430"/>
      <c r="N181" s="430"/>
      <c r="O181" s="767">
        <f>SUM(I181:N181)</f>
        <v>555</v>
      </c>
      <c r="P181" s="763"/>
    </row>
    <row r="182" spans="1:261" s="758" customFormat="1" ht="36" customHeight="1" x14ac:dyDescent="0.35">
      <c r="A182" s="773">
        <v>172</v>
      </c>
      <c r="B182" s="766"/>
      <c r="C182" s="420">
        <v>35</v>
      </c>
      <c r="D182" s="421" t="s">
        <v>465</v>
      </c>
      <c r="E182" s="430"/>
      <c r="F182" s="430"/>
      <c r="G182" s="431"/>
      <c r="H182" s="999" t="s">
        <v>24</v>
      </c>
      <c r="I182" s="1018"/>
      <c r="J182" s="1012"/>
      <c r="K182" s="1012"/>
      <c r="L182" s="1012"/>
      <c r="M182" s="1012"/>
      <c r="N182" s="1012"/>
      <c r="O182" s="982"/>
      <c r="P182" s="763"/>
      <c r="Q182" s="418"/>
      <c r="R182" s="418"/>
      <c r="S182" s="418"/>
      <c r="T182" s="418"/>
      <c r="U182" s="418"/>
      <c r="V182" s="418"/>
      <c r="W182" s="418"/>
      <c r="X182" s="418"/>
      <c r="Y182" s="418"/>
      <c r="Z182" s="418"/>
      <c r="AA182" s="418"/>
      <c r="AB182" s="418"/>
      <c r="AC182" s="418"/>
      <c r="AD182" s="418"/>
      <c r="AE182" s="418"/>
      <c r="AF182" s="418"/>
      <c r="AG182" s="418"/>
      <c r="AH182" s="418"/>
      <c r="AI182" s="418"/>
      <c r="AJ182" s="418"/>
      <c r="AK182" s="418"/>
      <c r="AL182" s="418"/>
      <c r="AM182" s="418"/>
      <c r="AN182" s="418"/>
      <c r="AO182" s="418"/>
      <c r="AP182" s="418"/>
      <c r="AQ182" s="418"/>
      <c r="AR182" s="418"/>
      <c r="AS182" s="418"/>
      <c r="AT182" s="418"/>
      <c r="AU182" s="418"/>
      <c r="AV182" s="418"/>
      <c r="AW182" s="418"/>
      <c r="AX182" s="418"/>
      <c r="AY182" s="418"/>
      <c r="AZ182" s="418"/>
      <c r="BA182" s="418"/>
      <c r="BB182" s="418"/>
      <c r="BC182" s="418"/>
      <c r="BD182" s="418"/>
      <c r="BE182" s="418"/>
      <c r="BF182" s="418"/>
      <c r="BG182" s="418"/>
      <c r="BH182" s="418"/>
      <c r="BI182" s="418"/>
      <c r="BJ182" s="418"/>
      <c r="BK182" s="418"/>
      <c r="BL182" s="418"/>
      <c r="BM182" s="418"/>
      <c r="BN182" s="418"/>
      <c r="BO182" s="418"/>
      <c r="BP182" s="418"/>
      <c r="BQ182" s="418"/>
      <c r="BR182" s="418"/>
      <c r="BS182" s="418"/>
      <c r="BT182" s="418"/>
      <c r="BU182" s="418"/>
      <c r="BV182" s="418"/>
      <c r="BW182" s="418"/>
      <c r="BX182" s="418"/>
      <c r="BY182" s="418"/>
      <c r="BZ182" s="418"/>
      <c r="CA182" s="418"/>
      <c r="CB182" s="418"/>
      <c r="CC182" s="418"/>
      <c r="CD182" s="418"/>
      <c r="CE182" s="418"/>
      <c r="CF182" s="418"/>
      <c r="CG182" s="418"/>
      <c r="CH182" s="418"/>
      <c r="CI182" s="418"/>
      <c r="CJ182" s="418"/>
      <c r="CK182" s="418"/>
      <c r="CL182" s="418"/>
      <c r="CM182" s="418"/>
      <c r="CN182" s="418"/>
      <c r="CO182" s="418"/>
      <c r="CP182" s="418"/>
      <c r="CQ182" s="418"/>
      <c r="CR182" s="418"/>
      <c r="CS182" s="418"/>
      <c r="CT182" s="418"/>
      <c r="CU182" s="418"/>
      <c r="CV182" s="418"/>
      <c r="CW182" s="418"/>
      <c r="CX182" s="418"/>
      <c r="CY182" s="418"/>
      <c r="CZ182" s="418"/>
      <c r="DA182" s="418"/>
      <c r="DB182" s="418"/>
      <c r="DC182" s="418"/>
      <c r="DD182" s="418"/>
      <c r="DE182" s="418"/>
      <c r="DF182" s="418"/>
      <c r="DG182" s="418"/>
      <c r="DH182" s="418"/>
      <c r="DI182" s="418"/>
      <c r="DJ182" s="418"/>
      <c r="DK182" s="418"/>
      <c r="DL182" s="418"/>
      <c r="DM182" s="418"/>
      <c r="DN182" s="418"/>
      <c r="DO182" s="418"/>
      <c r="DP182" s="418"/>
      <c r="DQ182" s="418"/>
      <c r="DR182" s="418"/>
      <c r="DS182" s="418"/>
      <c r="DT182" s="418"/>
      <c r="DU182" s="418"/>
      <c r="DV182" s="418"/>
      <c r="DW182" s="418"/>
      <c r="DX182" s="418"/>
      <c r="DY182" s="418"/>
      <c r="DZ182" s="418"/>
      <c r="EA182" s="418"/>
      <c r="EB182" s="418"/>
      <c r="EC182" s="418"/>
      <c r="ED182" s="418"/>
      <c r="EE182" s="418"/>
      <c r="EF182" s="418"/>
      <c r="EG182" s="418"/>
      <c r="EH182" s="418"/>
      <c r="EI182" s="418"/>
      <c r="EJ182" s="418"/>
      <c r="EK182" s="418"/>
      <c r="EL182" s="418"/>
      <c r="EM182" s="418"/>
      <c r="EN182" s="418"/>
      <c r="EO182" s="418"/>
      <c r="EP182" s="418"/>
      <c r="EQ182" s="418"/>
      <c r="ER182" s="418"/>
      <c r="ES182" s="418"/>
      <c r="ET182" s="418"/>
      <c r="EU182" s="418"/>
      <c r="EV182" s="418"/>
      <c r="EW182" s="418"/>
      <c r="EX182" s="418"/>
      <c r="EY182" s="418"/>
      <c r="EZ182" s="418"/>
      <c r="FA182" s="418"/>
      <c r="FB182" s="418"/>
      <c r="FC182" s="418"/>
      <c r="FD182" s="418"/>
      <c r="FE182" s="418"/>
      <c r="FF182" s="418"/>
      <c r="FG182" s="418"/>
      <c r="FH182" s="418"/>
      <c r="FI182" s="418"/>
      <c r="FJ182" s="418"/>
      <c r="FK182" s="418"/>
      <c r="FL182" s="418"/>
      <c r="FM182" s="418"/>
      <c r="FN182" s="418"/>
      <c r="FO182" s="418"/>
      <c r="FP182" s="418"/>
      <c r="FQ182" s="418"/>
      <c r="FR182" s="418"/>
      <c r="FS182" s="418"/>
      <c r="FT182" s="418"/>
      <c r="FU182" s="418"/>
      <c r="FV182" s="418"/>
      <c r="FW182" s="418"/>
      <c r="FX182" s="418"/>
      <c r="FY182" s="418"/>
      <c r="FZ182" s="418"/>
      <c r="GA182" s="418"/>
      <c r="GB182" s="418"/>
      <c r="GC182" s="418"/>
      <c r="GD182" s="418"/>
      <c r="GE182" s="418"/>
      <c r="GF182" s="418"/>
      <c r="GG182" s="418"/>
      <c r="GH182" s="418"/>
      <c r="GI182" s="418"/>
      <c r="GJ182" s="418"/>
      <c r="GK182" s="418"/>
      <c r="GL182" s="418"/>
      <c r="GM182" s="418"/>
      <c r="GN182" s="418"/>
      <c r="GO182" s="418"/>
      <c r="GP182" s="418"/>
      <c r="GQ182" s="418"/>
      <c r="GR182" s="418"/>
      <c r="GS182" s="418"/>
      <c r="GT182" s="418"/>
      <c r="GU182" s="418"/>
      <c r="GV182" s="418"/>
      <c r="GW182" s="418"/>
      <c r="GX182" s="418"/>
      <c r="GY182" s="418"/>
      <c r="GZ182" s="418"/>
      <c r="HA182" s="418"/>
      <c r="HB182" s="418"/>
      <c r="HC182" s="418"/>
      <c r="HD182" s="418"/>
      <c r="HE182" s="418"/>
      <c r="HF182" s="418"/>
      <c r="HG182" s="418"/>
      <c r="HH182" s="418"/>
      <c r="HI182" s="418"/>
      <c r="HJ182" s="418"/>
      <c r="HK182" s="418"/>
      <c r="HL182" s="418"/>
      <c r="HM182" s="418"/>
      <c r="HN182" s="418"/>
      <c r="HO182" s="418"/>
      <c r="HP182" s="418"/>
      <c r="HQ182" s="418"/>
      <c r="HR182" s="418"/>
      <c r="HS182" s="418"/>
      <c r="HT182" s="418"/>
      <c r="HU182" s="418"/>
      <c r="HV182" s="418"/>
      <c r="HW182" s="418"/>
      <c r="HX182" s="418"/>
      <c r="HY182" s="418"/>
      <c r="HZ182" s="418"/>
      <c r="IA182" s="418"/>
      <c r="IB182" s="418"/>
      <c r="IC182" s="418"/>
      <c r="ID182" s="418"/>
      <c r="IE182" s="418"/>
      <c r="IF182" s="418"/>
      <c r="IG182" s="418"/>
      <c r="IH182" s="418"/>
      <c r="II182" s="418"/>
      <c r="IJ182" s="418"/>
      <c r="IK182" s="418"/>
      <c r="IL182" s="418"/>
      <c r="IM182" s="418"/>
      <c r="IN182" s="418"/>
      <c r="IO182" s="418"/>
      <c r="IP182" s="418"/>
      <c r="IQ182" s="418"/>
      <c r="IR182" s="418"/>
      <c r="IS182" s="418"/>
      <c r="IT182" s="418"/>
      <c r="IU182" s="418"/>
      <c r="IV182" s="418"/>
      <c r="IW182" s="418"/>
      <c r="IX182" s="418"/>
      <c r="IY182" s="418"/>
      <c r="IZ182" s="418"/>
      <c r="JA182" s="418"/>
    </row>
    <row r="183" spans="1:261" s="758" customFormat="1" ht="18" customHeight="1" x14ac:dyDescent="0.35">
      <c r="A183" s="773">
        <v>173</v>
      </c>
      <c r="B183" s="766"/>
      <c r="C183" s="420"/>
      <c r="D183" s="992" t="s">
        <v>308</v>
      </c>
      <c r="E183" s="430">
        <f>F183+G183+O186+P183</f>
        <v>6520</v>
      </c>
      <c r="F183" s="430">
        <v>1582</v>
      </c>
      <c r="G183" s="431">
        <f>2107+2506</f>
        <v>4613</v>
      </c>
      <c r="H183" s="999"/>
      <c r="I183" s="1018"/>
      <c r="J183" s="1012"/>
      <c r="K183" s="1012">
        <v>239</v>
      </c>
      <c r="L183" s="1012"/>
      <c r="M183" s="1012"/>
      <c r="N183" s="1012"/>
      <c r="O183" s="982">
        <f>SUM(I183:N183)</f>
        <v>239</v>
      </c>
      <c r="P183" s="763"/>
      <c r="Q183" s="418"/>
      <c r="R183" s="418"/>
      <c r="S183" s="418"/>
      <c r="T183" s="418"/>
      <c r="U183" s="418"/>
      <c r="V183" s="418"/>
      <c r="W183" s="418"/>
      <c r="X183" s="418"/>
      <c r="Y183" s="418"/>
      <c r="Z183" s="418"/>
      <c r="AA183" s="418"/>
      <c r="AB183" s="418"/>
      <c r="AC183" s="418"/>
      <c r="AD183" s="418"/>
      <c r="AE183" s="418"/>
      <c r="AF183" s="418"/>
      <c r="AG183" s="418"/>
      <c r="AH183" s="418"/>
      <c r="AI183" s="418"/>
      <c r="AJ183" s="418"/>
      <c r="AK183" s="418"/>
      <c r="AL183" s="418"/>
      <c r="AM183" s="418"/>
      <c r="AN183" s="418"/>
      <c r="AO183" s="418"/>
      <c r="AP183" s="418"/>
      <c r="AQ183" s="418"/>
      <c r="AR183" s="418"/>
      <c r="AS183" s="418"/>
      <c r="AT183" s="418"/>
      <c r="AU183" s="418"/>
      <c r="AV183" s="418"/>
      <c r="AW183" s="418"/>
      <c r="AX183" s="418"/>
      <c r="AY183" s="418"/>
      <c r="AZ183" s="418"/>
      <c r="BA183" s="418"/>
      <c r="BB183" s="418"/>
      <c r="BC183" s="418"/>
      <c r="BD183" s="418"/>
      <c r="BE183" s="418"/>
      <c r="BF183" s="418"/>
      <c r="BG183" s="418"/>
      <c r="BH183" s="418"/>
      <c r="BI183" s="418"/>
      <c r="BJ183" s="418"/>
      <c r="BK183" s="418"/>
      <c r="BL183" s="418"/>
      <c r="BM183" s="418"/>
      <c r="BN183" s="418"/>
      <c r="BO183" s="418"/>
      <c r="BP183" s="418"/>
      <c r="BQ183" s="418"/>
      <c r="BR183" s="418"/>
      <c r="BS183" s="418"/>
      <c r="BT183" s="418"/>
      <c r="BU183" s="418"/>
      <c r="BV183" s="418"/>
      <c r="BW183" s="418"/>
      <c r="BX183" s="418"/>
      <c r="BY183" s="418"/>
      <c r="BZ183" s="418"/>
      <c r="CA183" s="418"/>
      <c r="CB183" s="418"/>
      <c r="CC183" s="418"/>
      <c r="CD183" s="418"/>
      <c r="CE183" s="418"/>
      <c r="CF183" s="418"/>
      <c r="CG183" s="418"/>
      <c r="CH183" s="418"/>
      <c r="CI183" s="418"/>
      <c r="CJ183" s="418"/>
      <c r="CK183" s="418"/>
      <c r="CL183" s="418"/>
      <c r="CM183" s="418"/>
      <c r="CN183" s="418"/>
      <c r="CO183" s="418"/>
      <c r="CP183" s="418"/>
      <c r="CQ183" s="418"/>
      <c r="CR183" s="418"/>
      <c r="CS183" s="418"/>
      <c r="CT183" s="418"/>
      <c r="CU183" s="418"/>
      <c r="CV183" s="418"/>
      <c r="CW183" s="418"/>
      <c r="CX183" s="418"/>
      <c r="CY183" s="418"/>
      <c r="CZ183" s="418"/>
      <c r="DA183" s="418"/>
      <c r="DB183" s="418"/>
      <c r="DC183" s="418"/>
      <c r="DD183" s="418"/>
      <c r="DE183" s="418"/>
      <c r="DF183" s="418"/>
      <c r="DG183" s="418"/>
      <c r="DH183" s="418"/>
      <c r="DI183" s="418"/>
      <c r="DJ183" s="418"/>
      <c r="DK183" s="418"/>
      <c r="DL183" s="418"/>
      <c r="DM183" s="418"/>
      <c r="DN183" s="418"/>
      <c r="DO183" s="418"/>
      <c r="DP183" s="418"/>
      <c r="DQ183" s="418"/>
      <c r="DR183" s="418"/>
      <c r="DS183" s="418"/>
      <c r="DT183" s="418"/>
      <c r="DU183" s="418"/>
      <c r="DV183" s="418"/>
      <c r="DW183" s="418"/>
      <c r="DX183" s="418"/>
      <c r="DY183" s="418"/>
      <c r="DZ183" s="418"/>
      <c r="EA183" s="418"/>
      <c r="EB183" s="418"/>
      <c r="EC183" s="418"/>
      <c r="ED183" s="418"/>
      <c r="EE183" s="418"/>
      <c r="EF183" s="418"/>
      <c r="EG183" s="418"/>
      <c r="EH183" s="418"/>
      <c r="EI183" s="418"/>
      <c r="EJ183" s="418"/>
      <c r="EK183" s="418"/>
      <c r="EL183" s="418"/>
      <c r="EM183" s="418"/>
      <c r="EN183" s="418"/>
      <c r="EO183" s="418"/>
      <c r="EP183" s="418"/>
      <c r="EQ183" s="418"/>
      <c r="ER183" s="418"/>
      <c r="ES183" s="418"/>
      <c r="ET183" s="418"/>
      <c r="EU183" s="418"/>
      <c r="EV183" s="418"/>
      <c r="EW183" s="418"/>
      <c r="EX183" s="418"/>
      <c r="EY183" s="418"/>
      <c r="EZ183" s="418"/>
      <c r="FA183" s="418"/>
      <c r="FB183" s="418"/>
      <c r="FC183" s="418"/>
      <c r="FD183" s="418"/>
      <c r="FE183" s="418"/>
      <c r="FF183" s="418"/>
      <c r="FG183" s="418"/>
      <c r="FH183" s="418"/>
      <c r="FI183" s="418"/>
      <c r="FJ183" s="418"/>
      <c r="FK183" s="418"/>
      <c r="FL183" s="418"/>
      <c r="FM183" s="418"/>
      <c r="FN183" s="418"/>
      <c r="FO183" s="418"/>
      <c r="FP183" s="418"/>
      <c r="FQ183" s="418"/>
      <c r="FR183" s="418"/>
      <c r="FS183" s="418"/>
      <c r="FT183" s="418"/>
      <c r="FU183" s="418"/>
      <c r="FV183" s="418"/>
      <c r="FW183" s="418"/>
      <c r="FX183" s="418"/>
      <c r="FY183" s="418"/>
      <c r="FZ183" s="418"/>
      <c r="GA183" s="418"/>
      <c r="GB183" s="418"/>
      <c r="GC183" s="418"/>
      <c r="GD183" s="418"/>
      <c r="GE183" s="418"/>
      <c r="GF183" s="418"/>
      <c r="GG183" s="418"/>
      <c r="GH183" s="418"/>
      <c r="GI183" s="418"/>
      <c r="GJ183" s="418"/>
      <c r="GK183" s="418"/>
      <c r="GL183" s="418"/>
      <c r="GM183" s="418"/>
      <c r="GN183" s="418"/>
      <c r="GO183" s="418"/>
      <c r="GP183" s="418"/>
      <c r="GQ183" s="418"/>
      <c r="GR183" s="418"/>
      <c r="GS183" s="418"/>
      <c r="GT183" s="418"/>
      <c r="GU183" s="418"/>
      <c r="GV183" s="418"/>
      <c r="GW183" s="418"/>
      <c r="GX183" s="418"/>
      <c r="GY183" s="418"/>
      <c r="GZ183" s="418"/>
      <c r="HA183" s="418"/>
      <c r="HB183" s="418"/>
      <c r="HC183" s="418"/>
      <c r="HD183" s="418"/>
      <c r="HE183" s="418"/>
      <c r="HF183" s="418"/>
      <c r="HG183" s="418"/>
      <c r="HH183" s="418"/>
      <c r="HI183" s="418"/>
      <c r="HJ183" s="418"/>
      <c r="HK183" s="418"/>
      <c r="HL183" s="418"/>
      <c r="HM183" s="418"/>
      <c r="HN183" s="418"/>
      <c r="HO183" s="418"/>
      <c r="HP183" s="418"/>
      <c r="HQ183" s="418"/>
      <c r="HR183" s="418"/>
      <c r="HS183" s="418"/>
      <c r="HT183" s="418"/>
      <c r="HU183" s="418"/>
      <c r="HV183" s="418"/>
      <c r="HW183" s="418"/>
      <c r="HX183" s="418"/>
      <c r="HY183" s="418"/>
      <c r="HZ183" s="418"/>
      <c r="IA183" s="418"/>
      <c r="IB183" s="418"/>
      <c r="IC183" s="418"/>
      <c r="ID183" s="418"/>
      <c r="IE183" s="418"/>
      <c r="IF183" s="418"/>
      <c r="IG183" s="418"/>
      <c r="IH183" s="418"/>
      <c r="II183" s="418"/>
      <c r="IJ183" s="418"/>
      <c r="IK183" s="418"/>
      <c r="IL183" s="418"/>
      <c r="IM183" s="418"/>
      <c r="IN183" s="418"/>
      <c r="IO183" s="418"/>
      <c r="IP183" s="418"/>
      <c r="IQ183" s="418"/>
      <c r="IR183" s="418"/>
      <c r="IS183" s="418"/>
      <c r="IT183" s="418"/>
      <c r="IU183" s="418"/>
      <c r="IV183" s="418"/>
      <c r="IW183" s="418"/>
      <c r="IX183" s="418"/>
      <c r="IY183" s="418"/>
      <c r="IZ183" s="418"/>
      <c r="JA183" s="418"/>
    </row>
    <row r="184" spans="1:261" s="758" customFormat="1" ht="18" customHeight="1" x14ac:dyDescent="0.35">
      <c r="A184" s="773">
        <v>174</v>
      </c>
      <c r="B184" s="766"/>
      <c r="C184" s="420"/>
      <c r="D184" s="576" t="s">
        <v>1158</v>
      </c>
      <c r="E184" s="430"/>
      <c r="F184" s="430"/>
      <c r="G184" s="431"/>
      <c r="H184" s="999"/>
      <c r="I184" s="1018"/>
      <c r="J184" s="1012"/>
      <c r="K184" s="430">
        <v>0</v>
      </c>
      <c r="L184" s="430">
        <v>325</v>
      </c>
      <c r="M184" s="1012"/>
      <c r="N184" s="1012"/>
      <c r="O184" s="767">
        <f>SUM(I184:N184)</f>
        <v>325</v>
      </c>
      <c r="P184" s="763"/>
      <c r="Q184" s="418"/>
      <c r="R184" s="418"/>
      <c r="S184" s="418"/>
      <c r="T184" s="418"/>
      <c r="U184" s="418"/>
      <c r="V184" s="418"/>
      <c r="W184" s="418"/>
      <c r="X184" s="418"/>
      <c r="Y184" s="418"/>
      <c r="Z184" s="418"/>
      <c r="AA184" s="418"/>
      <c r="AB184" s="418"/>
      <c r="AC184" s="418"/>
      <c r="AD184" s="418"/>
      <c r="AE184" s="418"/>
      <c r="AF184" s="418"/>
      <c r="AG184" s="418"/>
      <c r="AH184" s="418"/>
      <c r="AI184" s="418"/>
      <c r="AJ184" s="418"/>
      <c r="AK184" s="418"/>
      <c r="AL184" s="418"/>
      <c r="AM184" s="418"/>
      <c r="AN184" s="418"/>
      <c r="AO184" s="418"/>
      <c r="AP184" s="418"/>
      <c r="AQ184" s="418"/>
      <c r="AR184" s="418"/>
      <c r="AS184" s="418"/>
      <c r="AT184" s="418"/>
      <c r="AU184" s="418"/>
      <c r="AV184" s="418"/>
      <c r="AW184" s="418"/>
      <c r="AX184" s="418"/>
      <c r="AY184" s="418"/>
      <c r="AZ184" s="418"/>
      <c r="BA184" s="418"/>
      <c r="BB184" s="418"/>
      <c r="BC184" s="418"/>
      <c r="BD184" s="418"/>
      <c r="BE184" s="418"/>
      <c r="BF184" s="418"/>
      <c r="BG184" s="418"/>
      <c r="BH184" s="418"/>
      <c r="BI184" s="418"/>
      <c r="BJ184" s="418"/>
      <c r="BK184" s="418"/>
      <c r="BL184" s="418"/>
      <c r="BM184" s="418"/>
      <c r="BN184" s="418"/>
      <c r="BO184" s="418"/>
      <c r="BP184" s="418"/>
      <c r="BQ184" s="418"/>
      <c r="BR184" s="418"/>
      <c r="BS184" s="418"/>
      <c r="BT184" s="418"/>
      <c r="BU184" s="418"/>
      <c r="BV184" s="418"/>
      <c r="BW184" s="418"/>
      <c r="BX184" s="418"/>
      <c r="BY184" s="418"/>
      <c r="BZ184" s="418"/>
      <c r="CA184" s="418"/>
      <c r="CB184" s="418"/>
      <c r="CC184" s="418"/>
      <c r="CD184" s="418"/>
      <c r="CE184" s="418"/>
      <c r="CF184" s="418"/>
      <c r="CG184" s="418"/>
      <c r="CH184" s="418"/>
      <c r="CI184" s="418"/>
      <c r="CJ184" s="418"/>
      <c r="CK184" s="418"/>
      <c r="CL184" s="418"/>
      <c r="CM184" s="418"/>
      <c r="CN184" s="418"/>
      <c r="CO184" s="418"/>
      <c r="CP184" s="418"/>
      <c r="CQ184" s="418"/>
      <c r="CR184" s="418"/>
      <c r="CS184" s="418"/>
      <c r="CT184" s="418"/>
      <c r="CU184" s="418"/>
      <c r="CV184" s="418"/>
      <c r="CW184" s="418"/>
      <c r="CX184" s="418"/>
      <c r="CY184" s="418"/>
      <c r="CZ184" s="418"/>
      <c r="DA184" s="418"/>
      <c r="DB184" s="418"/>
      <c r="DC184" s="418"/>
      <c r="DD184" s="418"/>
      <c r="DE184" s="418"/>
      <c r="DF184" s="418"/>
      <c r="DG184" s="418"/>
      <c r="DH184" s="418"/>
      <c r="DI184" s="418"/>
      <c r="DJ184" s="418"/>
      <c r="DK184" s="418"/>
      <c r="DL184" s="418"/>
      <c r="DM184" s="418"/>
      <c r="DN184" s="418"/>
      <c r="DO184" s="418"/>
      <c r="DP184" s="418"/>
      <c r="DQ184" s="418"/>
      <c r="DR184" s="418"/>
      <c r="DS184" s="418"/>
      <c r="DT184" s="418"/>
      <c r="DU184" s="418"/>
      <c r="DV184" s="418"/>
      <c r="DW184" s="418"/>
      <c r="DX184" s="418"/>
      <c r="DY184" s="418"/>
      <c r="DZ184" s="418"/>
      <c r="EA184" s="418"/>
      <c r="EB184" s="418"/>
      <c r="EC184" s="418"/>
      <c r="ED184" s="418"/>
      <c r="EE184" s="418"/>
      <c r="EF184" s="418"/>
      <c r="EG184" s="418"/>
      <c r="EH184" s="418"/>
      <c r="EI184" s="418"/>
      <c r="EJ184" s="418"/>
      <c r="EK184" s="418"/>
      <c r="EL184" s="418"/>
      <c r="EM184" s="418"/>
      <c r="EN184" s="418"/>
      <c r="EO184" s="418"/>
      <c r="EP184" s="418"/>
      <c r="EQ184" s="418"/>
      <c r="ER184" s="418"/>
      <c r="ES184" s="418"/>
      <c r="ET184" s="418"/>
      <c r="EU184" s="418"/>
      <c r="EV184" s="418"/>
      <c r="EW184" s="418"/>
      <c r="EX184" s="418"/>
      <c r="EY184" s="418"/>
      <c r="EZ184" s="418"/>
      <c r="FA184" s="418"/>
      <c r="FB184" s="418"/>
      <c r="FC184" s="418"/>
      <c r="FD184" s="418"/>
      <c r="FE184" s="418"/>
      <c r="FF184" s="418"/>
      <c r="FG184" s="418"/>
      <c r="FH184" s="418"/>
      <c r="FI184" s="418"/>
      <c r="FJ184" s="418"/>
      <c r="FK184" s="418"/>
      <c r="FL184" s="418"/>
      <c r="FM184" s="418"/>
      <c r="FN184" s="418"/>
      <c r="FO184" s="418"/>
      <c r="FP184" s="418"/>
      <c r="FQ184" s="418"/>
      <c r="FR184" s="418"/>
      <c r="FS184" s="418"/>
      <c r="FT184" s="418"/>
      <c r="FU184" s="418"/>
      <c r="FV184" s="418"/>
      <c r="FW184" s="418"/>
      <c r="FX184" s="418"/>
      <c r="FY184" s="418"/>
      <c r="FZ184" s="418"/>
      <c r="GA184" s="418"/>
      <c r="GB184" s="418"/>
      <c r="GC184" s="418"/>
      <c r="GD184" s="418"/>
      <c r="GE184" s="418"/>
      <c r="GF184" s="418"/>
      <c r="GG184" s="418"/>
      <c r="GH184" s="418"/>
      <c r="GI184" s="418"/>
      <c r="GJ184" s="418"/>
      <c r="GK184" s="418"/>
      <c r="GL184" s="418"/>
      <c r="GM184" s="418"/>
      <c r="GN184" s="418"/>
      <c r="GO184" s="418"/>
      <c r="GP184" s="418"/>
      <c r="GQ184" s="418"/>
      <c r="GR184" s="418"/>
      <c r="GS184" s="418"/>
      <c r="GT184" s="418"/>
      <c r="GU184" s="418"/>
      <c r="GV184" s="418"/>
      <c r="GW184" s="418"/>
      <c r="GX184" s="418"/>
      <c r="GY184" s="418"/>
      <c r="GZ184" s="418"/>
      <c r="HA184" s="418"/>
      <c r="HB184" s="418"/>
      <c r="HC184" s="418"/>
      <c r="HD184" s="418"/>
      <c r="HE184" s="418"/>
      <c r="HF184" s="418"/>
      <c r="HG184" s="418"/>
      <c r="HH184" s="418"/>
      <c r="HI184" s="418"/>
      <c r="HJ184" s="418"/>
      <c r="HK184" s="418"/>
      <c r="HL184" s="418"/>
      <c r="HM184" s="418"/>
      <c r="HN184" s="418"/>
      <c r="HO184" s="418"/>
      <c r="HP184" s="418"/>
      <c r="HQ184" s="418"/>
      <c r="HR184" s="418"/>
      <c r="HS184" s="418"/>
      <c r="HT184" s="418"/>
      <c r="HU184" s="418"/>
      <c r="HV184" s="418"/>
      <c r="HW184" s="418"/>
      <c r="HX184" s="418"/>
      <c r="HY184" s="418"/>
      <c r="HZ184" s="418"/>
      <c r="IA184" s="418"/>
      <c r="IB184" s="418"/>
      <c r="IC184" s="418"/>
      <c r="ID184" s="418"/>
      <c r="IE184" s="418"/>
      <c r="IF184" s="418"/>
      <c r="IG184" s="418"/>
      <c r="IH184" s="418"/>
      <c r="II184" s="418"/>
      <c r="IJ184" s="418"/>
      <c r="IK184" s="418"/>
      <c r="IL184" s="418"/>
      <c r="IM184" s="418"/>
      <c r="IN184" s="418"/>
      <c r="IO184" s="418"/>
      <c r="IP184" s="418"/>
      <c r="IQ184" s="418"/>
      <c r="IR184" s="418"/>
      <c r="IS184" s="418"/>
      <c r="IT184" s="418"/>
      <c r="IU184" s="418"/>
      <c r="IV184" s="418"/>
      <c r="IW184" s="418"/>
      <c r="IX184" s="418"/>
      <c r="IY184" s="418"/>
      <c r="IZ184" s="418"/>
      <c r="JA184" s="418"/>
    </row>
    <row r="185" spans="1:261" s="758" customFormat="1" ht="18" customHeight="1" x14ac:dyDescent="0.35">
      <c r="A185" s="773">
        <v>175</v>
      </c>
      <c r="B185" s="766"/>
      <c r="C185" s="420"/>
      <c r="D185" s="1318" t="s">
        <v>969</v>
      </c>
      <c r="E185" s="430"/>
      <c r="F185" s="430"/>
      <c r="G185" s="431"/>
      <c r="H185" s="999"/>
      <c r="I185" s="997"/>
      <c r="J185" s="430"/>
      <c r="K185" s="1563"/>
      <c r="L185" s="1563"/>
      <c r="M185" s="430"/>
      <c r="N185" s="430"/>
      <c r="O185" s="1599">
        <f>SUM(I185:N185)</f>
        <v>0</v>
      </c>
      <c r="P185" s="763"/>
      <c r="Q185" s="418"/>
      <c r="R185" s="418"/>
      <c r="S185" s="418"/>
      <c r="T185" s="418"/>
      <c r="U185" s="418"/>
      <c r="V185" s="418"/>
      <c r="W185" s="418"/>
      <c r="X185" s="418"/>
      <c r="Y185" s="418"/>
      <c r="Z185" s="418"/>
      <c r="AA185" s="418"/>
      <c r="AB185" s="418"/>
      <c r="AC185" s="418"/>
      <c r="AD185" s="418"/>
      <c r="AE185" s="418"/>
      <c r="AF185" s="418"/>
      <c r="AG185" s="418"/>
      <c r="AH185" s="418"/>
      <c r="AI185" s="418"/>
      <c r="AJ185" s="418"/>
      <c r="AK185" s="418"/>
      <c r="AL185" s="418"/>
      <c r="AM185" s="418"/>
      <c r="AN185" s="418"/>
      <c r="AO185" s="418"/>
      <c r="AP185" s="418"/>
      <c r="AQ185" s="418"/>
      <c r="AR185" s="418"/>
      <c r="AS185" s="418"/>
      <c r="AT185" s="418"/>
      <c r="AU185" s="418"/>
      <c r="AV185" s="418"/>
      <c r="AW185" s="418"/>
      <c r="AX185" s="418"/>
      <c r="AY185" s="418"/>
      <c r="AZ185" s="418"/>
      <c r="BA185" s="418"/>
      <c r="BB185" s="418"/>
      <c r="BC185" s="418"/>
      <c r="BD185" s="418"/>
      <c r="BE185" s="418"/>
      <c r="BF185" s="418"/>
      <c r="BG185" s="418"/>
      <c r="BH185" s="418"/>
      <c r="BI185" s="418"/>
      <c r="BJ185" s="418"/>
      <c r="BK185" s="418"/>
      <c r="BL185" s="418"/>
      <c r="BM185" s="418"/>
      <c r="BN185" s="418"/>
      <c r="BO185" s="418"/>
      <c r="BP185" s="418"/>
      <c r="BQ185" s="418"/>
      <c r="BR185" s="418"/>
      <c r="BS185" s="418"/>
      <c r="BT185" s="418"/>
      <c r="BU185" s="418"/>
      <c r="BV185" s="418"/>
      <c r="BW185" s="418"/>
      <c r="BX185" s="418"/>
      <c r="BY185" s="418"/>
      <c r="BZ185" s="418"/>
      <c r="CA185" s="418"/>
      <c r="CB185" s="418"/>
      <c r="CC185" s="418"/>
      <c r="CD185" s="418"/>
      <c r="CE185" s="418"/>
      <c r="CF185" s="418"/>
      <c r="CG185" s="418"/>
      <c r="CH185" s="418"/>
      <c r="CI185" s="418"/>
      <c r="CJ185" s="418"/>
      <c r="CK185" s="418"/>
      <c r="CL185" s="418"/>
      <c r="CM185" s="418"/>
      <c r="CN185" s="418"/>
      <c r="CO185" s="418"/>
      <c r="CP185" s="418"/>
      <c r="CQ185" s="418"/>
      <c r="CR185" s="418"/>
      <c r="CS185" s="418"/>
      <c r="CT185" s="418"/>
      <c r="CU185" s="418"/>
      <c r="CV185" s="418"/>
      <c r="CW185" s="418"/>
      <c r="CX185" s="418"/>
      <c r="CY185" s="418"/>
      <c r="CZ185" s="418"/>
      <c r="DA185" s="418"/>
      <c r="DB185" s="418"/>
      <c r="DC185" s="418"/>
      <c r="DD185" s="418"/>
      <c r="DE185" s="418"/>
      <c r="DF185" s="418"/>
      <c r="DG185" s="418"/>
      <c r="DH185" s="418"/>
      <c r="DI185" s="418"/>
      <c r="DJ185" s="418"/>
      <c r="DK185" s="418"/>
      <c r="DL185" s="418"/>
      <c r="DM185" s="418"/>
      <c r="DN185" s="418"/>
      <c r="DO185" s="418"/>
      <c r="DP185" s="418"/>
      <c r="DQ185" s="418"/>
      <c r="DR185" s="418"/>
      <c r="DS185" s="418"/>
      <c r="DT185" s="418"/>
      <c r="DU185" s="418"/>
      <c r="DV185" s="418"/>
      <c r="DW185" s="418"/>
      <c r="DX185" s="418"/>
      <c r="DY185" s="418"/>
      <c r="DZ185" s="418"/>
      <c r="EA185" s="418"/>
      <c r="EB185" s="418"/>
      <c r="EC185" s="418"/>
      <c r="ED185" s="418"/>
      <c r="EE185" s="418"/>
      <c r="EF185" s="418"/>
      <c r="EG185" s="418"/>
      <c r="EH185" s="418"/>
      <c r="EI185" s="418"/>
      <c r="EJ185" s="418"/>
      <c r="EK185" s="418"/>
      <c r="EL185" s="418"/>
      <c r="EM185" s="418"/>
      <c r="EN185" s="418"/>
      <c r="EO185" s="418"/>
      <c r="EP185" s="418"/>
      <c r="EQ185" s="418"/>
      <c r="ER185" s="418"/>
      <c r="ES185" s="418"/>
      <c r="ET185" s="418"/>
      <c r="EU185" s="418"/>
      <c r="EV185" s="418"/>
      <c r="EW185" s="418"/>
      <c r="EX185" s="418"/>
      <c r="EY185" s="418"/>
      <c r="EZ185" s="418"/>
      <c r="FA185" s="418"/>
      <c r="FB185" s="418"/>
      <c r="FC185" s="418"/>
      <c r="FD185" s="418"/>
      <c r="FE185" s="418"/>
      <c r="FF185" s="418"/>
      <c r="FG185" s="418"/>
      <c r="FH185" s="418"/>
      <c r="FI185" s="418"/>
      <c r="FJ185" s="418"/>
      <c r="FK185" s="418"/>
      <c r="FL185" s="418"/>
      <c r="FM185" s="418"/>
      <c r="FN185" s="418"/>
      <c r="FO185" s="418"/>
      <c r="FP185" s="418"/>
      <c r="FQ185" s="418"/>
      <c r="FR185" s="418"/>
      <c r="FS185" s="418"/>
      <c r="FT185" s="418"/>
      <c r="FU185" s="418"/>
      <c r="FV185" s="418"/>
      <c r="FW185" s="418"/>
      <c r="FX185" s="418"/>
      <c r="FY185" s="418"/>
      <c r="FZ185" s="418"/>
      <c r="GA185" s="418"/>
      <c r="GB185" s="418"/>
      <c r="GC185" s="418"/>
      <c r="GD185" s="418"/>
      <c r="GE185" s="418"/>
      <c r="GF185" s="418"/>
      <c r="GG185" s="418"/>
      <c r="GH185" s="418"/>
      <c r="GI185" s="418"/>
      <c r="GJ185" s="418"/>
      <c r="GK185" s="418"/>
      <c r="GL185" s="418"/>
      <c r="GM185" s="418"/>
      <c r="GN185" s="418"/>
      <c r="GO185" s="418"/>
      <c r="GP185" s="418"/>
      <c r="GQ185" s="418"/>
      <c r="GR185" s="418"/>
      <c r="GS185" s="418"/>
      <c r="GT185" s="418"/>
      <c r="GU185" s="418"/>
      <c r="GV185" s="418"/>
      <c r="GW185" s="418"/>
      <c r="GX185" s="418"/>
      <c r="GY185" s="418"/>
      <c r="GZ185" s="418"/>
      <c r="HA185" s="418"/>
      <c r="HB185" s="418"/>
      <c r="HC185" s="418"/>
      <c r="HD185" s="418"/>
      <c r="HE185" s="418"/>
      <c r="HF185" s="418"/>
      <c r="HG185" s="418"/>
      <c r="HH185" s="418"/>
      <c r="HI185" s="418"/>
      <c r="HJ185" s="418"/>
      <c r="HK185" s="418"/>
      <c r="HL185" s="418"/>
      <c r="HM185" s="418"/>
      <c r="HN185" s="418"/>
      <c r="HO185" s="418"/>
      <c r="HP185" s="418"/>
      <c r="HQ185" s="418"/>
      <c r="HR185" s="418"/>
      <c r="HS185" s="418"/>
      <c r="HT185" s="418"/>
      <c r="HU185" s="418"/>
      <c r="HV185" s="418"/>
      <c r="HW185" s="418"/>
      <c r="HX185" s="418"/>
      <c r="HY185" s="418"/>
      <c r="HZ185" s="418"/>
      <c r="IA185" s="418"/>
      <c r="IB185" s="418"/>
      <c r="IC185" s="418"/>
      <c r="ID185" s="418"/>
      <c r="IE185" s="418"/>
      <c r="IF185" s="418"/>
      <c r="IG185" s="418"/>
      <c r="IH185" s="418"/>
      <c r="II185" s="418"/>
      <c r="IJ185" s="418"/>
      <c r="IK185" s="418"/>
      <c r="IL185" s="418"/>
      <c r="IM185" s="418"/>
      <c r="IN185" s="418"/>
      <c r="IO185" s="418"/>
      <c r="IP185" s="418"/>
      <c r="IQ185" s="418"/>
      <c r="IR185" s="418"/>
      <c r="IS185" s="418"/>
      <c r="IT185" s="418"/>
      <c r="IU185" s="418"/>
      <c r="IV185" s="418"/>
      <c r="IW185" s="418"/>
      <c r="IX185" s="418"/>
      <c r="IY185" s="418"/>
      <c r="IZ185" s="418"/>
      <c r="JA185" s="418"/>
    </row>
    <row r="186" spans="1:261" s="758" customFormat="1" ht="18" customHeight="1" x14ac:dyDescent="0.35">
      <c r="A186" s="773">
        <v>176</v>
      </c>
      <c r="B186" s="766"/>
      <c r="C186" s="420"/>
      <c r="D186" s="576" t="s">
        <v>1250</v>
      </c>
      <c r="E186" s="430"/>
      <c r="F186" s="430"/>
      <c r="G186" s="431"/>
      <c r="H186" s="999"/>
      <c r="I186" s="997"/>
      <c r="J186" s="430"/>
      <c r="K186" s="430">
        <f>SUM(K184:K185)</f>
        <v>0</v>
      </c>
      <c r="L186" s="430">
        <f>SUM(L184:L185)</f>
        <v>325</v>
      </c>
      <c r="M186" s="430"/>
      <c r="N186" s="430"/>
      <c r="O186" s="767">
        <f>SUM(I186:N186)</f>
        <v>325</v>
      </c>
      <c r="P186" s="763"/>
      <c r="Q186" s="418"/>
      <c r="R186" s="418"/>
      <c r="S186" s="418"/>
      <c r="T186" s="418"/>
      <c r="U186" s="418"/>
      <c r="V186" s="418"/>
      <c r="W186" s="418"/>
      <c r="X186" s="418"/>
      <c r="Y186" s="418"/>
      <c r="Z186" s="418"/>
      <c r="AA186" s="418"/>
      <c r="AB186" s="418"/>
      <c r="AC186" s="418"/>
      <c r="AD186" s="418"/>
      <c r="AE186" s="418"/>
      <c r="AF186" s="418"/>
      <c r="AG186" s="418"/>
      <c r="AH186" s="418"/>
      <c r="AI186" s="418"/>
      <c r="AJ186" s="418"/>
      <c r="AK186" s="418"/>
      <c r="AL186" s="418"/>
      <c r="AM186" s="418"/>
      <c r="AN186" s="418"/>
      <c r="AO186" s="418"/>
      <c r="AP186" s="418"/>
      <c r="AQ186" s="418"/>
      <c r="AR186" s="418"/>
      <c r="AS186" s="418"/>
      <c r="AT186" s="418"/>
      <c r="AU186" s="418"/>
      <c r="AV186" s="418"/>
      <c r="AW186" s="418"/>
      <c r="AX186" s="418"/>
      <c r="AY186" s="418"/>
      <c r="AZ186" s="418"/>
      <c r="BA186" s="418"/>
      <c r="BB186" s="418"/>
      <c r="BC186" s="418"/>
      <c r="BD186" s="418"/>
      <c r="BE186" s="418"/>
      <c r="BF186" s="418"/>
      <c r="BG186" s="418"/>
      <c r="BH186" s="418"/>
      <c r="BI186" s="418"/>
      <c r="BJ186" s="418"/>
      <c r="BK186" s="418"/>
      <c r="BL186" s="418"/>
      <c r="BM186" s="418"/>
      <c r="BN186" s="418"/>
      <c r="BO186" s="418"/>
      <c r="BP186" s="418"/>
      <c r="BQ186" s="418"/>
      <c r="BR186" s="418"/>
      <c r="BS186" s="418"/>
      <c r="BT186" s="418"/>
      <c r="BU186" s="418"/>
      <c r="BV186" s="418"/>
      <c r="BW186" s="418"/>
      <c r="BX186" s="418"/>
      <c r="BY186" s="418"/>
      <c r="BZ186" s="418"/>
      <c r="CA186" s="418"/>
      <c r="CB186" s="418"/>
      <c r="CC186" s="418"/>
      <c r="CD186" s="418"/>
      <c r="CE186" s="418"/>
      <c r="CF186" s="418"/>
      <c r="CG186" s="418"/>
      <c r="CH186" s="418"/>
      <c r="CI186" s="418"/>
      <c r="CJ186" s="418"/>
      <c r="CK186" s="418"/>
      <c r="CL186" s="418"/>
      <c r="CM186" s="418"/>
      <c r="CN186" s="418"/>
      <c r="CO186" s="418"/>
      <c r="CP186" s="418"/>
      <c r="CQ186" s="418"/>
      <c r="CR186" s="418"/>
      <c r="CS186" s="418"/>
      <c r="CT186" s="418"/>
      <c r="CU186" s="418"/>
      <c r="CV186" s="418"/>
      <c r="CW186" s="418"/>
      <c r="CX186" s="418"/>
      <c r="CY186" s="418"/>
      <c r="CZ186" s="418"/>
      <c r="DA186" s="418"/>
      <c r="DB186" s="418"/>
      <c r="DC186" s="418"/>
      <c r="DD186" s="418"/>
      <c r="DE186" s="418"/>
      <c r="DF186" s="418"/>
      <c r="DG186" s="418"/>
      <c r="DH186" s="418"/>
      <c r="DI186" s="418"/>
      <c r="DJ186" s="418"/>
      <c r="DK186" s="418"/>
      <c r="DL186" s="418"/>
      <c r="DM186" s="418"/>
      <c r="DN186" s="418"/>
      <c r="DO186" s="418"/>
      <c r="DP186" s="418"/>
      <c r="DQ186" s="418"/>
      <c r="DR186" s="418"/>
      <c r="DS186" s="418"/>
      <c r="DT186" s="418"/>
      <c r="DU186" s="418"/>
      <c r="DV186" s="418"/>
      <c r="DW186" s="418"/>
      <c r="DX186" s="418"/>
      <c r="DY186" s="418"/>
      <c r="DZ186" s="418"/>
      <c r="EA186" s="418"/>
      <c r="EB186" s="418"/>
      <c r="EC186" s="418"/>
      <c r="ED186" s="418"/>
      <c r="EE186" s="418"/>
      <c r="EF186" s="418"/>
      <c r="EG186" s="418"/>
      <c r="EH186" s="418"/>
      <c r="EI186" s="418"/>
      <c r="EJ186" s="418"/>
      <c r="EK186" s="418"/>
      <c r="EL186" s="418"/>
      <c r="EM186" s="418"/>
      <c r="EN186" s="418"/>
      <c r="EO186" s="418"/>
      <c r="EP186" s="418"/>
      <c r="EQ186" s="418"/>
      <c r="ER186" s="418"/>
      <c r="ES186" s="418"/>
      <c r="ET186" s="418"/>
      <c r="EU186" s="418"/>
      <c r="EV186" s="418"/>
      <c r="EW186" s="418"/>
      <c r="EX186" s="418"/>
      <c r="EY186" s="418"/>
      <c r="EZ186" s="418"/>
      <c r="FA186" s="418"/>
      <c r="FB186" s="418"/>
      <c r="FC186" s="418"/>
      <c r="FD186" s="418"/>
      <c r="FE186" s="418"/>
      <c r="FF186" s="418"/>
      <c r="FG186" s="418"/>
      <c r="FH186" s="418"/>
      <c r="FI186" s="418"/>
      <c r="FJ186" s="418"/>
      <c r="FK186" s="418"/>
      <c r="FL186" s="418"/>
      <c r="FM186" s="418"/>
      <c r="FN186" s="418"/>
      <c r="FO186" s="418"/>
      <c r="FP186" s="418"/>
      <c r="FQ186" s="418"/>
      <c r="FR186" s="418"/>
      <c r="FS186" s="418"/>
      <c r="FT186" s="418"/>
      <c r="FU186" s="418"/>
      <c r="FV186" s="418"/>
      <c r="FW186" s="418"/>
      <c r="FX186" s="418"/>
      <c r="FY186" s="418"/>
      <c r="FZ186" s="418"/>
      <c r="GA186" s="418"/>
      <c r="GB186" s="418"/>
      <c r="GC186" s="418"/>
      <c r="GD186" s="418"/>
      <c r="GE186" s="418"/>
      <c r="GF186" s="418"/>
      <c r="GG186" s="418"/>
      <c r="GH186" s="418"/>
      <c r="GI186" s="418"/>
      <c r="GJ186" s="418"/>
      <c r="GK186" s="418"/>
      <c r="GL186" s="418"/>
      <c r="GM186" s="418"/>
      <c r="GN186" s="418"/>
      <c r="GO186" s="418"/>
      <c r="GP186" s="418"/>
      <c r="GQ186" s="418"/>
      <c r="GR186" s="418"/>
      <c r="GS186" s="418"/>
      <c r="GT186" s="418"/>
      <c r="GU186" s="418"/>
      <c r="GV186" s="418"/>
      <c r="GW186" s="418"/>
      <c r="GX186" s="418"/>
      <c r="GY186" s="418"/>
      <c r="GZ186" s="418"/>
      <c r="HA186" s="418"/>
      <c r="HB186" s="418"/>
      <c r="HC186" s="418"/>
      <c r="HD186" s="418"/>
      <c r="HE186" s="418"/>
      <c r="HF186" s="418"/>
      <c r="HG186" s="418"/>
      <c r="HH186" s="418"/>
      <c r="HI186" s="418"/>
      <c r="HJ186" s="418"/>
      <c r="HK186" s="418"/>
      <c r="HL186" s="418"/>
      <c r="HM186" s="418"/>
      <c r="HN186" s="418"/>
      <c r="HO186" s="418"/>
      <c r="HP186" s="418"/>
      <c r="HQ186" s="418"/>
      <c r="HR186" s="418"/>
      <c r="HS186" s="418"/>
      <c r="HT186" s="418"/>
      <c r="HU186" s="418"/>
      <c r="HV186" s="418"/>
      <c r="HW186" s="418"/>
      <c r="HX186" s="418"/>
      <c r="HY186" s="418"/>
      <c r="HZ186" s="418"/>
      <c r="IA186" s="418"/>
      <c r="IB186" s="418"/>
      <c r="IC186" s="418"/>
      <c r="ID186" s="418"/>
      <c r="IE186" s="418"/>
      <c r="IF186" s="418"/>
      <c r="IG186" s="418"/>
      <c r="IH186" s="418"/>
      <c r="II186" s="418"/>
      <c r="IJ186" s="418"/>
      <c r="IK186" s="418"/>
      <c r="IL186" s="418"/>
      <c r="IM186" s="418"/>
      <c r="IN186" s="418"/>
      <c r="IO186" s="418"/>
      <c r="IP186" s="418"/>
      <c r="IQ186" s="418"/>
      <c r="IR186" s="418"/>
      <c r="IS186" s="418"/>
      <c r="IT186" s="418"/>
      <c r="IU186" s="418"/>
      <c r="IV186" s="418"/>
      <c r="IW186" s="418"/>
      <c r="IX186" s="418"/>
      <c r="IY186" s="418"/>
      <c r="IZ186" s="418"/>
      <c r="JA186" s="418"/>
    </row>
    <row r="187" spans="1:261" s="758" customFormat="1" ht="51.75" customHeight="1" x14ac:dyDescent="0.35">
      <c r="A187" s="773">
        <v>177</v>
      </c>
      <c r="B187" s="766"/>
      <c r="C187" s="420">
        <v>36</v>
      </c>
      <c r="D187" s="421" t="s">
        <v>707</v>
      </c>
      <c r="E187" s="430"/>
      <c r="F187" s="430"/>
      <c r="G187" s="431"/>
      <c r="H187" s="999" t="s">
        <v>24</v>
      </c>
      <c r="I187" s="1018"/>
      <c r="J187" s="1012"/>
      <c r="K187" s="1012"/>
      <c r="L187" s="1012"/>
      <c r="M187" s="1012"/>
      <c r="N187" s="1012"/>
      <c r="O187" s="982"/>
      <c r="P187" s="763"/>
      <c r="Q187" s="418"/>
      <c r="R187" s="418"/>
      <c r="S187" s="418"/>
      <c r="T187" s="418"/>
      <c r="U187" s="418"/>
      <c r="V187" s="418"/>
      <c r="W187" s="418"/>
      <c r="X187" s="418"/>
      <c r="Y187" s="418"/>
      <c r="Z187" s="418"/>
      <c r="AA187" s="418"/>
      <c r="AB187" s="418"/>
      <c r="AC187" s="418"/>
      <c r="AD187" s="418"/>
      <c r="AE187" s="418"/>
      <c r="AF187" s="418"/>
      <c r="AG187" s="418"/>
      <c r="AH187" s="418"/>
      <c r="AI187" s="418"/>
      <c r="AJ187" s="418"/>
      <c r="AK187" s="418"/>
      <c r="AL187" s="418"/>
      <c r="AM187" s="418"/>
      <c r="AN187" s="418"/>
      <c r="AO187" s="418"/>
      <c r="AP187" s="418"/>
      <c r="AQ187" s="418"/>
      <c r="AR187" s="418"/>
      <c r="AS187" s="418"/>
      <c r="AT187" s="418"/>
      <c r="AU187" s="418"/>
      <c r="AV187" s="418"/>
      <c r="AW187" s="418"/>
      <c r="AX187" s="418"/>
      <c r="AY187" s="418"/>
      <c r="AZ187" s="418"/>
      <c r="BA187" s="418"/>
      <c r="BB187" s="418"/>
      <c r="BC187" s="418"/>
      <c r="BD187" s="418"/>
      <c r="BE187" s="418"/>
      <c r="BF187" s="418"/>
      <c r="BG187" s="418"/>
      <c r="BH187" s="418"/>
      <c r="BI187" s="418"/>
      <c r="BJ187" s="418"/>
      <c r="BK187" s="418"/>
      <c r="BL187" s="418"/>
      <c r="BM187" s="418"/>
      <c r="BN187" s="418"/>
      <c r="BO187" s="418"/>
      <c r="BP187" s="418"/>
      <c r="BQ187" s="418"/>
      <c r="BR187" s="418"/>
      <c r="BS187" s="418"/>
      <c r="BT187" s="418"/>
      <c r="BU187" s="418"/>
      <c r="BV187" s="418"/>
      <c r="BW187" s="418"/>
      <c r="BX187" s="418"/>
      <c r="BY187" s="418"/>
      <c r="BZ187" s="418"/>
      <c r="CA187" s="418"/>
      <c r="CB187" s="418"/>
      <c r="CC187" s="418"/>
      <c r="CD187" s="418"/>
      <c r="CE187" s="418"/>
      <c r="CF187" s="418"/>
      <c r="CG187" s="418"/>
      <c r="CH187" s="418"/>
      <c r="CI187" s="418"/>
      <c r="CJ187" s="418"/>
      <c r="CK187" s="418"/>
      <c r="CL187" s="418"/>
      <c r="CM187" s="418"/>
      <c r="CN187" s="418"/>
      <c r="CO187" s="418"/>
      <c r="CP187" s="418"/>
      <c r="CQ187" s="418"/>
      <c r="CR187" s="418"/>
      <c r="CS187" s="418"/>
      <c r="CT187" s="418"/>
      <c r="CU187" s="418"/>
      <c r="CV187" s="418"/>
      <c r="CW187" s="418"/>
      <c r="CX187" s="418"/>
      <c r="CY187" s="418"/>
      <c r="CZ187" s="418"/>
      <c r="DA187" s="418"/>
      <c r="DB187" s="418"/>
      <c r="DC187" s="418"/>
      <c r="DD187" s="418"/>
      <c r="DE187" s="418"/>
      <c r="DF187" s="418"/>
      <c r="DG187" s="418"/>
      <c r="DH187" s="418"/>
      <c r="DI187" s="418"/>
      <c r="DJ187" s="418"/>
      <c r="DK187" s="418"/>
      <c r="DL187" s="418"/>
      <c r="DM187" s="418"/>
      <c r="DN187" s="418"/>
      <c r="DO187" s="418"/>
      <c r="DP187" s="418"/>
      <c r="DQ187" s="418"/>
      <c r="DR187" s="418"/>
      <c r="DS187" s="418"/>
      <c r="DT187" s="418"/>
      <c r="DU187" s="418"/>
      <c r="DV187" s="418"/>
      <c r="DW187" s="418"/>
      <c r="DX187" s="418"/>
      <c r="DY187" s="418"/>
      <c r="DZ187" s="418"/>
      <c r="EA187" s="418"/>
      <c r="EB187" s="418"/>
      <c r="EC187" s="418"/>
      <c r="ED187" s="418"/>
      <c r="EE187" s="418"/>
      <c r="EF187" s="418"/>
      <c r="EG187" s="418"/>
      <c r="EH187" s="418"/>
      <c r="EI187" s="418"/>
      <c r="EJ187" s="418"/>
      <c r="EK187" s="418"/>
      <c r="EL187" s="418"/>
      <c r="EM187" s="418"/>
      <c r="EN187" s="418"/>
      <c r="EO187" s="418"/>
      <c r="EP187" s="418"/>
      <c r="EQ187" s="418"/>
      <c r="ER187" s="418"/>
      <c r="ES187" s="418"/>
      <c r="ET187" s="418"/>
      <c r="EU187" s="418"/>
      <c r="EV187" s="418"/>
      <c r="EW187" s="418"/>
      <c r="EX187" s="418"/>
      <c r="EY187" s="418"/>
      <c r="EZ187" s="418"/>
      <c r="FA187" s="418"/>
      <c r="FB187" s="418"/>
      <c r="FC187" s="418"/>
      <c r="FD187" s="418"/>
      <c r="FE187" s="418"/>
      <c r="FF187" s="418"/>
      <c r="FG187" s="418"/>
      <c r="FH187" s="418"/>
      <c r="FI187" s="418"/>
      <c r="FJ187" s="418"/>
      <c r="FK187" s="418"/>
      <c r="FL187" s="418"/>
      <c r="FM187" s="418"/>
      <c r="FN187" s="418"/>
      <c r="FO187" s="418"/>
      <c r="FP187" s="418"/>
      <c r="FQ187" s="418"/>
      <c r="FR187" s="418"/>
      <c r="FS187" s="418"/>
      <c r="FT187" s="418"/>
      <c r="FU187" s="418"/>
      <c r="FV187" s="418"/>
      <c r="FW187" s="418"/>
      <c r="FX187" s="418"/>
      <c r="FY187" s="418"/>
      <c r="FZ187" s="418"/>
      <c r="GA187" s="418"/>
      <c r="GB187" s="418"/>
      <c r="GC187" s="418"/>
      <c r="GD187" s="418"/>
      <c r="GE187" s="418"/>
      <c r="GF187" s="418"/>
      <c r="GG187" s="418"/>
      <c r="GH187" s="418"/>
      <c r="GI187" s="418"/>
      <c r="GJ187" s="418"/>
      <c r="GK187" s="418"/>
      <c r="GL187" s="418"/>
      <c r="GM187" s="418"/>
      <c r="GN187" s="418"/>
      <c r="GO187" s="418"/>
      <c r="GP187" s="418"/>
      <c r="GQ187" s="418"/>
      <c r="GR187" s="418"/>
      <c r="GS187" s="418"/>
      <c r="GT187" s="418"/>
      <c r="GU187" s="418"/>
      <c r="GV187" s="418"/>
      <c r="GW187" s="418"/>
      <c r="GX187" s="418"/>
      <c r="GY187" s="418"/>
      <c r="GZ187" s="418"/>
      <c r="HA187" s="418"/>
      <c r="HB187" s="418"/>
      <c r="HC187" s="418"/>
      <c r="HD187" s="418"/>
      <c r="HE187" s="418"/>
      <c r="HF187" s="418"/>
      <c r="HG187" s="418"/>
      <c r="HH187" s="418"/>
      <c r="HI187" s="418"/>
      <c r="HJ187" s="418"/>
      <c r="HK187" s="418"/>
      <c r="HL187" s="418"/>
      <c r="HM187" s="418"/>
      <c r="HN187" s="418"/>
      <c r="HO187" s="418"/>
      <c r="HP187" s="418"/>
      <c r="HQ187" s="418"/>
      <c r="HR187" s="418"/>
      <c r="HS187" s="418"/>
      <c r="HT187" s="418"/>
      <c r="HU187" s="418"/>
      <c r="HV187" s="418"/>
      <c r="HW187" s="418"/>
      <c r="HX187" s="418"/>
      <c r="HY187" s="418"/>
      <c r="HZ187" s="418"/>
      <c r="IA187" s="418"/>
      <c r="IB187" s="418"/>
      <c r="IC187" s="418"/>
      <c r="ID187" s="418"/>
      <c r="IE187" s="418"/>
      <c r="IF187" s="418"/>
      <c r="IG187" s="418"/>
      <c r="IH187" s="418"/>
      <c r="II187" s="418"/>
      <c r="IJ187" s="418"/>
      <c r="IK187" s="418"/>
      <c r="IL187" s="418"/>
      <c r="IM187" s="418"/>
      <c r="IN187" s="418"/>
      <c r="IO187" s="418"/>
      <c r="IP187" s="418"/>
      <c r="IQ187" s="418"/>
      <c r="IR187" s="418"/>
      <c r="IS187" s="418"/>
      <c r="IT187" s="418"/>
      <c r="IU187" s="418"/>
      <c r="IV187" s="418"/>
      <c r="IW187" s="418"/>
      <c r="IX187" s="418"/>
      <c r="IY187" s="418"/>
      <c r="IZ187" s="418"/>
      <c r="JA187" s="418"/>
    </row>
    <row r="188" spans="1:261" s="758" customFormat="1" ht="18" customHeight="1" x14ac:dyDescent="0.35">
      <c r="A188" s="773">
        <v>178</v>
      </c>
      <c r="B188" s="766"/>
      <c r="C188" s="420"/>
      <c r="D188" s="992" t="s">
        <v>308</v>
      </c>
      <c r="E188" s="430">
        <f>F188+G188+O191+P188</f>
        <v>4006</v>
      </c>
      <c r="F188" s="430"/>
      <c r="G188" s="431"/>
      <c r="H188" s="999"/>
      <c r="I188" s="1018"/>
      <c r="J188" s="1012"/>
      <c r="K188" s="1012">
        <v>500</v>
      </c>
      <c r="L188" s="1012">
        <v>3506</v>
      </c>
      <c r="M188" s="1012"/>
      <c r="N188" s="1012"/>
      <c r="O188" s="982">
        <f>SUM(I188:N188)</f>
        <v>4006</v>
      </c>
      <c r="P188" s="763"/>
      <c r="Q188" s="418"/>
      <c r="R188" s="418"/>
      <c r="S188" s="418"/>
      <c r="T188" s="418"/>
      <c r="U188" s="418"/>
      <c r="V188" s="418"/>
      <c r="W188" s="418"/>
      <c r="X188" s="418"/>
      <c r="Y188" s="418"/>
      <c r="Z188" s="418"/>
      <c r="AA188" s="418"/>
      <c r="AB188" s="418"/>
      <c r="AC188" s="418"/>
      <c r="AD188" s="418"/>
      <c r="AE188" s="418"/>
      <c r="AF188" s="418"/>
      <c r="AG188" s="418"/>
      <c r="AH188" s="418"/>
      <c r="AI188" s="418"/>
      <c r="AJ188" s="418"/>
      <c r="AK188" s="418"/>
      <c r="AL188" s="418"/>
      <c r="AM188" s="418"/>
      <c r="AN188" s="418"/>
      <c r="AO188" s="418"/>
      <c r="AP188" s="418"/>
      <c r="AQ188" s="418"/>
      <c r="AR188" s="418"/>
      <c r="AS188" s="418"/>
      <c r="AT188" s="418"/>
      <c r="AU188" s="418"/>
      <c r="AV188" s="418"/>
      <c r="AW188" s="418"/>
      <c r="AX188" s="418"/>
      <c r="AY188" s="418"/>
      <c r="AZ188" s="418"/>
      <c r="BA188" s="418"/>
      <c r="BB188" s="418"/>
      <c r="BC188" s="418"/>
      <c r="BD188" s="418"/>
      <c r="BE188" s="418"/>
      <c r="BF188" s="418"/>
      <c r="BG188" s="418"/>
      <c r="BH188" s="418"/>
      <c r="BI188" s="418"/>
      <c r="BJ188" s="418"/>
      <c r="BK188" s="418"/>
      <c r="BL188" s="418"/>
      <c r="BM188" s="418"/>
      <c r="BN188" s="418"/>
      <c r="BO188" s="418"/>
      <c r="BP188" s="418"/>
      <c r="BQ188" s="418"/>
      <c r="BR188" s="418"/>
      <c r="BS188" s="418"/>
      <c r="BT188" s="418"/>
      <c r="BU188" s="418"/>
      <c r="BV188" s="418"/>
      <c r="BW188" s="418"/>
      <c r="BX188" s="418"/>
      <c r="BY188" s="418"/>
      <c r="BZ188" s="418"/>
      <c r="CA188" s="418"/>
      <c r="CB188" s="418"/>
      <c r="CC188" s="418"/>
      <c r="CD188" s="418"/>
      <c r="CE188" s="418"/>
      <c r="CF188" s="418"/>
      <c r="CG188" s="418"/>
      <c r="CH188" s="418"/>
      <c r="CI188" s="418"/>
      <c r="CJ188" s="418"/>
      <c r="CK188" s="418"/>
      <c r="CL188" s="418"/>
      <c r="CM188" s="418"/>
      <c r="CN188" s="418"/>
      <c r="CO188" s="418"/>
      <c r="CP188" s="418"/>
      <c r="CQ188" s="418"/>
      <c r="CR188" s="418"/>
      <c r="CS188" s="418"/>
      <c r="CT188" s="418"/>
      <c r="CU188" s="418"/>
      <c r="CV188" s="418"/>
      <c r="CW188" s="418"/>
      <c r="CX188" s="418"/>
      <c r="CY188" s="418"/>
      <c r="CZ188" s="418"/>
      <c r="DA188" s="418"/>
      <c r="DB188" s="418"/>
      <c r="DC188" s="418"/>
      <c r="DD188" s="418"/>
      <c r="DE188" s="418"/>
      <c r="DF188" s="418"/>
      <c r="DG188" s="418"/>
      <c r="DH188" s="418"/>
      <c r="DI188" s="418"/>
      <c r="DJ188" s="418"/>
      <c r="DK188" s="418"/>
      <c r="DL188" s="418"/>
      <c r="DM188" s="418"/>
      <c r="DN188" s="418"/>
      <c r="DO188" s="418"/>
      <c r="DP188" s="418"/>
      <c r="DQ188" s="418"/>
      <c r="DR188" s="418"/>
      <c r="DS188" s="418"/>
      <c r="DT188" s="418"/>
      <c r="DU188" s="418"/>
      <c r="DV188" s="418"/>
      <c r="DW188" s="418"/>
      <c r="DX188" s="418"/>
      <c r="DY188" s="418"/>
      <c r="DZ188" s="418"/>
      <c r="EA188" s="418"/>
      <c r="EB188" s="418"/>
      <c r="EC188" s="418"/>
      <c r="ED188" s="418"/>
      <c r="EE188" s="418"/>
      <c r="EF188" s="418"/>
      <c r="EG188" s="418"/>
      <c r="EH188" s="418"/>
      <c r="EI188" s="418"/>
      <c r="EJ188" s="418"/>
      <c r="EK188" s="418"/>
      <c r="EL188" s="418"/>
      <c r="EM188" s="418"/>
      <c r="EN188" s="418"/>
      <c r="EO188" s="418"/>
      <c r="EP188" s="418"/>
      <c r="EQ188" s="418"/>
      <c r="ER188" s="418"/>
      <c r="ES188" s="418"/>
      <c r="ET188" s="418"/>
      <c r="EU188" s="418"/>
      <c r="EV188" s="418"/>
      <c r="EW188" s="418"/>
      <c r="EX188" s="418"/>
      <c r="EY188" s="418"/>
      <c r="EZ188" s="418"/>
      <c r="FA188" s="418"/>
      <c r="FB188" s="418"/>
      <c r="FC188" s="418"/>
      <c r="FD188" s="418"/>
      <c r="FE188" s="418"/>
      <c r="FF188" s="418"/>
      <c r="FG188" s="418"/>
      <c r="FH188" s="418"/>
      <c r="FI188" s="418"/>
      <c r="FJ188" s="418"/>
      <c r="FK188" s="418"/>
      <c r="FL188" s="418"/>
      <c r="FM188" s="418"/>
      <c r="FN188" s="418"/>
      <c r="FO188" s="418"/>
      <c r="FP188" s="418"/>
      <c r="FQ188" s="418"/>
      <c r="FR188" s="418"/>
      <c r="FS188" s="418"/>
      <c r="FT188" s="418"/>
      <c r="FU188" s="418"/>
      <c r="FV188" s="418"/>
      <c r="FW188" s="418"/>
      <c r="FX188" s="418"/>
      <c r="FY188" s="418"/>
      <c r="FZ188" s="418"/>
      <c r="GA188" s="418"/>
      <c r="GB188" s="418"/>
      <c r="GC188" s="418"/>
      <c r="GD188" s="418"/>
      <c r="GE188" s="418"/>
      <c r="GF188" s="418"/>
      <c r="GG188" s="418"/>
      <c r="GH188" s="418"/>
      <c r="GI188" s="418"/>
      <c r="GJ188" s="418"/>
      <c r="GK188" s="418"/>
      <c r="GL188" s="418"/>
      <c r="GM188" s="418"/>
      <c r="GN188" s="418"/>
      <c r="GO188" s="418"/>
      <c r="GP188" s="418"/>
      <c r="GQ188" s="418"/>
      <c r="GR188" s="418"/>
      <c r="GS188" s="418"/>
      <c r="GT188" s="418"/>
      <c r="GU188" s="418"/>
      <c r="GV188" s="418"/>
      <c r="GW188" s="418"/>
      <c r="GX188" s="418"/>
      <c r="GY188" s="418"/>
      <c r="GZ188" s="418"/>
      <c r="HA188" s="418"/>
      <c r="HB188" s="418"/>
      <c r="HC188" s="418"/>
      <c r="HD188" s="418"/>
      <c r="HE188" s="418"/>
      <c r="HF188" s="418"/>
      <c r="HG188" s="418"/>
      <c r="HH188" s="418"/>
      <c r="HI188" s="418"/>
      <c r="HJ188" s="418"/>
      <c r="HK188" s="418"/>
      <c r="HL188" s="418"/>
      <c r="HM188" s="418"/>
      <c r="HN188" s="418"/>
      <c r="HO188" s="418"/>
      <c r="HP188" s="418"/>
      <c r="HQ188" s="418"/>
      <c r="HR188" s="418"/>
      <c r="HS188" s="418"/>
      <c r="HT188" s="418"/>
      <c r="HU188" s="418"/>
      <c r="HV188" s="418"/>
      <c r="HW188" s="418"/>
      <c r="HX188" s="418"/>
      <c r="HY188" s="418"/>
      <c r="HZ188" s="418"/>
      <c r="IA188" s="418"/>
      <c r="IB188" s="418"/>
      <c r="IC188" s="418"/>
      <c r="ID188" s="418"/>
      <c r="IE188" s="418"/>
      <c r="IF188" s="418"/>
      <c r="IG188" s="418"/>
      <c r="IH188" s="418"/>
      <c r="II188" s="418"/>
      <c r="IJ188" s="418"/>
      <c r="IK188" s="418"/>
      <c r="IL188" s="418"/>
      <c r="IM188" s="418"/>
      <c r="IN188" s="418"/>
      <c r="IO188" s="418"/>
      <c r="IP188" s="418"/>
      <c r="IQ188" s="418"/>
      <c r="IR188" s="418"/>
      <c r="IS188" s="418"/>
      <c r="IT188" s="418"/>
      <c r="IU188" s="418"/>
      <c r="IV188" s="418"/>
      <c r="IW188" s="418"/>
      <c r="IX188" s="418"/>
      <c r="IY188" s="418"/>
      <c r="IZ188" s="418"/>
      <c r="JA188" s="418"/>
    </row>
    <row r="189" spans="1:261" s="758" customFormat="1" ht="18" customHeight="1" x14ac:dyDescent="0.35">
      <c r="A189" s="773">
        <v>179</v>
      </c>
      <c r="B189" s="766"/>
      <c r="C189" s="420"/>
      <c r="D189" s="576" t="s">
        <v>1158</v>
      </c>
      <c r="E189" s="430"/>
      <c r="F189" s="430"/>
      <c r="G189" s="431"/>
      <c r="H189" s="999"/>
      <c r="I189" s="1018"/>
      <c r="J189" s="1012"/>
      <c r="K189" s="430">
        <v>500</v>
      </c>
      <c r="L189" s="430">
        <v>3506</v>
      </c>
      <c r="M189" s="1012"/>
      <c r="N189" s="1012"/>
      <c r="O189" s="767">
        <f>SUM(I189:N189)</f>
        <v>4006</v>
      </c>
      <c r="P189" s="763"/>
      <c r="Q189" s="418"/>
      <c r="R189" s="418"/>
      <c r="S189" s="418"/>
      <c r="T189" s="418"/>
      <c r="U189" s="418"/>
      <c r="V189" s="418"/>
      <c r="W189" s="418"/>
      <c r="X189" s="418"/>
      <c r="Y189" s="418"/>
      <c r="Z189" s="418"/>
      <c r="AA189" s="418"/>
      <c r="AB189" s="418"/>
      <c r="AC189" s="418"/>
      <c r="AD189" s="418"/>
      <c r="AE189" s="418"/>
      <c r="AF189" s="418"/>
      <c r="AG189" s="418"/>
      <c r="AH189" s="418"/>
      <c r="AI189" s="418"/>
      <c r="AJ189" s="418"/>
      <c r="AK189" s="418"/>
      <c r="AL189" s="418"/>
      <c r="AM189" s="418"/>
      <c r="AN189" s="418"/>
      <c r="AO189" s="418"/>
      <c r="AP189" s="418"/>
      <c r="AQ189" s="418"/>
      <c r="AR189" s="418"/>
      <c r="AS189" s="418"/>
      <c r="AT189" s="418"/>
      <c r="AU189" s="418"/>
      <c r="AV189" s="418"/>
      <c r="AW189" s="418"/>
      <c r="AX189" s="418"/>
      <c r="AY189" s="418"/>
      <c r="AZ189" s="418"/>
      <c r="BA189" s="418"/>
      <c r="BB189" s="418"/>
      <c r="BC189" s="418"/>
      <c r="BD189" s="418"/>
      <c r="BE189" s="418"/>
      <c r="BF189" s="418"/>
      <c r="BG189" s="418"/>
      <c r="BH189" s="418"/>
      <c r="BI189" s="418"/>
      <c r="BJ189" s="418"/>
      <c r="BK189" s="418"/>
      <c r="BL189" s="418"/>
      <c r="BM189" s="418"/>
      <c r="BN189" s="418"/>
      <c r="BO189" s="418"/>
      <c r="BP189" s="418"/>
      <c r="BQ189" s="418"/>
      <c r="BR189" s="418"/>
      <c r="BS189" s="418"/>
      <c r="BT189" s="418"/>
      <c r="BU189" s="418"/>
      <c r="BV189" s="418"/>
      <c r="BW189" s="418"/>
      <c r="BX189" s="418"/>
      <c r="BY189" s="418"/>
      <c r="BZ189" s="418"/>
      <c r="CA189" s="418"/>
      <c r="CB189" s="418"/>
      <c r="CC189" s="418"/>
      <c r="CD189" s="418"/>
      <c r="CE189" s="418"/>
      <c r="CF189" s="418"/>
      <c r="CG189" s="418"/>
      <c r="CH189" s="418"/>
      <c r="CI189" s="418"/>
      <c r="CJ189" s="418"/>
      <c r="CK189" s="418"/>
      <c r="CL189" s="418"/>
      <c r="CM189" s="418"/>
      <c r="CN189" s="418"/>
      <c r="CO189" s="418"/>
      <c r="CP189" s="418"/>
      <c r="CQ189" s="418"/>
      <c r="CR189" s="418"/>
      <c r="CS189" s="418"/>
      <c r="CT189" s="418"/>
      <c r="CU189" s="418"/>
      <c r="CV189" s="418"/>
      <c r="CW189" s="418"/>
      <c r="CX189" s="418"/>
      <c r="CY189" s="418"/>
      <c r="CZ189" s="418"/>
      <c r="DA189" s="418"/>
      <c r="DB189" s="418"/>
      <c r="DC189" s="418"/>
      <c r="DD189" s="418"/>
      <c r="DE189" s="418"/>
      <c r="DF189" s="418"/>
      <c r="DG189" s="418"/>
      <c r="DH189" s="418"/>
      <c r="DI189" s="418"/>
      <c r="DJ189" s="418"/>
      <c r="DK189" s="418"/>
      <c r="DL189" s="418"/>
      <c r="DM189" s="418"/>
      <c r="DN189" s="418"/>
      <c r="DO189" s="418"/>
      <c r="DP189" s="418"/>
      <c r="DQ189" s="418"/>
      <c r="DR189" s="418"/>
      <c r="DS189" s="418"/>
      <c r="DT189" s="418"/>
      <c r="DU189" s="418"/>
      <c r="DV189" s="418"/>
      <c r="DW189" s="418"/>
      <c r="DX189" s="418"/>
      <c r="DY189" s="418"/>
      <c r="DZ189" s="418"/>
      <c r="EA189" s="418"/>
      <c r="EB189" s="418"/>
      <c r="EC189" s="418"/>
      <c r="ED189" s="418"/>
      <c r="EE189" s="418"/>
      <c r="EF189" s="418"/>
      <c r="EG189" s="418"/>
      <c r="EH189" s="418"/>
      <c r="EI189" s="418"/>
      <c r="EJ189" s="418"/>
      <c r="EK189" s="418"/>
      <c r="EL189" s="418"/>
      <c r="EM189" s="418"/>
      <c r="EN189" s="418"/>
      <c r="EO189" s="418"/>
      <c r="EP189" s="418"/>
      <c r="EQ189" s="418"/>
      <c r="ER189" s="418"/>
      <c r="ES189" s="418"/>
      <c r="ET189" s="418"/>
      <c r="EU189" s="418"/>
      <c r="EV189" s="418"/>
      <c r="EW189" s="418"/>
      <c r="EX189" s="418"/>
      <c r="EY189" s="418"/>
      <c r="EZ189" s="418"/>
      <c r="FA189" s="418"/>
      <c r="FB189" s="418"/>
      <c r="FC189" s="418"/>
      <c r="FD189" s="418"/>
      <c r="FE189" s="418"/>
      <c r="FF189" s="418"/>
      <c r="FG189" s="418"/>
      <c r="FH189" s="418"/>
      <c r="FI189" s="418"/>
      <c r="FJ189" s="418"/>
      <c r="FK189" s="418"/>
      <c r="FL189" s="418"/>
      <c r="FM189" s="418"/>
      <c r="FN189" s="418"/>
      <c r="FO189" s="418"/>
      <c r="FP189" s="418"/>
      <c r="FQ189" s="418"/>
      <c r="FR189" s="418"/>
      <c r="FS189" s="418"/>
      <c r="FT189" s="418"/>
      <c r="FU189" s="418"/>
      <c r="FV189" s="418"/>
      <c r="FW189" s="418"/>
      <c r="FX189" s="418"/>
      <c r="FY189" s="418"/>
      <c r="FZ189" s="418"/>
      <c r="GA189" s="418"/>
      <c r="GB189" s="418"/>
      <c r="GC189" s="418"/>
      <c r="GD189" s="418"/>
      <c r="GE189" s="418"/>
      <c r="GF189" s="418"/>
      <c r="GG189" s="418"/>
      <c r="GH189" s="418"/>
      <c r="GI189" s="418"/>
      <c r="GJ189" s="418"/>
      <c r="GK189" s="418"/>
      <c r="GL189" s="418"/>
      <c r="GM189" s="418"/>
      <c r="GN189" s="418"/>
      <c r="GO189" s="418"/>
      <c r="GP189" s="418"/>
      <c r="GQ189" s="418"/>
      <c r="GR189" s="418"/>
      <c r="GS189" s="418"/>
      <c r="GT189" s="418"/>
      <c r="GU189" s="418"/>
      <c r="GV189" s="418"/>
      <c r="GW189" s="418"/>
      <c r="GX189" s="418"/>
      <c r="GY189" s="418"/>
      <c r="GZ189" s="418"/>
      <c r="HA189" s="418"/>
      <c r="HB189" s="418"/>
      <c r="HC189" s="418"/>
      <c r="HD189" s="418"/>
      <c r="HE189" s="418"/>
      <c r="HF189" s="418"/>
      <c r="HG189" s="418"/>
      <c r="HH189" s="418"/>
      <c r="HI189" s="418"/>
      <c r="HJ189" s="418"/>
      <c r="HK189" s="418"/>
      <c r="HL189" s="418"/>
      <c r="HM189" s="418"/>
      <c r="HN189" s="418"/>
      <c r="HO189" s="418"/>
      <c r="HP189" s="418"/>
      <c r="HQ189" s="418"/>
      <c r="HR189" s="418"/>
      <c r="HS189" s="418"/>
      <c r="HT189" s="418"/>
      <c r="HU189" s="418"/>
      <c r="HV189" s="418"/>
      <c r="HW189" s="418"/>
      <c r="HX189" s="418"/>
      <c r="HY189" s="418"/>
      <c r="HZ189" s="418"/>
      <c r="IA189" s="418"/>
      <c r="IB189" s="418"/>
      <c r="IC189" s="418"/>
      <c r="ID189" s="418"/>
      <c r="IE189" s="418"/>
      <c r="IF189" s="418"/>
      <c r="IG189" s="418"/>
      <c r="IH189" s="418"/>
      <c r="II189" s="418"/>
      <c r="IJ189" s="418"/>
      <c r="IK189" s="418"/>
      <c r="IL189" s="418"/>
      <c r="IM189" s="418"/>
      <c r="IN189" s="418"/>
      <c r="IO189" s="418"/>
      <c r="IP189" s="418"/>
      <c r="IQ189" s="418"/>
      <c r="IR189" s="418"/>
      <c r="IS189" s="418"/>
      <c r="IT189" s="418"/>
      <c r="IU189" s="418"/>
      <c r="IV189" s="418"/>
      <c r="IW189" s="418"/>
      <c r="IX189" s="418"/>
      <c r="IY189" s="418"/>
      <c r="IZ189" s="418"/>
      <c r="JA189" s="418"/>
    </row>
    <row r="190" spans="1:261" s="758" customFormat="1" ht="18" customHeight="1" x14ac:dyDescent="0.35">
      <c r="A190" s="773">
        <v>180</v>
      </c>
      <c r="B190" s="766"/>
      <c r="C190" s="420"/>
      <c r="D190" s="1318" t="s">
        <v>947</v>
      </c>
      <c r="E190" s="430"/>
      <c r="F190" s="430"/>
      <c r="G190" s="431"/>
      <c r="H190" s="999"/>
      <c r="I190" s="997"/>
      <c r="J190" s="430"/>
      <c r="K190" s="430"/>
      <c r="L190" s="430"/>
      <c r="M190" s="430"/>
      <c r="N190" s="430"/>
      <c r="O190" s="1599">
        <f>SUM(I190:N190)</f>
        <v>0</v>
      </c>
      <c r="P190" s="763"/>
      <c r="Q190" s="418"/>
      <c r="R190" s="418"/>
      <c r="S190" s="418"/>
      <c r="T190" s="418"/>
      <c r="U190" s="418"/>
      <c r="V190" s="418"/>
      <c r="W190" s="418"/>
      <c r="X190" s="418"/>
      <c r="Y190" s="418"/>
      <c r="Z190" s="418"/>
      <c r="AA190" s="418"/>
      <c r="AB190" s="418"/>
      <c r="AC190" s="418"/>
      <c r="AD190" s="418"/>
      <c r="AE190" s="418"/>
      <c r="AF190" s="418"/>
      <c r="AG190" s="418"/>
      <c r="AH190" s="418"/>
      <c r="AI190" s="418"/>
      <c r="AJ190" s="418"/>
      <c r="AK190" s="418"/>
      <c r="AL190" s="418"/>
      <c r="AM190" s="418"/>
      <c r="AN190" s="418"/>
      <c r="AO190" s="418"/>
      <c r="AP190" s="418"/>
      <c r="AQ190" s="418"/>
      <c r="AR190" s="418"/>
      <c r="AS190" s="418"/>
      <c r="AT190" s="418"/>
      <c r="AU190" s="418"/>
      <c r="AV190" s="418"/>
      <c r="AW190" s="418"/>
      <c r="AX190" s="418"/>
      <c r="AY190" s="418"/>
      <c r="AZ190" s="418"/>
      <c r="BA190" s="418"/>
      <c r="BB190" s="418"/>
      <c r="BC190" s="418"/>
      <c r="BD190" s="418"/>
      <c r="BE190" s="418"/>
      <c r="BF190" s="418"/>
      <c r="BG190" s="418"/>
      <c r="BH190" s="418"/>
      <c r="BI190" s="418"/>
      <c r="BJ190" s="418"/>
      <c r="BK190" s="418"/>
      <c r="BL190" s="418"/>
      <c r="BM190" s="418"/>
      <c r="BN190" s="418"/>
      <c r="BO190" s="418"/>
      <c r="BP190" s="418"/>
      <c r="BQ190" s="418"/>
      <c r="BR190" s="418"/>
      <c r="BS190" s="418"/>
      <c r="BT190" s="418"/>
      <c r="BU190" s="418"/>
      <c r="BV190" s="418"/>
      <c r="BW190" s="418"/>
      <c r="BX190" s="418"/>
      <c r="BY190" s="418"/>
      <c r="BZ190" s="418"/>
      <c r="CA190" s="418"/>
      <c r="CB190" s="418"/>
      <c r="CC190" s="418"/>
      <c r="CD190" s="418"/>
      <c r="CE190" s="418"/>
      <c r="CF190" s="418"/>
      <c r="CG190" s="418"/>
      <c r="CH190" s="418"/>
      <c r="CI190" s="418"/>
      <c r="CJ190" s="418"/>
      <c r="CK190" s="418"/>
      <c r="CL190" s="418"/>
      <c r="CM190" s="418"/>
      <c r="CN190" s="418"/>
      <c r="CO190" s="418"/>
      <c r="CP190" s="418"/>
      <c r="CQ190" s="418"/>
      <c r="CR190" s="418"/>
      <c r="CS190" s="418"/>
      <c r="CT190" s="418"/>
      <c r="CU190" s="418"/>
      <c r="CV190" s="418"/>
      <c r="CW190" s="418"/>
      <c r="CX190" s="418"/>
      <c r="CY190" s="418"/>
      <c r="CZ190" s="418"/>
      <c r="DA190" s="418"/>
      <c r="DB190" s="418"/>
      <c r="DC190" s="418"/>
      <c r="DD190" s="418"/>
      <c r="DE190" s="418"/>
      <c r="DF190" s="418"/>
      <c r="DG190" s="418"/>
      <c r="DH190" s="418"/>
      <c r="DI190" s="418"/>
      <c r="DJ190" s="418"/>
      <c r="DK190" s="418"/>
      <c r="DL190" s="418"/>
      <c r="DM190" s="418"/>
      <c r="DN190" s="418"/>
      <c r="DO190" s="418"/>
      <c r="DP190" s="418"/>
      <c r="DQ190" s="418"/>
      <c r="DR190" s="418"/>
      <c r="DS190" s="418"/>
      <c r="DT190" s="418"/>
      <c r="DU190" s="418"/>
      <c r="DV190" s="418"/>
      <c r="DW190" s="418"/>
      <c r="DX190" s="418"/>
      <c r="DY190" s="418"/>
      <c r="DZ190" s="418"/>
      <c r="EA190" s="418"/>
      <c r="EB190" s="418"/>
      <c r="EC190" s="418"/>
      <c r="ED190" s="418"/>
      <c r="EE190" s="418"/>
      <c r="EF190" s="418"/>
      <c r="EG190" s="418"/>
      <c r="EH190" s="418"/>
      <c r="EI190" s="418"/>
      <c r="EJ190" s="418"/>
      <c r="EK190" s="418"/>
      <c r="EL190" s="418"/>
      <c r="EM190" s="418"/>
      <c r="EN190" s="418"/>
      <c r="EO190" s="418"/>
      <c r="EP190" s="418"/>
      <c r="EQ190" s="418"/>
      <c r="ER190" s="418"/>
      <c r="ES190" s="418"/>
      <c r="ET190" s="418"/>
      <c r="EU190" s="418"/>
      <c r="EV190" s="418"/>
      <c r="EW190" s="418"/>
      <c r="EX190" s="418"/>
      <c r="EY190" s="418"/>
      <c r="EZ190" s="418"/>
      <c r="FA190" s="418"/>
      <c r="FB190" s="418"/>
      <c r="FC190" s="418"/>
      <c r="FD190" s="418"/>
      <c r="FE190" s="418"/>
      <c r="FF190" s="418"/>
      <c r="FG190" s="418"/>
      <c r="FH190" s="418"/>
      <c r="FI190" s="418"/>
      <c r="FJ190" s="418"/>
      <c r="FK190" s="418"/>
      <c r="FL190" s="418"/>
      <c r="FM190" s="418"/>
      <c r="FN190" s="418"/>
      <c r="FO190" s="418"/>
      <c r="FP190" s="418"/>
      <c r="FQ190" s="418"/>
      <c r="FR190" s="418"/>
      <c r="FS190" s="418"/>
      <c r="FT190" s="418"/>
      <c r="FU190" s="418"/>
      <c r="FV190" s="418"/>
      <c r="FW190" s="418"/>
      <c r="FX190" s="418"/>
      <c r="FY190" s="418"/>
      <c r="FZ190" s="418"/>
      <c r="GA190" s="418"/>
      <c r="GB190" s="418"/>
      <c r="GC190" s="418"/>
      <c r="GD190" s="418"/>
      <c r="GE190" s="418"/>
      <c r="GF190" s="418"/>
      <c r="GG190" s="418"/>
      <c r="GH190" s="418"/>
      <c r="GI190" s="418"/>
      <c r="GJ190" s="418"/>
      <c r="GK190" s="418"/>
      <c r="GL190" s="418"/>
      <c r="GM190" s="418"/>
      <c r="GN190" s="418"/>
      <c r="GO190" s="418"/>
      <c r="GP190" s="418"/>
      <c r="GQ190" s="418"/>
      <c r="GR190" s="418"/>
      <c r="GS190" s="418"/>
      <c r="GT190" s="418"/>
      <c r="GU190" s="418"/>
      <c r="GV190" s="418"/>
      <c r="GW190" s="418"/>
      <c r="GX190" s="418"/>
      <c r="GY190" s="418"/>
      <c r="GZ190" s="418"/>
      <c r="HA190" s="418"/>
      <c r="HB190" s="418"/>
      <c r="HC190" s="418"/>
      <c r="HD190" s="418"/>
      <c r="HE190" s="418"/>
      <c r="HF190" s="418"/>
      <c r="HG190" s="418"/>
      <c r="HH190" s="418"/>
      <c r="HI190" s="418"/>
      <c r="HJ190" s="418"/>
      <c r="HK190" s="418"/>
      <c r="HL190" s="418"/>
      <c r="HM190" s="418"/>
      <c r="HN190" s="418"/>
      <c r="HO190" s="418"/>
      <c r="HP190" s="418"/>
      <c r="HQ190" s="418"/>
      <c r="HR190" s="418"/>
      <c r="HS190" s="418"/>
      <c r="HT190" s="418"/>
      <c r="HU190" s="418"/>
      <c r="HV190" s="418"/>
      <c r="HW190" s="418"/>
      <c r="HX190" s="418"/>
      <c r="HY190" s="418"/>
      <c r="HZ190" s="418"/>
      <c r="IA190" s="418"/>
      <c r="IB190" s="418"/>
      <c r="IC190" s="418"/>
      <c r="ID190" s="418"/>
      <c r="IE190" s="418"/>
      <c r="IF190" s="418"/>
      <c r="IG190" s="418"/>
      <c r="IH190" s="418"/>
      <c r="II190" s="418"/>
      <c r="IJ190" s="418"/>
      <c r="IK190" s="418"/>
      <c r="IL190" s="418"/>
      <c r="IM190" s="418"/>
      <c r="IN190" s="418"/>
      <c r="IO190" s="418"/>
      <c r="IP190" s="418"/>
      <c r="IQ190" s="418"/>
      <c r="IR190" s="418"/>
      <c r="IS190" s="418"/>
      <c r="IT190" s="418"/>
      <c r="IU190" s="418"/>
      <c r="IV190" s="418"/>
      <c r="IW190" s="418"/>
      <c r="IX190" s="418"/>
      <c r="IY190" s="418"/>
      <c r="IZ190" s="418"/>
      <c r="JA190" s="418"/>
    </row>
    <row r="191" spans="1:261" s="758" customFormat="1" ht="18" customHeight="1" x14ac:dyDescent="0.35">
      <c r="A191" s="773">
        <v>181</v>
      </c>
      <c r="B191" s="766"/>
      <c r="C191" s="420"/>
      <c r="D191" s="576" t="s">
        <v>1250</v>
      </c>
      <c r="E191" s="430"/>
      <c r="F191" s="430"/>
      <c r="G191" s="431"/>
      <c r="H191" s="999"/>
      <c r="I191" s="997"/>
      <c r="J191" s="430"/>
      <c r="K191" s="430">
        <f>SUM(K189:K190)</f>
        <v>500</v>
      </c>
      <c r="L191" s="430">
        <f>SUM(L189:L190)</f>
        <v>3506</v>
      </c>
      <c r="M191" s="430"/>
      <c r="N191" s="430"/>
      <c r="O191" s="767">
        <f>SUM(I191:N191)</f>
        <v>4006</v>
      </c>
      <c r="P191" s="763"/>
      <c r="Q191" s="418"/>
      <c r="R191" s="418"/>
      <c r="S191" s="418"/>
      <c r="T191" s="418"/>
      <c r="U191" s="418"/>
      <c r="V191" s="418"/>
      <c r="W191" s="418"/>
      <c r="X191" s="418"/>
      <c r="Y191" s="418"/>
      <c r="Z191" s="418"/>
      <c r="AA191" s="418"/>
      <c r="AB191" s="418"/>
      <c r="AC191" s="418"/>
      <c r="AD191" s="418"/>
      <c r="AE191" s="418"/>
      <c r="AF191" s="418"/>
      <c r="AG191" s="418"/>
      <c r="AH191" s="418"/>
      <c r="AI191" s="418"/>
      <c r="AJ191" s="418"/>
      <c r="AK191" s="418"/>
      <c r="AL191" s="418"/>
      <c r="AM191" s="418"/>
      <c r="AN191" s="418"/>
      <c r="AO191" s="418"/>
      <c r="AP191" s="418"/>
      <c r="AQ191" s="418"/>
      <c r="AR191" s="418"/>
      <c r="AS191" s="418"/>
      <c r="AT191" s="418"/>
      <c r="AU191" s="418"/>
      <c r="AV191" s="418"/>
      <c r="AW191" s="418"/>
      <c r="AX191" s="418"/>
      <c r="AY191" s="418"/>
      <c r="AZ191" s="418"/>
      <c r="BA191" s="418"/>
      <c r="BB191" s="418"/>
      <c r="BC191" s="418"/>
      <c r="BD191" s="418"/>
      <c r="BE191" s="418"/>
      <c r="BF191" s="418"/>
      <c r="BG191" s="418"/>
      <c r="BH191" s="418"/>
      <c r="BI191" s="418"/>
      <c r="BJ191" s="418"/>
      <c r="BK191" s="418"/>
      <c r="BL191" s="418"/>
      <c r="BM191" s="418"/>
      <c r="BN191" s="418"/>
      <c r="BO191" s="418"/>
      <c r="BP191" s="418"/>
      <c r="BQ191" s="418"/>
      <c r="BR191" s="418"/>
      <c r="BS191" s="418"/>
      <c r="BT191" s="418"/>
      <c r="BU191" s="418"/>
      <c r="BV191" s="418"/>
      <c r="BW191" s="418"/>
      <c r="BX191" s="418"/>
      <c r="BY191" s="418"/>
      <c r="BZ191" s="418"/>
      <c r="CA191" s="418"/>
      <c r="CB191" s="418"/>
      <c r="CC191" s="418"/>
      <c r="CD191" s="418"/>
      <c r="CE191" s="418"/>
      <c r="CF191" s="418"/>
      <c r="CG191" s="418"/>
      <c r="CH191" s="418"/>
      <c r="CI191" s="418"/>
      <c r="CJ191" s="418"/>
      <c r="CK191" s="418"/>
      <c r="CL191" s="418"/>
      <c r="CM191" s="418"/>
      <c r="CN191" s="418"/>
      <c r="CO191" s="418"/>
      <c r="CP191" s="418"/>
      <c r="CQ191" s="418"/>
      <c r="CR191" s="418"/>
      <c r="CS191" s="418"/>
      <c r="CT191" s="418"/>
      <c r="CU191" s="418"/>
      <c r="CV191" s="418"/>
      <c r="CW191" s="418"/>
      <c r="CX191" s="418"/>
      <c r="CY191" s="418"/>
      <c r="CZ191" s="418"/>
      <c r="DA191" s="418"/>
      <c r="DB191" s="418"/>
      <c r="DC191" s="418"/>
      <c r="DD191" s="418"/>
      <c r="DE191" s="418"/>
      <c r="DF191" s="418"/>
      <c r="DG191" s="418"/>
      <c r="DH191" s="418"/>
      <c r="DI191" s="418"/>
      <c r="DJ191" s="418"/>
      <c r="DK191" s="418"/>
      <c r="DL191" s="418"/>
      <c r="DM191" s="418"/>
      <c r="DN191" s="418"/>
      <c r="DO191" s="418"/>
      <c r="DP191" s="418"/>
      <c r="DQ191" s="418"/>
      <c r="DR191" s="418"/>
      <c r="DS191" s="418"/>
      <c r="DT191" s="418"/>
      <c r="DU191" s="418"/>
      <c r="DV191" s="418"/>
      <c r="DW191" s="418"/>
      <c r="DX191" s="418"/>
      <c r="DY191" s="418"/>
      <c r="DZ191" s="418"/>
      <c r="EA191" s="418"/>
      <c r="EB191" s="418"/>
      <c r="EC191" s="418"/>
      <c r="ED191" s="418"/>
      <c r="EE191" s="418"/>
      <c r="EF191" s="418"/>
      <c r="EG191" s="418"/>
      <c r="EH191" s="418"/>
      <c r="EI191" s="418"/>
      <c r="EJ191" s="418"/>
      <c r="EK191" s="418"/>
      <c r="EL191" s="418"/>
      <c r="EM191" s="418"/>
      <c r="EN191" s="418"/>
      <c r="EO191" s="418"/>
      <c r="EP191" s="418"/>
      <c r="EQ191" s="418"/>
      <c r="ER191" s="418"/>
      <c r="ES191" s="418"/>
      <c r="ET191" s="418"/>
      <c r="EU191" s="418"/>
      <c r="EV191" s="418"/>
      <c r="EW191" s="418"/>
      <c r="EX191" s="418"/>
      <c r="EY191" s="418"/>
      <c r="EZ191" s="418"/>
      <c r="FA191" s="418"/>
      <c r="FB191" s="418"/>
      <c r="FC191" s="418"/>
      <c r="FD191" s="418"/>
      <c r="FE191" s="418"/>
      <c r="FF191" s="418"/>
      <c r="FG191" s="418"/>
      <c r="FH191" s="418"/>
      <c r="FI191" s="418"/>
      <c r="FJ191" s="418"/>
      <c r="FK191" s="418"/>
      <c r="FL191" s="418"/>
      <c r="FM191" s="418"/>
      <c r="FN191" s="418"/>
      <c r="FO191" s="418"/>
      <c r="FP191" s="418"/>
      <c r="FQ191" s="418"/>
      <c r="FR191" s="418"/>
      <c r="FS191" s="418"/>
      <c r="FT191" s="418"/>
      <c r="FU191" s="418"/>
      <c r="FV191" s="418"/>
      <c r="FW191" s="418"/>
      <c r="FX191" s="418"/>
      <c r="FY191" s="418"/>
      <c r="FZ191" s="418"/>
      <c r="GA191" s="418"/>
      <c r="GB191" s="418"/>
      <c r="GC191" s="418"/>
      <c r="GD191" s="418"/>
      <c r="GE191" s="418"/>
      <c r="GF191" s="418"/>
      <c r="GG191" s="418"/>
      <c r="GH191" s="418"/>
      <c r="GI191" s="418"/>
      <c r="GJ191" s="418"/>
      <c r="GK191" s="418"/>
      <c r="GL191" s="418"/>
      <c r="GM191" s="418"/>
      <c r="GN191" s="418"/>
      <c r="GO191" s="418"/>
      <c r="GP191" s="418"/>
      <c r="GQ191" s="418"/>
      <c r="GR191" s="418"/>
      <c r="GS191" s="418"/>
      <c r="GT191" s="418"/>
      <c r="GU191" s="418"/>
      <c r="GV191" s="418"/>
      <c r="GW191" s="418"/>
      <c r="GX191" s="418"/>
      <c r="GY191" s="418"/>
      <c r="GZ191" s="418"/>
      <c r="HA191" s="418"/>
      <c r="HB191" s="418"/>
      <c r="HC191" s="418"/>
      <c r="HD191" s="418"/>
      <c r="HE191" s="418"/>
      <c r="HF191" s="418"/>
      <c r="HG191" s="418"/>
      <c r="HH191" s="418"/>
      <c r="HI191" s="418"/>
      <c r="HJ191" s="418"/>
      <c r="HK191" s="418"/>
      <c r="HL191" s="418"/>
      <c r="HM191" s="418"/>
      <c r="HN191" s="418"/>
      <c r="HO191" s="418"/>
      <c r="HP191" s="418"/>
      <c r="HQ191" s="418"/>
      <c r="HR191" s="418"/>
      <c r="HS191" s="418"/>
      <c r="HT191" s="418"/>
      <c r="HU191" s="418"/>
      <c r="HV191" s="418"/>
      <c r="HW191" s="418"/>
      <c r="HX191" s="418"/>
      <c r="HY191" s="418"/>
      <c r="HZ191" s="418"/>
      <c r="IA191" s="418"/>
      <c r="IB191" s="418"/>
      <c r="IC191" s="418"/>
      <c r="ID191" s="418"/>
      <c r="IE191" s="418"/>
      <c r="IF191" s="418"/>
      <c r="IG191" s="418"/>
      <c r="IH191" s="418"/>
      <c r="II191" s="418"/>
      <c r="IJ191" s="418"/>
      <c r="IK191" s="418"/>
      <c r="IL191" s="418"/>
      <c r="IM191" s="418"/>
      <c r="IN191" s="418"/>
      <c r="IO191" s="418"/>
      <c r="IP191" s="418"/>
      <c r="IQ191" s="418"/>
      <c r="IR191" s="418"/>
      <c r="IS191" s="418"/>
      <c r="IT191" s="418"/>
      <c r="IU191" s="418"/>
      <c r="IV191" s="418"/>
      <c r="IW191" s="418"/>
      <c r="IX191" s="418"/>
      <c r="IY191" s="418"/>
      <c r="IZ191" s="418"/>
      <c r="JA191" s="418"/>
    </row>
    <row r="192" spans="1:261" s="758" customFormat="1" ht="22.5" customHeight="1" x14ac:dyDescent="0.35">
      <c r="A192" s="773">
        <v>182</v>
      </c>
      <c r="B192" s="766"/>
      <c r="C192" s="464">
        <v>37</v>
      </c>
      <c r="D192" s="1037" t="s">
        <v>708</v>
      </c>
      <c r="E192" s="430"/>
      <c r="F192" s="430"/>
      <c r="G192" s="431"/>
      <c r="H192" s="999" t="s">
        <v>24</v>
      </c>
      <c r="I192" s="1018"/>
      <c r="J192" s="1012"/>
      <c r="K192" s="1012"/>
      <c r="L192" s="1012"/>
      <c r="M192" s="1012"/>
      <c r="N192" s="1012"/>
      <c r="O192" s="982"/>
      <c r="P192" s="763"/>
      <c r="Q192" s="418"/>
      <c r="R192" s="418"/>
      <c r="S192" s="418"/>
      <c r="T192" s="418"/>
      <c r="U192" s="418"/>
      <c r="V192" s="418"/>
      <c r="W192" s="418"/>
      <c r="X192" s="418"/>
      <c r="Y192" s="418"/>
      <c r="Z192" s="418"/>
      <c r="AA192" s="418"/>
      <c r="AB192" s="418"/>
      <c r="AC192" s="418"/>
      <c r="AD192" s="418"/>
      <c r="AE192" s="418"/>
      <c r="AF192" s="418"/>
      <c r="AG192" s="418"/>
      <c r="AH192" s="418"/>
      <c r="AI192" s="418"/>
      <c r="AJ192" s="418"/>
      <c r="AK192" s="418"/>
      <c r="AL192" s="418"/>
      <c r="AM192" s="418"/>
      <c r="AN192" s="418"/>
      <c r="AO192" s="418"/>
      <c r="AP192" s="418"/>
      <c r="AQ192" s="418"/>
      <c r="AR192" s="418"/>
      <c r="AS192" s="418"/>
      <c r="AT192" s="418"/>
      <c r="AU192" s="418"/>
      <c r="AV192" s="418"/>
      <c r="AW192" s="418"/>
      <c r="AX192" s="418"/>
      <c r="AY192" s="418"/>
      <c r="AZ192" s="418"/>
      <c r="BA192" s="418"/>
      <c r="BB192" s="418"/>
      <c r="BC192" s="418"/>
      <c r="BD192" s="418"/>
      <c r="BE192" s="418"/>
      <c r="BF192" s="418"/>
      <c r="BG192" s="418"/>
      <c r="BH192" s="418"/>
      <c r="BI192" s="418"/>
      <c r="BJ192" s="418"/>
      <c r="BK192" s="418"/>
      <c r="BL192" s="418"/>
      <c r="BM192" s="418"/>
      <c r="BN192" s="418"/>
      <c r="BO192" s="418"/>
      <c r="BP192" s="418"/>
      <c r="BQ192" s="418"/>
      <c r="BR192" s="418"/>
      <c r="BS192" s="418"/>
      <c r="BT192" s="418"/>
      <c r="BU192" s="418"/>
      <c r="BV192" s="418"/>
      <c r="BW192" s="418"/>
      <c r="BX192" s="418"/>
      <c r="BY192" s="418"/>
      <c r="BZ192" s="418"/>
      <c r="CA192" s="418"/>
      <c r="CB192" s="418"/>
      <c r="CC192" s="418"/>
      <c r="CD192" s="418"/>
      <c r="CE192" s="418"/>
      <c r="CF192" s="418"/>
      <c r="CG192" s="418"/>
      <c r="CH192" s="418"/>
      <c r="CI192" s="418"/>
      <c r="CJ192" s="418"/>
      <c r="CK192" s="418"/>
      <c r="CL192" s="418"/>
      <c r="CM192" s="418"/>
      <c r="CN192" s="418"/>
      <c r="CO192" s="418"/>
      <c r="CP192" s="418"/>
      <c r="CQ192" s="418"/>
      <c r="CR192" s="418"/>
      <c r="CS192" s="418"/>
      <c r="CT192" s="418"/>
      <c r="CU192" s="418"/>
      <c r="CV192" s="418"/>
      <c r="CW192" s="418"/>
      <c r="CX192" s="418"/>
      <c r="CY192" s="418"/>
      <c r="CZ192" s="418"/>
      <c r="DA192" s="418"/>
      <c r="DB192" s="418"/>
      <c r="DC192" s="418"/>
      <c r="DD192" s="418"/>
      <c r="DE192" s="418"/>
      <c r="DF192" s="418"/>
      <c r="DG192" s="418"/>
      <c r="DH192" s="418"/>
      <c r="DI192" s="418"/>
      <c r="DJ192" s="418"/>
      <c r="DK192" s="418"/>
      <c r="DL192" s="418"/>
      <c r="DM192" s="418"/>
      <c r="DN192" s="418"/>
      <c r="DO192" s="418"/>
      <c r="DP192" s="418"/>
      <c r="DQ192" s="418"/>
      <c r="DR192" s="418"/>
      <c r="DS192" s="418"/>
      <c r="DT192" s="418"/>
      <c r="DU192" s="418"/>
      <c r="DV192" s="418"/>
      <c r="DW192" s="418"/>
      <c r="DX192" s="418"/>
      <c r="DY192" s="418"/>
      <c r="DZ192" s="418"/>
      <c r="EA192" s="418"/>
      <c r="EB192" s="418"/>
      <c r="EC192" s="418"/>
      <c r="ED192" s="418"/>
      <c r="EE192" s="418"/>
      <c r="EF192" s="418"/>
      <c r="EG192" s="418"/>
      <c r="EH192" s="418"/>
      <c r="EI192" s="418"/>
      <c r="EJ192" s="418"/>
      <c r="EK192" s="418"/>
      <c r="EL192" s="418"/>
      <c r="EM192" s="418"/>
      <c r="EN192" s="418"/>
      <c r="EO192" s="418"/>
      <c r="EP192" s="418"/>
      <c r="EQ192" s="418"/>
      <c r="ER192" s="418"/>
      <c r="ES192" s="418"/>
      <c r="ET192" s="418"/>
      <c r="EU192" s="418"/>
      <c r="EV192" s="418"/>
      <c r="EW192" s="418"/>
      <c r="EX192" s="418"/>
      <c r="EY192" s="418"/>
      <c r="EZ192" s="418"/>
      <c r="FA192" s="418"/>
      <c r="FB192" s="418"/>
      <c r="FC192" s="418"/>
      <c r="FD192" s="418"/>
      <c r="FE192" s="418"/>
      <c r="FF192" s="418"/>
      <c r="FG192" s="418"/>
      <c r="FH192" s="418"/>
      <c r="FI192" s="418"/>
      <c r="FJ192" s="418"/>
      <c r="FK192" s="418"/>
      <c r="FL192" s="418"/>
      <c r="FM192" s="418"/>
      <c r="FN192" s="418"/>
      <c r="FO192" s="418"/>
      <c r="FP192" s="418"/>
      <c r="FQ192" s="418"/>
      <c r="FR192" s="418"/>
      <c r="FS192" s="418"/>
      <c r="FT192" s="418"/>
      <c r="FU192" s="418"/>
      <c r="FV192" s="418"/>
      <c r="FW192" s="418"/>
      <c r="FX192" s="418"/>
      <c r="FY192" s="418"/>
      <c r="FZ192" s="418"/>
      <c r="GA192" s="418"/>
      <c r="GB192" s="418"/>
      <c r="GC192" s="418"/>
      <c r="GD192" s="418"/>
      <c r="GE192" s="418"/>
      <c r="GF192" s="418"/>
      <c r="GG192" s="418"/>
      <c r="GH192" s="418"/>
      <c r="GI192" s="418"/>
      <c r="GJ192" s="418"/>
      <c r="GK192" s="418"/>
      <c r="GL192" s="418"/>
      <c r="GM192" s="418"/>
      <c r="GN192" s="418"/>
      <c r="GO192" s="418"/>
      <c r="GP192" s="418"/>
      <c r="GQ192" s="418"/>
      <c r="GR192" s="418"/>
      <c r="GS192" s="418"/>
      <c r="GT192" s="418"/>
      <c r="GU192" s="418"/>
      <c r="GV192" s="418"/>
      <c r="GW192" s="418"/>
      <c r="GX192" s="418"/>
      <c r="GY192" s="418"/>
      <c r="GZ192" s="418"/>
      <c r="HA192" s="418"/>
      <c r="HB192" s="418"/>
      <c r="HC192" s="418"/>
      <c r="HD192" s="418"/>
      <c r="HE192" s="418"/>
      <c r="HF192" s="418"/>
      <c r="HG192" s="418"/>
      <c r="HH192" s="418"/>
      <c r="HI192" s="418"/>
      <c r="HJ192" s="418"/>
      <c r="HK192" s="418"/>
      <c r="HL192" s="418"/>
      <c r="HM192" s="418"/>
      <c r="HN192" s="418"/>
      <c r="HO192" s="418"/>
      <c r="HP192" s="418"/>
      <c r="HQ192" s="418"/>
      <c r="HR192" s="418"/>
      <c r="HS192" s="418"/>
      <c r="HT192" s="418"/>
      <c r="HU192" s="418"/>
      <c r="HV192" s="418"/>
      <c r="HW192" s="418"/>
      <c r="HX192" s="418"/>
      <c r="HY192" s="418"/>
      <c r="HZ192" s="418"/>
      <c r="IA192" s="418"/>
      <c r="IB192" s="418"/>
      <c r="IC192" s="418"/>
      <c r="ID192" s="418"/>
      <c r="IE192" s="418"/>
      <c r="IF192" s="418"/>
      <c r="IG192" s="418"/>
      <c r="IH192" s="418"/>
      <c r="II192" s="418"/>
      <c r="IJ192" s="418"/>
      <c r="IK192" s="418"/>
      <c r="IL192" s="418"/>
      <c r="IM192" s="418"/>
      <c r="IN192" s="418"/>
      <c r="IO192" s="418"/>
      <c r="IP192" s="418"/>
      <c r="IQ192" s="418"/>
      <c r="IR192" s="418"/>
      <c r="IS192" s="418"/>
      <c r="IT192" s="418"/>
      <c r="IU192" s="418"/>
      <c r="IV192" s="418"/>
      <c r="IW192" s="418"/>
      <c r="IX192" s="418"/>
      <c r="IY192" s="418"/>
      <c r="IZ192" s="418"/>
      <c r="JA192" s="418"/>
    </row>
    <row r="193" spans="1:261" s="758" customFormat="1" ht="18" customHeight="1" x14ac:dyDescent="0.35">
      <c r="A193" s="773">
        <v>183</v>
      </c>
      <c r="B193" s="766"/>
      <c r="C193" s="420"/>
      <c r="D193" s="992" t="s">
        <v>308</v>
      </c>
      <c r="E193" s="430">
        <f>F193+G193+O196+P193</f>
        <v>0</v>
      </c>
      <c r="F193" s="430"/>
      <c r="G193" s="431"/>
      <c r="H193" s="999"/>
      <c r="I193" s="1018"/>
      <c r="J193" s="1012"/>
      <c r="K193" s="1012">
        <v>2628</v>
      </c>
      <c r="L193" s="1012"/>
      <c r="M193" s="1012"/>
      <c r="N193" s="1012"/>
      <c r="O193" s="982">
        <f>SUM(I193:N193)</f>
        <v>2628</v>
      </c>
      <c r="P193" s="763"/>
      <c r="Q193" s="418"/>
      <c r="R193" s="418"/>
      <c r="S193" s="418"/>
      <c r="T193" s="418"/>
      <c r="U193" s="418"/>
      <c r="V193" s="418"/>
      <c r="W193" s="418"/>
      <c r="X193" s="418"/>
      <c r="Y193" s="418"/>
      <c r="Z193" s="418"/>
      <c r="AA193" s="418"/>
      <c r="AB193" s="418"/>
      <c r="AC193" s="418"/>
      <c r="AD193" s="418"/>
      <c r="AE193" s="418"/>
      <c r="AF193" s="418"/>
      <c r="AG193" s="418"/>
      <c r="AH193" s="418"/>
      <c r="AI193" s="418"/>
      <c r="AJ193" s="418"/>
      <c r="AK193" s="418"/>
      <c r="AL193" s="418"/>
      <c r="AM193" s="418"/>
      <c r="AN193" s="418"/>
      <c r="AO193" s="418"/>
      <c r="AP193" s="418"/>
      <c r="AQ193" s="418"/>
      <c r="AR193" s="418"/>
      <c r="AS193" s="418"/>
      <c r="AT193" s="418"/>
      <c r="AU193" s="418"/>
      <c r="AV193" s="418"/>
      <c r="AW193" s="418"/>
      <c r="AX193" s="418"/>
      <c r="AY193" s="418"/>
      <c r="AZ193" s="418"/>
      <c r="BA193" s="418"/>
      <c r="BB193" s="418"/>
      <c r="BC193" s="418"/>
      <c r="BD193" s="418"/>
      <c r="BE193" s="418"/>
      <c r="BF193" s="418"/>
      <c r="BG193" s="418"/>
      <c r="BH193" s="418"/>
      <c r="BI193" s="418"/>
      <c r="BJ193" s="418"/>
      <c r="BK193" s="418"/>
      <c r="BL193" s="418"/>
      <c r="BM193" s="418"/>
      <c r="BN193" s="418"/>
      <c r="BO193" s="418"/>
      <c r="BP193" s="418"/>
      <c r="BQ193" s="418"/>
      <c r="BR193" s="418"/>
      <c r="BS193" s="418"/>
      <c r="BT193" s="418"/>
      <c r="BU193" s="418"/>
      <c r="BV193" s="418"/>
      <c r="BW193" s="418"/>
      <c r="BX193" s="418"/>
      <c r="BY193" s="418"/>
      <c r="BZ193" s="418"/>
      <c r="CA193" s="418"/>
      <c r="CB193" s="418"/>
      <c r="CC193" s="418"/>
      <c r="CD193" s="418"/>
      <c r="CE193" s="418"/>
      <c r="CF193" s="418"/>
      <c r="CG193" s="418"/>
      <c r="CH193" s="418"/>
      <c r="CI193" s="418"/>
      <c r="CJ193" s="418"/>
      <c r="CK193" s="418"/>
      <c r="CL193" s="418"/>
      <c r="CM193" s="418"/>
      <c r="CN193" s="418"/>
      <c r="CO193" s="418"/>
      <c r="CP193" s="418"/>
      <c r="CQ193" s="418"/>
      <c r="CR193" s="418"/>
      <c r="CS193" s="418"/>
      <c r="CT193" s="418"/>
      <c r="CU193" s="418"/>
      <c r="CV193" s="418"/>
      <c r="CW193" s="418"/>
      <c r="CX193" s="418"/>
      <c r="CY193" s="418"/>
      <c r="CZ193" s="418"/>
      <c r="DA193" s="418"/>
      <c r="DB193" s="418"/>
      <c r="DC193" s="418"/>
      <c r="DD193" s="418"/>
      <c r="DE193" s="418"/>
      <c r="DF193" s="418"/>
      <c r="DG193" s="418"/>
      <c r="DH193" s="418"/>
      <c r="DI193" s="418"/>
      <c r="DJ193" s="418"/>
      <c r="DK193" s="418"/>
      <c r="DL193" s="418"/>
      <c r="DM193" s="418"/>
      <c r="DN193" s="418"/>
      <c r="DO193" s="418"/>
      <c r="DP193" s="418"/>
      <c r="DQ193" s="418"/>
      <c r="DR193" s="418"/>
      <c r="DS193" s="418"/>
      <c r="DT193" s="418"/>
      <c r="DU193" s="418"/>
      <c r="DV193" s="418"/>
      <c r="DW193" s="418"/>
      <c r="DX193" s="418"/>
      <c r="DY193" s="418"/>
      <c r="DZ193" s="418"/>
      <c r="EA193" s="418"/>
      <c r="EB193" s="418"/>
      <c r="EC193" s="418"/>
      <c r="ED193" s="418"/>
      <c r="EE193" s="418"/>
      <c r="EF193" s="418"/>
      <c r="EG193" s="418"/>
      <c r="EH193" s="418"/>
      <c r="EI193" s="418"/>
      <c r="EJ193" s="418"/>
      <c r="EK193" s="418"/>
      <c r="EL193" s="418"/>
      <c r="EM193" s="418"/>
      <c r="EN193" s="418"/>
      <c r="EO193" s="418"/>
      <c r="EP193" s="418"/>
      <c r="EQ193" s="418"/>
      <c r="ER193" s="418"/>
      <c r="ES193" s="418"/>
      <c r="ET193" s="418"/>
      <c r="EU193" s="418"/>
      <c r="EV193" s="418"/>
      <c r="EW193" s="418"/>
      <c r="EX193" s="418"/>
      <c r="EY193" s="418"/>
      <c r="EZ193" s="418"/>
      <c r="FA193" s="418"/>
      <c r="FB193" s="418"/>
      <c r="FC193" s="418"/>
      <c r="FD193" s="418"/>
      <c r="FE193" s="418"/>
      <c r="FF193" s="418"/>
      <c r="FG193" s="418"/>
      <c r="FH193" s="418"/>
      <c r="FI193" s="418"/>
      <c r="FJ193" s="418"/>
      <c r="FK193" s="418"/>
      <c r="FL193" s="418"/>
      <c r="FM193" s="418"/>
      <c r="FN193" s="418"/>
      <c r="FO193" s="418"/>
      <c r="FP193" s="418"/>
      <c r="FQ193" s="418"/>
      <c r="FR193" s="418"/>
      <c r="FS193" s="418"/>
      <c r="FT193" s="418"/>
      <c r="FU193" s="418"/>
      <c r="FV193" s="418"/>
      <c r="FW193" s="418"/>
      <c r="FX193" s="418"/>
      <c r="FY193" s="418"/>
      <c r="FZ193" s="418"/>
      <c r="GA193" s="418"/>
      <c r="GB193" s="418"/>
      <c r="GC193" s="418"/>
      <c r="GD193" s="418"/>
      <c r="GE193" s="418"/>
      <c r="GF193" s="418"/>
      <c r="GG193" s="418"/>
      <c r="GH193" s="418"/>
      <c r="GI193" s="418"/>
      <c r="GJ193" s="418"/>
      <c r="GK193" s="418"/>
      <c r="GL193" s="418"/>
      <c r="GM193" s="418"/>
      <c r="GN193" s="418"/>
      <c r="GO193" s="418"/>
      <c r="GP193" s="418"/>
      <c r="GQ193" s="418"/>
      <c r="GR193" s="418"/>
      <c r="GS193" s="418"/>
      <c r="GT193" s="418"/>
      <c r="GU193" s="418"/>
      <c r="GV193" s="418"/>
      <c r="GW193" s="418"/>
      <c r="GX193" s="418"/>
      <c r="GY193" s="418"/>
      <c r="GZ193" s="418"/>
      <c r="HA193" s="418"/>
      <c r="HB193" s="418"/>
      <c r="HC193" s="418"/>
      <c r="HD193" s="418"/>
      <c r="HE193" s="418"/>
      <c r="HF193" s="418"/>
      <c r="HG193" s="418"/>
      <c r="HH193" s="418"/>
      <c r="HI193" s="418"/>
      <c r="HJ193" s="418"/>
      <c r="HK193" s="418"/>
      <c r="HL193" s="418"/>
      <c r="HM193" s="418"/>
      <c r="HN193" s="418"/>
      <c r="HO193" s="418"/>
      <c r="HP193" s="418"/>
      <c r="HQ193" s="418"/>
      <c r="HR193" s="418"/>
      <c r="HS193" s="418"/>
      <c r="HT193" s="418"/>
      <c r="HU193" s="418"/>
      <c r="HV193" s="418"/>
      <c r="HW193" s="418"/>
      <c r="HX193" s="418"/>
      <c r="HY193" s="418"/>
      <c r="HZ193" s="418"/>
      <c r="IA193" s="418"/>
      <c r="IB193" s="418"/>
      <c r="IC193" s="418"/>
      <c r="ID193" s="418"/>
      <c r="IE193" s="418"/>
      <c r="IF193" s="418"/>
      <c r="IG193" s="418"/>
      <c r="IH193" s="418"/>
      <c r="II193" s="418"/>
      <c r="IJ193" s="418"/>
      <c r="IK193" s="418"/>
      <c r="IL193" s="418"/>
      <c r="IM193" s="418"/>
      <c r="IN193" s="418"/>
      <c r="IO193" s="418"/>
      <c r="IP193" s="418"/>
      <c r="IQ193" s="418"/>
      <c r="IR193" s="418"/>
      <c r="IS193" s="418"/>
      <c r="IT193" s="418"/>
      <c r="IU193" s="418"/>
      <c r="IV193" s="418"/>
      <c r="IW193" s="418"/>
      <c r="IX193" s="418"/>
      <c r="IY193" s="418"/>
      <c r="IZ193" s="418"/>
      <c r="JA193" s="418"/>
    </row>
    <row r="194" spans="1:261" s="758" customFormat="1" ht="18" customHeight="1" x14ac:dyDescent="0.35">
      <c r="A194" s="773">
        <v>184</v>
      </c>
      <c r="B194" s="766"/>
      <c r="C194" s="420"/>
      <c r="D194" s="576" t="s">
        <v>1158</v>
      </c>
      <c r="E194" s="430"/>
      <c r="F194" s="430"/>
      <c r="G194" s="431"/>
      <c r="H194" s="999"/>
      <c r="I194" s="1018"/>
      <c r="J194" s="1012"/>
      <c r="K194" s="430">
        <v>0</v>
      </c>
      <c r="L194" s="1012"/>
      <c r="M194" s="1012"/>
      <c r="N194" s="1012"/>
      <c r="O194" s="767">
        <f>SUM(I194:N194)</f>
        <v>0</v>
      </c>
      <c r="P194" s="763"/>
      <c r="Q194" s="418"/>
      <c r="R194" s="418"/>
      <c r="S194" s="418"/>
      <c r="T194" s="418"/>
      <c r="U194" s="418"/>
      <c r="V194" s="418"/>
      <c r="W194" s="418"/>
      <c r="X194" s="418"/>
      <c r="Y194" s="418"/>
      <c r="Z194" s="418"/>
      <c r="AA194" s="418"/>
      <c r="AB194" s="418"/>
      <c r="AC194" s="418"/>
      <c r="AD194" s="418"/>
      <c r="AE194" s="418"/>
      <c r="AF194" s="418"/>
      <c r="AG194" s="418"/>
      <c r="AH194" s="418"/>
      <c r="AI194" s="418"/>
      <c r="AJ194" s="418"/>
      <c r="AK194" s="418"/>
      <c r="AL194" s="418"/>
      <c r="AM194" s="418"/>
      <c r="AN194" s="418"/>
      <c r="AO194" s="418"/>
      <c r="AP194" s="418"/>
      <c r="AQ194" s="418"/>
      <c r="AR194" s="418"/>
      <c r="AS194" s="418"/>
      <c r="AT194" s="418"/>
      <c r="AU194" s="418"/>
      <c r="AV194" s="418"/>
      <c r="AW194" s="418"/>
      <c r="AX194" s="418"/>
      <c r="AY194" s="418"/>
      <c r="AZ194" s="418"/>
      <c r="BA194" s="418"/>
      <c r="BB194" s="418"/>
      <c r="BC194" s="418"/>
      <c r="BD194" s="418"/>
      <c r="BE194" s="418"/>
      <c r="BF194" s="418"/>
      <c r="BG194" s="418"/>
      <c r="BH194" s="418"/>
      <c r="BI194" s="418"/>
      <c r="BJ194" s="418"/>
      <c r="BK194" s="418"/>
      <c r="BL194" s="418"/>
      <c r="BM194" s="418"/>
      <c r="BN194" s="418"/>
      <c r="BO194" s="418"/>
      <c r="BP194" s="418"/>
      <c r="BQ194" s="418"/>
      <c r="BR194" s="418"/>
      <c r="BS194" s="418"/>
      <c r="BT194" s="418"/>
      <c r="BU194" s="418"/>
      <c r="BV194" s="418"/>
      <c r="BW194" s="418"/>
      <c r="BX194" s="418"/>
      <c r="BY194" s="418"/>
      <c r="BZ194" s="418"/>
      <c r="CA194" s="418"/>
      <c r="CB194" s="418"/>
      <c r="CC194" s="418"/>
      <c r="CD194" s="418"/>
      <c r="CE194" s="418"/>
      <c r="CF194" s="418"/>
      <c r="CG194" s="418"/>
      <c r="CH194" s="418"/>
      <c r="CI194" s="418"/>
      <c r="CJ194" s="418"/>
      <c r="CK194" s="418"/>
      <c r="CL194" s="418"/>
      <c r="CM194" s="418"/>
      <c r="CN194" s="418"/>
      <c r="CO194" s="418"/>
      <c r="CP194" s="418"/>
      <c r="CQ194" s="418"/>
      <c r="CR194" s="418"/>
      <c r="CS194" s="418"/>
      <c r="CT194" s="418"/>
      <c r="CU194" s="418"/>
      <c r="CV194" s="418"/>
      <c r="CW194" s="418"/>
      <c r="CX194" s="418"/>
      <c r="CY194" s="418"/>
      <c r="CZ194" s="418"/>
      <c r="DA194" s="418"/>
      <c r="DB194" s="418"/>
      <c r="DC194" s="418"/>
      <c r="DD194" s="418"/>
      <c r="DE194" s="418"/>
      <c r="DF194" s="418"/>
      <c r="DG194" s="418"/>
      <c r="DH194" s="418"/>
      <c r="DI194" s="418"/>
      <c r="DJ194" s="418"/>
      <c r="DK194" s="418"/>
      <c r="DL194" s="418"/>
      <c r="DM194" s="418"/>
      <c r="DN194" s="418"/>
      <c r="DO194" s="418"/>
      <c r="DP194" s="418"/>
      <c r="DQ194" s="418"/>
      <c r="DR194" s="418"/>
      <c r="DS194" s="418"/>
      <c r="DT194" s="418"/>
      <c r="DU194" s="418"/>
      <c r="DV194" s="418"/>
      <c r="DW194" s="418"/>
      <c r="DX194" s="418"/>
      <c r="DY194" s="418"/>
      <c r="DZ194" s="418"/>
      <c r="EA194" s="418"/>
      <c r="EB194" s="418"/>
      <c r="EC194" s="418"/>
      <c r="ED194" s="418"/>
      <c r="EE194" s="418"/>
      <c r="EF194" s="418"/>
      <c r="EG194" s="418"/>
      <c r="EH194" s="418"/>
      <c r="EI194" s="418"/>
      <c r="EJ194" s="418"/>
      <c r="EK194" s="418"/>
      <c r="EL194" s="418"/>
      <c r="EM194" s="418"/>
      <c r="EN194" s="418"/>
      <c r="EO194" s="418"/>
      <c r="EP194" s="418"/>
      <c r="EQ194" s="418"/>
      <c r="ER194" s="418"/>
      <c r="ES194" s="418"/>
      <c r="ET194" s="418"/>
      <c r="EU194" s="418"/>
      <c r="EV194" s="418"/>
      <c r="EW194" s="418"/>
      <c r="EX194" s="418"/>
      <c r="EY194" s="418"/>
      <c r="EZ194" s="418"/>
      <c r="FA194" s="418"/>
      <c r="FB194" s="418"/>
      <c r="FC194" s="418"/>
      <c r="FD194" s="418"/>
      <c r="FE194" s="418"/>
      <c r="FF194" s="418"/>
      <c r="FG194" s="418"/>
      <c r="FH194" s="418"/>
      <c r="FI194" s="418"/>
      <c r="FJ194" s="418"/>
      <c r="FK194" s="418"/>
      <c r="FL194" s="418"/>
      <c r="FM194" s="418"/>
      <c r="FN194" s="418"/>
      <c r="FO194" s="418"/>
      <c r="FP194" s="418"/>
      <c r="FQ194" s="418"/>
      <c r="FR194" s="418"/>
      <c r="FS194" s="418"/>
      <c r="FT194" s="418"/>
      <c r="FU194" s="418"/>
      <c r="FV194" s="418"/>
      <c r="FW194" s="418"/>
      <c r="FX194" s="418"/>
      <c r="FY194" s="418"/>
      <c r="FZ194" s="418"/>
      <c r="GA194" s="418"/>
      <c r="GB194" s="418"/>
      <c r="GC194" s="418"/>
      <c r="GD194" s="418"/>
      <c r="GE194" s="418"/>
      <c r="GF194" s="418"/>
      <c r="GG194" s="418"/>
      <c r="GH194" s="418"/>
      <c r="GI194" s="418"/>
      <c r="GJ194" s="418"/>
      <c r="GK194" s="418"/>
      <c r="GL194" s="418"/>
      <c r="GM194" s="418"/>
      <c r="GN194" s="418"/>
      <c r="GO194" s="418"/>
      <c r="GP194" s="418"/>
      <c r="GQ194" s="418"/>
      <c r="GR194" s="418"/>
      <c r="GS194" s="418"/>
      <c r="GT194" s="418"/>
      <c r="GU194" s="418"/>
      <c r="GV194" s="418"/>
      <c r="GW194" s="418"/>
      <c r="GX194" s="418"/>
      <c r="GY194" s="418"/>
      <c r="GZ194" s="418"/>
      <c r="HA194" s="418"/>
      <c r="HB194" s="418"/>
      <c r="HC194" s="418"/>
      <c r="HD194" s="418"/>
      <c r="HE194" s="418"/>
      <c r="HF194" s="418"/>
      <c r="HG194" s="418"/>
      <c r="HH194" s="418"/>
      <c r="HI194" s="418"/>
      <c r="HJ194" s="418"/>
      <c r="HK194" s="418"/>
      <c r="HL194" s="418"/>
      <c r="HM194" s="418"/>
      <c r="HN194" s="418"/>
      <c r="HO194" s="418"/>
      <c r="HP194" s="418"/>
      <c r="HQ194" s="418"/>
      <c r="HR194" s="418"/>
      <c r="HS194" s="418"/>
      <c r="HT194" s="418"/>
      <c r="HU194" s="418"/>
      <c r="HV194" s="418"/>
      <c r="HW194" s="418"/>
      <c r="HX194" s="418"/>
      <c r="HY194" s="418"/>
      <c r="HZ194" s="418"/>
      <c r="IA194" s="418"/>
      <c r="IB194" s="418"/>
      <c r="IC194" s="418"/>
      <c r="ID194" s="418"/>
      <c r="IE194" s="418"/>
      <c r="IF194" s="418"/>
      <c r="IG194" s="418"/>
      <c r="IH194" s="418"/>
      <c r="II194" s="418"/>
      <c r="IJ194" s="418"/>
      <c r="IK194" s="418"/>
      <c r="IL194" s="418"/>
      <c r="IM194" s="418"/>
      <c r="IN194" s="418"/>
      <c r="IO194" s="418"/>
      <c r="IP194" s="418"/>
      <c r="IQ194" s="418"/>
      <c r="IR194" s="418"/>
      <c r="IS194" s="418"/>
      <c r="IT194" s="418"/>
      <c r="IU194" s="418"/>
      <c r="IV194" s="418"/>
      <c r="IW194" s="418"/>
      <c r="IX194" s="418"/>
      <c r="IY194" s="418"/>
      <c r="IZ194" s="418"/>
      <c r="JA194" s="418"/>
    </row>
    <row r="195" spans="1:261" s="758" customFormat="1" ht="18" customHeight="1" x14ac:dyDescent="0.35">
      <c r="A195" s="773">
        <v>185</v>
      </c>
      <c r="B195" s="766"/>
      <c r="C195" s="420"/>
      <c r="D195" s="1318" t="s">
        <v>947</v>
      </c>
      <c r="E195" s="430"/>
      <c r="F195" s="430"/>
      <c r="G195" s="431"/>
      <c r="H195" s="999"/>
      <c r="I195" s="997"/>
      <c r="J195" s="430"/>
      <c r="K195" s="430"/>
      <c r="L195" s="430"/>
      <c r="M195" s="430"/>
      <c r="N195" s="430"/>
      <c r="O195" s="1599">
        <f>SUM(I195:N195)</f>
        <v>0</v>
      </c>
      <c r="P195" s="763"/>
      <c r="Q195" s="418"/>
      <c r="R195" s="418"/>
      <c r="S195" s="418"/>
      <c r="T195" s="418"/>
      <c r="U195" s="418"/>
      <c r="V195" s="418"/>
      <c r="W195" s="418"/>
      <c r="X195" s="418"/>
      <c r="Y195" s="418"/>
      <c r="Z195" s="418"/>
      <c r="AA195" s="418"/>
      <c r="AB195" s="418"/>
      <c r="AC195" s="418"/>
      <c r="AD195" s="418"/>
      <c r="AE195" s="418"/>
      <c r="AF195" s="418"/>
      <c r="AG195" s="418"/>
      <c r="AH195" s="418"/>
      <c r="AI195" s="418"/>
      <c r="AJ195" s="418"/>
      <c r="AK195" s="418"/>
      <c r="AL195" s="418"/>
      <c r="AM195" s="418"/>
      <c r="AN195" s="418"/>
      <c r="AO195" s="418"/>
      <c r="AP195" s="418"/>
      <c r="AQ195" s="418"/>
      <c r="AR195" s="418"/>
      <c r="AS195" s="418"/>
      <c r="AT195" s="418"/>
      <c r="AU195" s="418"/>
      <c r="AV195" s="418"/>
      <c r="AW195" s="418"/>
      <c r="AX195" s="418"/>
      <c r="AY195" s="418"/>
      <c r="AZ195" s="418"/>
      <c r="BA195" s="418"/>
      <c r="BB195" s="418"/>
      <c r="BC195" s="418"/>
      <c r="BD195" s="418"/>
      <c r="BE195" s="418"/>
      <c r="BF195" s="418"/>
      <c r="BG195" s="418"/>
      <c r="BH195" s="418"/>
      <c r="BI195" s="418"/>
      <c r="BJ195" s="418"/>
      <c r="BK195" s="418"/>
      <c r="BL195" s="418"/>
      <c r="BM195" s="418"/>
      <c r="BN195" s="418"/>
      <c r="BO195" s="418"/>
      <c r="BP195" s="418"/>
      <c r="BQ195" s="418"/>
      <c r="BR195" s="418"/>
      <c r="BS195" s="418"/>
      <c r="BT195" s="418"/>
      <c r="BU195" s="418"/>
      <c r="BV195" s="418"/>
      <c r="BW195" s="418"/>
      <c r="BX195" s="418"/>
      <c r="BY195" s="418"/>
      <c r="BZ195" s="418"/>
      <c r="CA195" s="418"/>
      <c r="CB195" s="418"/>
      <c r="CC195" s="418"/>
      <c r="CD195" s="418"/>
      <c r="CE195" s="418"/>
      <c r="CF195" s="418"/>
      <c r="CG195" s="418"/>
      <c r="CH195" s="418"/>
      <c r="CI195" s="418"/>
      <c r="CJ195" s="418"/>
      <c r="CK195" s="418"/>
      <c r="CL195" s="418"/>
      <c r="CM195" s="418"/>
      <c r="CN195" s="418"/>
      <c r="CO195" s="418"/>
      <c r="CP195" s="418"/>
      <c r="CQ195" s="418"/>
      <c r="CR195" s="418"/>
      <c r="CS195" s="418"/>
      <c r="CT195" s="418"/>
      <c r="CU195" s="418"/>
      <c r="CV195" s="418"/>
      <c r="CW195" s="418"/>
      <c r="CX195" s="418"/>
      <c r="CY195" s="418"/>
      <c r="CZ195" s="418"/>
      <c r="DA195" s="418"/>
      <c r="DB195" s="418"/>
      <c r="DC195" s="418"/>
      <c r="DD195" s="418"/>
      <c r="DE195" s="418"/>
      <c r="DF195" s="418"/>
      <c r="DG195" s="418"/>
      <c r="DH195" s="418"/>
      <c r="DI195" s="418"/>
      <c r="DJ195" s="418"/>
      <c r="DK195" s="418"/>
      <c r="DL195" s="418"/>
      <c r="DM195" s="418"/>
      <c r="DN195" s="418"/>
      <c r="DO195" s="418"/>
      <c r="DP195" s="418"/>
      <c r="DQ195" s="418"/>
      <c r="DR195" s="418"/>
      <c r="DS195" s="418"/>
      <c r="DT195" s="418"/>
      <c r="DU195" s="418"/>
      <c r="DV195" s="418"/>
      <c r="DW195" s="418"/>
      <c r="DX195" s="418"/>
      <c r="DY195" s="418"/>
      <c r="DZ195" s="418"/>
      <c r="EA195" s="418"/>
      <c r="EB195" s="418"/>
      <c r="EC195" s="418"/>
      <c r="ED195" s="418"/>
      <c r="EE195" s="418"/>
      <c r="EF195" s="418"/>
      <c r="EG195" s="418"/>
      <c r="EH195" s="418"/>
      <c r="EI195" s="418"/>
      <c r="EJ195" s="418"/>
      <c r="EK195" s="418"/>
      <c r="EL195" s="418"/>
      <c r="EM195" s="418"/>
      <c r="EN195" s="418"/>
      <c r="EO195" s="418"/>
      <c r="EP195" s="418"/>
      <c r="EQ195" s="418"/>
      <c r="ER195" s="418"/>
      <c r="ES195" s="418"/>
      <c r="ET195" s="418"/>
      <c r="EU195" s="418"/>
      <c r="EV195" s="418"/>
      <c r="EW195" s="418"/>
      <c r="EX195" s="418"/>
      <c r="EY195" s="418"/>
      <c r="EZ195" s="418"/>
      <c r="FA195" s="418"/>
      <c r="FB195" s="418"/>
      <c r="FC195" s="418"/>
      <c r="FD195" s="418"/>
      <c r="FE195" s="418"/>
      <c r="FF195" s="418"/>
      <c r="FG195" s="418"/>
      <c r="FH195" s="418"/>
      <c r="FI195" s="418"/>
      <c r="FJ195" s="418"/>
      <c r="FK195" s="418"/>
      <c r="FL195" s="418"/>
      <c r="FM195" s="418"/>
      <c r="FN195" s="418"/>
      <c r="FO195" s="418"/>
      <c r="FP195" s="418"/>
      <c r="FQ195" s="418"/>
      <c r="FR195" s="418"/>
      <c r="FS195" s="418"/>
      <c r="FT195" s="418"/>
      <c r="FU195" s="418"/>
      <c r="FV195" s="418"/>
      <c r="FW195" s="418"/>
      <c r="FX195" s="418"/>
      <c r="FY195" s="418"/>
      <c r="FZ195" s="418"/>
      <c r="GA195" s="418"/>
      <c r="GB195" s="418"/>
      <c r="GC195" s="418"/>
      <c r="GD195" s="418"/>
      <c r="GE195" s="418"/>
      <c r="GF195" s="418"/>
      <c r="GG195" s="418"/>
      <c r="GH195" s="418"/>
      <c r="GI195" s="418"/>
      <c r="GJ195" s="418"/>
      <c r="GK195" s="418"/>
      <c r="GL195" s="418"/>
      <c r="GM195" s="418"/>
      <c r="GN195" s="418"/>
      <c r="GO195" s="418"/>
      <c r="GP195" s="418"/>
      <c r="GQ195" s="418"/>
      <c r="GR195" s="418"/>
      <c r="GS195" s="418"/>
      <c r="GT195" s="418"/>
      <c r="GU195" s="418"/>
      <c r="GV195" s="418"/>
      <c r="GW195" s="418"/>
      <c r="GX195" s="418"/>
      <c r="GY195" s="418"/>
      <c r="GZ195" s="418"/>
      <c r="HA195" s="418"/>
      <c r="HB195" s="418"/>
      <c r="HC195" s="418"/>
      <c r="HD195" s="418"/>
      <c r="HE195" s="418"/>
      <c r="HF195" s="418"/>
      <c r="HG195" s="418"/>
      <c r="HH195" s="418"/>
      <c r="HI195" s="418"/>
      <c r="HJ195" s="418"/>
      <c r="HK195" s="418"/>
      <c r="HL195" s="418"/>
      <c r="HM195" s="418"/>
      <c r="HN195" s="418"/>
      <c r="HO195" s="418"/>
      <c r="HP195" s="418"/>
      <c r="HQ195" s="418"/>
      <c r="HR195" s="418"/>
      <c r="HS195" s="418"/>
      <c r="HT195" s="418"/>
      <c r="HU195" s="418"/>
      <c r="HV195" s="418"/>
      <c r="HW195" s="418"/>
      <c r="HX195" s="418"/>
      <c r="HY195" s="418"/>
      <c r="HZ195" s="418"/>
      <c r="IA195" s="418"/>
      <c r="IB195" s="418"/>
      <c r="IC195" s="418"/>
      <c r="ID195" s="418"/>
      <c r="IE195" s="418"/>
      <c r="IF195" s="418"/>
      <c r="IG195" s="418"/>
      <c r="IH195" s="418"/>
      <c r="II195" s="418"/>
      <c r="IJ195" s="418"/>
      <c r="IK195" s="418"/>
      <c r="IL195" s="418"/>
      <c r="IM195" s="418"/>
      <c r="IN195" s="418"/>
      <c r="IO195" s="418"/>
      <c r="IP195" s="418"/>
      <c r="IQ195" s="418"/>
      <c r="IR195" s="418"/>
      <c r="IS195" s="418"/>
      <c r="IT195" s="418"/>
      <c r="IU195" s="418"/>
      <c r="IV195" s="418"/>
      <c r="IW195" s="418"/>
      <c r="IX195" s="418"/>
      <c r="IY195" s="418"/>
      <c r="IZ195" s="418"/>
      <c r="JA195" s="418"/>
    </row>
    <row r="196" spans="1:261" s="758" customFormat="1" ht="18" customHeight="1" x14ac:dyDescent="0.35">
      <c r="A196" s="773">
        <v>186</v>
      </c>
      <c r="B196" s="766"/>
      <c r="C196" s="420"/>
      <c r="D196" s="576" t="s">
        <v>1250</v>
      </c>
      <c r="E196" s="430"/>
      <c r="F196" s="430"/>
      <c r="G196" s="431"/>
      <c r="H196" s="999"/>
      <c r="I196" s="997"/>
      <c r="J196" s="430"/>
      <c r="K196" s="430">
        <f>SUM(K194:K195)</f>
        <v>0</v>
      </c>
      <c r="L196" s="430"/>
      <c r="M196" s="430"/>
      <c r="N196" s="430"/>
      <c r="O196" s="767">
        <f>SUM(I196:N196)</f>
        <v>0</v>
      </c>
      <c r="P196" s="763"/>
      <c r="Q196" s="418"/>
      <c r="R196" s="418"/>
      <c r="S196" s="418"/>
      <c r="T196" s="418"/>
      <c r="U196" s="418"/>
      <c r="V196" s="418"/>
      <c r="W196" s="418"/>
      <c r="X196" s="418"/>
      <c r="Y196" s="418"/>
      <c r="Z196" s="418"/>
      <c r="AA196" s="418"/>
      <c r="AB196" s="418"/>
      <c r="AC196" s="418"/>
      <c r="AD196" s="418"/>
      <c r="AE196" s="418"/>
      <c r="AF196" s="418"/>
      <c r="AG196" s="418"/>
      <c r="AH196" s="418"/>
      <c r="AI196" s="418"/>
      <c r="AJ196" s="418"/>
      <c r="AK196" s="418"/>
      <c r="AL196" s="418"/>
      <c r="AM196" s="418"/>
      <c r="AN196" s="418"/>
      <c r="AO196" s="418"/>
      <c r="AP196" s="418"/>
      <c r="AQ196" s="418"/>
      <c r="AR196" s="418"/>
      <c r="AS196" s="418"/>
      <c r="AT196" s="418"/>
      <c r="AU196" s="418"/>
      <c r="AV196" s="418"/>
      <c r="AW196" s="418"/>
      <c r="AX196" s="418"/>
      <c r="AY196" s="418"/>
      <c r="AZ196" s="418"/>
      <c r="BA196" s="418"/>
      <c r="BB196" s="418"/>
      <c r="BC196" s="418"/>
      <c r="BD196" s="418"/>
      <c r="BE196" s="418"/>
      <c r="BF196" s="418"/>
      <c r="BG196" s="418"/>
      <c r="BH196" s="418"/>
      <c r="BI196" s="418"/>
      <c r="BJ196" s="418"/>
      <c r="BK196" s="418"/>
      <c r="BL196" s="418"/>
      <c r="BM196" s="418"/>
      <c r="BN196" s="418"/>
      <c r="BO196" s="418"/>
      <c r="BP196" s="418"/>
      <c r="BQ196" s="418"/>
      <c r="BR196" s="418"/>
      <c r="BS196" s="418"/>
      <c r="BT196" s="418"/>
      <c r="BU196" s="418"/>
      <c r="BV196" s="418"/>
      <c r="BW196" s="418"/>
      <c r="BX196" s="418"/>
      <c r="BY196" s="418"/>
      <c r="BZ196" s="418"/>
      <c r="CA196" s="418"/>
      <c r="CB196" s="418"/>
      <c r="CC196" s="418"/>
      <c r="CD196" s="418"/>
      <c r="CE196" s="418"/>
      <c r="CF196" s="418"/>
      <c r="CG196" s="418"/>
      <c r="CH196" s="418"/>
      <c r="CI196" s="418"/>
      <c r="CJ196" s="418"/>
      <c r="CK196" s="418"/>
      <c r="CL196" s="418"/>
      <c r="CM196" s="418"/>
      <c r="CN196" s="418"/>
      <c r="CO196" s="418"/>
      <c r="CP196" s="418"/>
      <c r="CQ196" s="418"/>
      <c r="CR196" s="418"/>
      <c r="CS196" s="418"/>
      <c r="CT196" s="418"/>
      <c r="CU196" s="418"/>
      <c r="CV196" s="418"/>
      <c r="CW196" s="418"/>
      <c r="CX196" s="418"/>
      <c r="CY196" s="418"/>
      <c r="CZ196" s="418"/>
      <c r="DA196" s="418"/>
      <c r="DB196" s="418"/>
      <c r="DC196" s="418"/>
      <c r="DD196" s="418"/>
      <c r="DE196" s="418"/>
      <c r="DF196" s="418"/>
      <c r="DG196" s="418"/>
      <c r="DH196" s="418"/>
      <c r="DI196" s="418"/>
      <c r="DJ196" s="418"/>
      <c r="DK196" s="418"/>
      <c r="DL196" s="418"/>
      <c r="DM196" s="418"/>
      <c r="DN196" s="418"/>
      <c r="DO196" s="418"/>
      <c r="DP196" s="418"/>
      <c r="DQ196" s="418"/>
      <c r="DR196" s="418"/>
      <c r="DS196" s="418"/>
      <c r="DT196" s="418"/>
      <c r="DU196" s="418"/>
      <c r="DV196" s="418"/>
      <c r="DW196" s="418"/>
      <c r="DX196" s="418"/>
      <c r="DY196" s="418"/>
      <c r="DZ196" s="418"/>
      <c r="EA196" s="418"/>
      <c r="EB196" s="418"/>
      <c r="EC196" s="418"/>
      <c r="ED196" s="418"/>
      <c r="EE196" s="418"/>
      <c r="EF196" s="418"/>
      <c r="EG196" s="418"/>
      <c r="EH196" s="418"/>
      <c r="EI196" s="418"/>
      <c r="EJ196" s="418"/>
      <c r="EK196" s="418"/>
      <c r="EL196" s="418"/>
      <c r="EM196" s="418"/>
      <c r="EN196" s="418"/>
      <c r="EO196" s="418"/>
      <c r="EP196" s="418"/>
      <c r="EQ196" s="418"/>
      <c r="ER196" s="418"/>
      <c r="ES196" s="418"/>
      <c r="ET196" s="418"/>
      <c r="EU196" s="418"/>
      <c r="EV196" s="418"/>
      <c r="EW196" s="418"/>
      <c r="EX196" s="418"/>
      <c r="EY196" s="418"/>
      <c r="EZ196" s="418"/>
      <c r="FA196" s="418"/>
      <c r="FB196" s="418"/>
      <c r="FC196" s="418"/>
      <c r="FD196" s="418"/>
      <c r="FE196" s="418"/>
      <c r="FF196" s="418"/>
      <c r="FG196" s="418"/>
      <c r="FH196" s="418"/>
      <c r="FI196" s="418"/>
      <c r="FJ196" s="418"/>
      <c r="FK196" s="418"/>
      <c r="FL196" s="418"/>
      <c r="FM196" s="418"/>
      <c r="FN196" s="418"/>
      <c r="FO196" s="418"/>
      <c r="FP196" s="418"/>
      <c r="FQ196" s="418"/>
      <c r="FR196" s="418"/>
      <c r="FS196" s="418"/>
      <c r="FT196" s="418"/>
      <c r="FU196" s="418"/>
      <c r="FV196" s="418"/>
      <c r="FW196" s="418"/>
      <c r="FX196" s="418"/>
      <c r="FY196" s="418"/>
      <c r="FZ196" s="418"/>
      <c r="GA196" s="418"/>
      <c r="GB196" s="418"/>
      <c r="GC196" s="418"/>
      <c r="GD196" s="418"/>
      <c r="GE196" s="418"/>
      <c r="GF196" s="418"/>
      <c r="GG196" s="418"/>
      <c r="GH196" s="418"/>
      <c r="GI196" s="418"/>
      <c r="GJ196" s="418"/>
      <c r="GK196" s="418"/>
      <c r="GL196" s="418"/>
      <c r="GM196" s="418"/>
      <c r="GN196" s="418"/>
      <c r="GO196" s="418"/>
      <c r="GP196" s="418"/>
      <c r="GQ196" s="418"/>
      <c r="GR196" s="418"/>
      <c r="GS196" s="418"/>
      <c r="GT196" s="418"/>
      <c r="GU196" s="418"/>
      <c r="GV196" s="418"/>
      <c r="GW196" s="418"/>
      <c r="GX196" s="418"/>
      <c r="GY196" s="418"/>
      <c r="GZ196" s="418"/>
      <c r="HA196" s="418"/>
      <c r="HB196" s="418"/>
      <c r="HC196" s="418"/>
      <c r="HD196" s="418"/>
      <c r="HE196" s="418"/>
      <c r="HF196" s="418"/>
      <c r="HG196" s="418"/>
      <c r="HH196" s="418"/>
      <c r="HI196" s="418"/>
      <c r="HJ196" s="418"/>
      <c r="HK196" s="418"/>
      <c r="HL196" s="418"/>
      <c r="HM196" s="418"/>
      <c r="HN196" s="418"/>
      <c r="HO196" s="418"/>
      <c r="HP196" s="418"/>
      <c r="HQ196" s="418"/>
      <c r="HR196" s="418"/>
      <c r="HS196" s="418"/>
      <c r="HT196" s="418"/>
      <c r="HU196" s="418"/>
      <c r="HV196" s="418"/>
      <c r="HW196" s="418"/>
      <c r="HX196" s="418"/>
      <c r="HY196" s="418"/>
      <c r="HZ196" s="418"/>
      <c r="IA196" s="418"/>
      <c r="IB196" s="418"/>
      <c r="IC196" s="418"/>
      <c r="ID196" s="418"/>
      <c r="IE196" s="418"/>
      <c r="IF196" s="418"/>
      <c r="IG196" s="418"/>
      <c r="IH196" s="418"/>
      <c r="II196" s="418"/>
      <c r="IJ196" s="418"/>
      <c r="IK196" s="418"/>
      <c r="IL196" s="418"/>
      <c r="IM196" s="418"/>
      <c r="IN196" s="418"/>
      <c r="IO196" s="418"/>
      <c r="IP196" s="418"/>
      <c r="IQ196" s="418"/>
      <c r="IR196" s="418"/>
      <c r="IS196" s="418"/>
      <c r="IT196" s="418"/>
      <c r="IU196" s="418"/>
      <c r="IV196" s="418"/>
      <c r="IW196" s="418"/>
      <c r="IX196" s="418"/>
      <c r="IY196" s="418"/>
      <c r="IZ196" s="418"/>
      <c r="JA196" s="418"/>
    </row>
    <row r="197" spans="1:261" s="758" customFormat="1" ht="22.5" customHeight="1" x14ac:dyDescent="0.35">
      <c r="A197" s="773">
        <v>187</v>
      </c>
      <c r="B197" s="766"/>
      <c r="C197" s="464">
        <v>38</v>
      </c>
      <c r="D197" s="421" t="s">
        <v>688</v>
      </c>
      <c r="E197" s="430"/>
      <c r="F197" s="430"/>
      <c r="G197" s="431"/>
      <c r="H197" s="999" t="s">
        <v>24</v>
      </c>
      <c r="I197" s="997"/>
      <c r="J197" s="430"/>
      <c r="K197" s="430"/>
      <c r="L197" s="430"/>
      <c r="M197" s="430"/>
      <c r="N197" s="430"/>
      <c r="O197" s="767"/>
      <c r="P197" s="763"/>
      <c r="Q197" s="418"/>
      <c r="R197" s="418"/>
      <c r="S197" s="418"/>
      <c r="T197" s="418"/>
      <c r="U197" s="418"/>
      <c r="V197" s="418"/>
      <c r="W197" s="418"/>
      <c r="X197" s="418"/>
      <c r="Y197" s="418"/>
      <c r="Z197" s="418"/>
      <c r="AA197" s="418"/>
      <c r="AB197" s="418"/>
      <c r="AC197" s="418"/>
      <c r="AD197" s="418"/>
      <c r="AE197" s="418"/>
      <c r="AF197" s="418"/>
      <c r="AG197" s="418"/>
      <c r="AH197" s="418"/>
      <c r="AI197" s="418"/>
      <c r="AJ197" s="418"/>
      <c r="AK197" s="418"/>
      <c r="AL197" s="418"/>
      <c r="AM197" s="418"/>
      <c r="AN197" s="418"/>
      <c r="AO197" s="418"/>
      <c r="AP197" s="418"/>
      <c r="AQ197" s="418"/>
      <c r="AR197" s="418"/>
      <c r="AS197" s="418"/>
      <c r="AT197" s="418"/>
      <c r="AU197" s="418"/>
      <c r="AV197" s="418"/>
      <c r="AW197" s="418"/>
      <c r="AX197" s="418"/>
      <c r="AY197" s="418"/>
      <c r="AZ197" s="418"/>
      <c r="BA197" s="418"/>
      <c r="BB197" s="418"/>
      <c r="BC197" s="418"/>
      <c r="BD197" s="418"/>
      <c r="BE197" s="418"/>
      <c r="BF197" s="418"/>
      <c r="BG197" s="418"/>
      <c r="BH197" s="418"/>
      <c r="BI197" s="418"/>
      <c r="BJ197" s="418"/>
      <c r="BK197" s="418"/>
      <c r="BL197" s="418"/>
      <c r="BM197" s="418"/>
      <c r="BN197" s="418"/>
      <c r="BO197" s="418"/>
      <c r="BP197" s="418"/>
      <c r="BQ197" s="418"/>
      <c r="BR197" s="418"/>
      <c r="BS197" s="418"/>
      <c r="BT197" s="418"/>
      <c r="BU197" s="418"/>
      <c r="BV197" s="418"/>
      <c r="BW197" s="418"/>
      <c r="BX197" s="418"/>
      <c r="BY197" s="418"/>
      <c r="BZ197" s="418"/>
      <c r="CA197" s="418"/>
      <c r="CB197" s="418"/>
      <c r="CC197" s="418"/>
      <c r="CD197" s="418"/>
      <c r="CE197" s="418"/>
      <c r="CF197" s="418"/>
      <c r="CG197" s="418"/>
      <c r="CH197" s="418"/>
      <c r="CI197" s="418"/>
      <c r="CJ197" s="418"/>
      <c r="CK197" s="418"/>
      <c r="CL197" s="418"/>
      <c r="CM197" s="418"/>
      <c r="CN197" s="418"/>
      <c r="CO197" s="418"/>
      <c r="CP197" s="418"/>
      <c r="CQ197" s="418"/>
      <c r="CR197" s="418"/>
      <c r="CS197" s="418"/>
      <c r="CT197" s="418"/>
      <c r="CU197" s="418"/>
      <c r="CV197" s="418"/>
      <c r="CW197" s="418"/>
      <c r="CX197" s="418"/>
      <c r="CY197" s="418"/>
      <c r="CZ197" s="418"/>
      <c r="DA197" s="418"/>
      <c r="DB197" s="418"/>
      <c r="DC197" s="418"/>
      <c r="DD197" s="418"/>
      <c r="DE197" s="418"/>
      <c r="DF197" s="418"/>
      <c r="DG197" s="418"/>
      <c r="DH197" s="418"/>
      <c r="DI197" s="418"/>
      <c r="DJ197" s="418"/>
      <c r="DK197" s="418"/>
      <c r="DL197" s="418"/>
      <c r="DM197" s="418"/>
      <c r="DN197" s="418"/>
      <c r="DO197" s="418"/>
      <c r="DP197" s="418"/>
      <c r="DQ197" s="418"/>
      <c r="DR197" s="418"/>
      <c r="DS197" s="418"/>
      <c r="DT197" s="418"/>
      <c r="DU197" s="418"/>
      <c r="DV197" s="418"/>
      <c r="DW197" s="418"/>
      <c r="DX197" s="418"/>
      <c r="DY197" s="418"/>
      <c r="DZ197" s="418"/>
      <c r="EA197" s="418"/>
      <c r="EB197" s="418"/>
      <c r="EC197" s="418"/>
      <c r="ED197" s="418"/>
      <c r="EE197" s="418"/>
      <c r="EF197" s="418"/>
      <c r="EG197" s="418"/>
      <c r="EH197" s="418"/>
      <c r="EI197" s="418"/>
      <c r="EJ197" s="418"/>
      <c r="EK197" s="418"/>
      <c r="EL197" s="418"/>
      <c r="EM197" s="418"/>
      <c r="EN197" s="418"/>
      <c r="EO197" s="418"/>
      <c r="EP197" s="418"/>
      <c r="EQ197" s="418"/>
      <c r="ER197" s="418"/>
      <c r="ES197" s="418"/>
      <c r="ET197" s="418"/>
      <c r="EU197" s="418"/>
      <c r="EV197" s="418"/>
      <c r="EW197" s="418"/>
      <c r="EX197" s="418"/>
      <c r="EY197" s="418"/>
      <c r="EZ197" s="418"/>
      <c r="FA197" s="418"/>
      <c r="FB197" s="418"/>
      <c r="FC197" s="418"/>
      <c r="FD197" s="418"/>
      <c r="FE197" s="418"/>
      <c r="FF197" s="418"/>
      <c r="FG197" s="418"/>
      <c r="FH197" s="418"/>
      <c r="FI197" s="418"/>
      <c r="FJ197" s="418"/>
      <c r="FK197" s="418"/>
      <c r="FL197" s="418"/>
      <c r="FM197" s="418"/>
      <c r="FN197" s="418"/>
      <c r="FO197" s="418"/>
      <c r="FP197" s="418"/>
      <c r="FQ197" s="418"/>
      <c r="FR197" s="418"/>
      <c r="FS197" s="418"/>
      <c r="FT197" s="418"/>
      <c r="FU197" s="418"/>
      <c r="FV197" s="418"/>
      <c r="FW197" s="418"/>
      <c r="FX197" s="418"/>
      <c r="FY197" s="418"/>
      <c r="FZ197" s="418"/>
      <c r="GA197" s="418"/>
      <c r="GB197" s="418"/>
      <c r="GC197" s="418"/>
      <c r="GD197" s="418"/>
      <c r="GE197" s="418"/>
      <c r="GF197" s="418"/>
      <c r="GG197" s="418"/>
      <c r="GH197" s="418"/>
      <c r="GI197" s="418"/>
      <c r="GJ197" s="418"/>
      <c r="GK197" s="418"/>
      <c r="GL197" s="418"/>
      <c r="GM197" s="418"/>
      <c r="GN197" s="418"/>
      <c r="GO197" s="418"/>
      <c r="GP197" s="418"/>
      <c r="GQ197" s="418"/>
      <c r="GR197" s="418"/>
      <c r="GS197" s="418"/>
      <c r="GT197" s="418"/>
      <c r="GU197" s="418"/>
      <c r="GV197" s="418"/>
      <c r="GW197" s="418"/>
      <c r="GX197" s="418"/>
      <c r="GY197" s="418"/>
      <c r="GZ197" s="418"/>
      <c r="HA197" s="418"/>
      <c r="HB197" s="418"/>
      <c r="HC197" s="418"/>
      <c r="HD197" s="418"/>
      <c r="HE197" s="418"/>
      <c r="HF197" s="418"/>
      <c r="HG197" s="418"/>
      <c r="HH197" s="418"/>
      <c r="HI197" s="418"/>
      <c r="HJ197" s="418"/>
      <c r="HK197" s="418"/>
      <c r="HL197" s="418"/>
      <c r="HM197" s="418"/>
      <c r="HN197" s="418"/>
      <c r="HO197" s="418"/>
      <c r="HP197" s="418"/>
      <c r="HQ197" s="418"/>
      <c r="HR197" s="418"/>
      <c r="HS197" s="418"/>
      <c r="HT197" s="418"/>
      <c r="HU197" s="418"/>
      <c r="HV197" s="418"/>
      <c r="HW197" s="418"/>
      <c r="HX197" s="418"/>
      <c r="HY197" s="418"/>
      <c r="HZ197" s="418"/>
      <c r="IA197" s="418"/>
      <c r="IB197" s="418"/>
      <c r="IC197" s="418"/>
      <c r="ID197" s="418"/>
      <c r="IE197" s="418"/>
      <c r="IF197" s="418"/>
      <c r="IG197" s="418"/>
      <c r="IH197" s="418"/>
      <c r="II197" s="418"/>
      <c r="IJ197" s="418"/>
      <c r="IK197" s="418"/>
      <c r="IL197" s="418"/>
      <c r="IM197" s="418"/>
      <c r="IN197" s="418"/>
      <c r="IO197" s="418"/>
      <c r="IP197" s="418"/>
      <c r="IQ197" s="418"/>
      <c r="IR197" s="418"/>
      <c r="IS197" s="418"/>
      <c r="IT197" s="418"/>
      <c r="IU197" s="418"/>
      <c r="IV197" s="418"/>
      <c r="IW197" s="418"/>
      <c r="IX197" s="418"/>
      <c r="IY197" s="418"/>
      <c r="IZ197" s="418"/>
      <c r="JA197" s="418"/>
    </row>
    <row r="198" spans="1:261" s="758" customFormat="1" ht="18" customHeight="1" x14ac:dyDescent="0.35">
      <c r="A198" s="773">
        <v>188</v>
      </c>
      <c r="B198" s="766"/>
      <c r="C198" s="420"/>
      <c r="D198" s="992" t="s">
        <v>308</v>
      </c>
      <c r="E198" s="430">
        <f>F198+G198+O201+P198</f>
        <v>2500</v>
      </c>
      <c r="F198" s="430"/>
      <c r="G198" s="431"/>
      <c r="H198" s="999"/>
      <c r="I198" s="997"/>
      <c r="J198" s="430"/>
      <c r="K198" s="430"/>
      <c r="L198" s="430"/>
      <c r="M198" s="1012">
        <v>2500</v>
      </c>
      <c r="N198" s="430"/>
      <c r="O198" s="982">
        <f>SUM(I198:N198)</f>
        <v>2500</v>
      </c>
      <c r="P198" s="763"/>
      <c r="Q198" s="418"/>
      <c r="R198" s="418"/>
      <c r="S198" s="418"/>
      <c r="T198" s="418"/>
      <c r="U198" s="418"/>
      <c r="V198" s="418"/>
      <c r="W198" s="418"/>
      <c r="X198" s="418"/>
      <c r="Y198" s="418"/>
      <c r="Z198" s="418"/>
      <c r="AA198" s="418"/>
      <c r="AB198" s="418"/>
      <c r="AC198" s="418"/>
      <c r="AD198" s="418"/>
      <c r="AE198" s="418"/>
      <c r="AF198" s="418"/>
      <c r="AG198" s="418"/>
      <c r="AH198" s="418"/>
      <c r="AI198" s="418"/>
      <c r="AJ198" s="418"/>
      <c r="AK198" s="418"/>
      <c r="AL198" s="418"/>
      <c r="AM198" s="418"/>
      <c r="AN198" s="418"/>
      <c r="AO198" s="418"/>
      <c r="AP198" s="418"/>
      <c r="AQ198" s="418"/>
      <c r="AR198" s="418"/>
      <c r="AS198" s="418"/>
      <c r="AT198" s="418"/>
      <c r="AU198" s="418"/>
      <c r="AV198" s="418"/>
      <c r="AW198" s="418"/>
      <c r="AX198" s="418"/>
      <c r="AY198" s="418"/>
      <c r="AZ198" s="418"/>
      <c r="BA198" s="418"/>
      <c r="BB198" s="418"/>
      <c r="BC198" s="418"/>
      <c r="BD198" s="418"/>
      <c r="BE198" s="418"/>
      <c r="BF198" s="418"/>
      <c r="BG198" s="418"/>
      <c r="BH198" s="418"/>
      <c r="BI198" s="418"/>
      <c r="BJ198" s="418"/>
      <c r="BK198" s="418"/>
      <c r="BL198" s="418"/>
      <c r="BM198" s="418"/>
      <c r="BN198" s="418"/>
      <c r="BO198" s="418"/>
      <c r="BP198" s="418"/>
      <c r="BQ198" s="418"/>
      <c r="BR198" s="418"/>
      <c r="BS198" s="418"/>
      <c r="BT198" s="418"/>
      <c r="BU198" s="418"/>
      <c r="BV198" s="418"/>
      <c r="BW198" s="418"/>
      <c r="BX198" s="418"/>
      <c r="BY198" s="418"/>
      <c r="BZ198" s="418"/>
      <c r="CA198" s="418"/>
      <c r="CB198" s="418"/>
      <c r="CC198" s="418"/>
      <c r="CD198" s="418"/>
      <c r="CE198" s="418"/>
      <c r="CF198" s="418"/>
      <c r="CG198" s="418"/>
      <c r="CH198" s="418"/>
      <c r="CI198" s="418"/>
      <c r="CJ198" s="418"/>
      <c r="CK198" s="418"/>
      <c r="CL198" s="418"/>
      <c r="CM198" s="418"/>
      <c r="CN198" s="418"/>
      <c r="CO198" s="418"/>
      <c r="CP198" s="418"/>
      <c r="CQ198" s="418"/>
      <c r="CR198" s="418"/>
      <c r="CS198" s="418"/>
      <c r="CT198" s="418"/>
      <c r="CU198" s="418"/>
      <c r="CV198" s="418"/>
      <c r="CW198" s="418"/>
      <c r="CX198" s="418"/>
      <c r="CY198" s="418"/>
      <c r="CZ198" s="418"/>
      <c r="DA198" s="418"/>
      <c r="DB198" s="418"/>
      <c r="DC198" s="418"/>
      <c r="DD198" s="418"/>
      <c r="DE198" s="418"/>
      <c r="DF198" s="418"/>
      <c r="DG198" s="418"/>
      <c r="DH198" s="418"/>
      <c r="DI198" s="418"/>
      <c r="DJ198" s="418"/>
      <c r="DK198" s="418"/>
      <c r="DL198" s="418"/>
      <c r="DM198" s="418"/>
      <c r="DN198" s="418"/>
      <c r="DO198" s="418"/>
      <c r="DP198" s="418"/>
      <c r="DQ198" s="418"/>
      <c r="DR198" s="418"/>
      <c r="DS198" s="418"/>
      <c r="DT198" s="418"/>
      <c r="DU198" s="418"/>
      <c r="DV198" s="418"/>
      <c r="DW198" s="418"/>
      <c r="DX198" s="418"/>
      <c r="DY198" s="418"/>
      <c r="DZ198" s="418"/>
      <c r="EA198" s="418"/>
      <c r="EB198" s="418"/>
      <c r="EC198" s="418"/>
      <c r="ED198" s="418"/>
      <c r="EE198" s="418"/>
      <c r="EF198" s="418"/>
      <c r="EG198" s="418"/>
      <c r="EH198" s="418"/>
      <c r="EI198" s="418"/>
      <c r="EJ198" s="418"/>
      <c r="EK198" s="418"/>
      <c r="EL198" s="418"/>
      <c r="EM198" s="418"/>
      <c r="EN198" s="418"/>
      <c r="EO198" s="418"/>
      <c r="EP198" s="418"/>
      <c r="EQ198" s="418"/>
      <c r="ER198" s="418"/>
      <c r="ES198" s="418"/>
      <c r="ET198" s="418"/>
      <c r="EU198" s="418"/>
      <c r="EV198" s="418"/>
      <c r="EW198" s="418"/>
      <c r="EX198" s="418"/>
      <c r="EY198" s="418"/>
      <c r="EZ198" s="418"/>
      <c r="FA198" s="418"/>
      <c r="FB198" s="418"/>
      <c r="FC198" s="418"/>
      <c r="FD198" s="418"/>
      <c r="FE198" s="418"/>
      <c r="FF198" s="418"/>
      <c r="FG198" s="418"/>
      <c r="FH198" s="418"/>
      <c r="FI198" s="418"/>
      <c r="FJ198" s="418"/>
      <c r="FK198" s="418"/>
      <c r="FL198" s="418"/>
      <c r="FM198" s="418"/>
      <c r="FN198" s="418"/>
      <c r="FO198" s="418"/>
      <c r="FP198" s="418"/>
      <c r="FQ198" s="418"/>
      <c r="FR198" s="418"/>
      <c r="FS198" s="418"/>
      <c r="FT198" s="418"/>
      <c r="FU198" s="418"/>
      <c r="FV198" s="418"/>
      <c r="FW198" s="418"/>
      <c r="FX198" s="418"/>
      <c r="FY198" s="418"/>
      <c r="FZ198" s="418"/>
      <c r="GA198" s="418"/>
      <c r="GB198" s="418"/>
      <c r="GC198" s="418"/>
      <c r="GD198" s="418"/>
      <c r="GE198" s="418"/>
      <c r="GF198" s="418"/>
      <c r="GG198" s="418"/>
      <c r="GH198" s="418"/>
      <c r="GI198" s="418"/>
      <c r="GJ198" s="418"/>
      <c r="GK198" s="418"/>
      <c r="GL198" s="418"/>
      <c r="GM198" s="418"/>
      <c r="GN198" s="418"/>
      <c r="GO198" s="418"/>
      <c r="GP198" s="418"/>
      <c r="GQ198" s="418"/>
      <c r="GR198" s="418"/>
      <c r="GS198" s="418"/>
      <c r="GT198" s="418"/>
      <c r="GU198" s="418"/>
      <c r="GV198" s="418"/>
      <c r="GW198" s="418"/>
      <c r="GX198" s="418"/>
      <c r="GY198" s="418"/>
      <c r="GZ198" s="418"/>
      <c r="HA198" s="418"/>
      <c r="HB198" s="418"/>
      <c r="HC198" s="418"/>
      <c r="HD198" s="418"/>
      <c r="HE198" s="418"/>
      <c r="HF198" s="418"/>
      <c r="HG198" s="418"/>
      <c r="HH198" s="418"/>
      <c r="HI198" s="418"/>
      <c r="HJ198" s="418"/>
      <c r="HK198" s="418"/>
      <c r="HL198" s="418"/>
      <c r="HM198" s="418"/>
      <c r="HN198" s="418"/>
      <c r="HO198" s="418"/>
      <c r="HP198" s="418"/>
      <c r="HQ198" s="418"/>
      <c r="HR198" s="418"/>
      <c r="HS198" s="418"/>
      <c r="HT198" s="418"/>
      <c r="HU198" s="418"/>
      <c r="HV198" s="418"/>
      <c r="HW198" s="418"/>
      <c r="HX198" s="418"/>
      <c r="HY198" s="418"/>
      <c r="HZ198" s="418"/>
      <c r="IA198" s="418"/>
      <c r="IB198" s="418"/>
      <c r="IC198" s="418"/>
      <c r="ID198" s="418"/>
      <c r="IE198" s="418"/>
      <c r="IF198" s="418"/>
      <c r="IG198" s="418"/>
      <c r="IH198" s="418"/>
      <c r="II198" s="418"/>
      <c r="IJ198" s="418"/>
      <c r="IK198" s="418"/>
      <c r="IL198" s="418"/>
      <c r="IM198" s="418"/>
      <c r="IN198" s="418"/>
      <c r="IO198" s="418"/>
      <c r="IP198" s="418"/>
      <c r="IQ198" s="418"/>
      <c r="IR198" s="418"/>
      <c r="IS198" s="418"/>
      <c r="IT198" s="418"/>
      <c r="IU198" s="418"/>
      <c r="IV198" s="418"/>
      <c r="IW198" s="418"/>
      <c r="IX198" s="418"/>
      <c r="IY198" s="418"/>
      <c r="IZ198" s="418"/>
      <c r="JA198" s="418"/>
    </row>
    <row r="199" spans="1:261" s="758" customFormat="1" ht="18" customHeight="1" x14ac:dyDescent="0.35">
      <c r="A199" s="773">
        <v>189</v>
      </c>
      <c r="B199" s="766"/>
      <c r="C199" s="420"/>
      <c r="D199" s="576" t="s">
        <v>1158</v>
      </c>
      <c r="E199" s="430"/>
      <c r="F199" s="430"/>
      <c r="G199" s="431"/>
      <c r="H199" s="999"/>
      <c r="I199" s="997"/>
      <c r="J199" s="430"/>
      <c r="K199" s="430">
        <v>2500</v>
      </c>
      <c r="L199" s="430"/>
      <c r="M199" s="430">
        <v>0</v>
      </c>
      <c r="N199" s="430"/>
      <c r="O199" s="767">
        <f>SUM(I199:N199)</f>
        <v>2500</v>
      </c>
      <c r="P199" s="763"/>
      <c r="Q199" s="418"/>
      <c r="R199" s="418"/>
      <c r="S199" s="418"/>
      <c r="T199" s="418"/>
      <c r="U199" s="418"/>
      <c r="V199" s="418"/>
      <c r="W199" s="418"/>
      <c r="X199" s="418"/>
      <c r="Y199" s="418"/>
      <c r="Z199" s="418"/>
      <c r="AA199" s="418"/>
      <c r="AB199" s="418"/>
      <c r="AC199" s="418"/>
      <c r="AD199" s="418"/>
      <c r="AE199" s="418"/>
      <c r="AF199" s="418"/>
      <c r="AG199" s="418"/>
      <c r="AH199" s="418"/>
      <c r="AI199" s="418"/>
      <c r="AJ199" s="418"/>
      <c r="AK199" s="418"/>
      <c r="AL199" s="418"/>
      <c r="AM199" s="418"/>
      <c r="AN199" s="418"/>
      <c r="AO199" s="418"/>
      <c r="AP199" s="418"/>
      <c r="AQ199" s="418"/>
      <c r="AR199" s="418"/>
      <c r="AS199" s="418"/>
      <c r="AT199" s="418"/>
      <c r="AU199" s="418"/>
      <c r="AV199" s="418"/>
      <c r="AW199" s="418"/>
      <c r="AX199" s="418"/>
      <c r="AY199" s="418"/>
      <c r="AZ199" s="418"/>
      <c r="BA199" s="418"/>
      <c r="BB199" s="418"/>
      <c r="BC199" s="418"/>
      <c r="BD199" s="418"/>
      <c r="BE199" s="418"/>
      <c r="BF199" s="418"/>
      <c r="BG199" s="418"/>
      <c r="BH199" s="418"/>
      <c r="BI199" s="418"/>
      <c r="BJ199" s="418"/>
      <c r="BK199" s="418"/>
      <c r="BL199" s="418"/>
      <c r="BM199" s="418"/>
      <c r="BN199" s="418"/>
      <c r="BO199" s="418"/>
      <c r="BP199" s="418"/>
      <c r="BQ199" s="418"/>
      <c r="BR199" s="418"/>
      <c r="BS199" s="418"/>
      <c r="BT199" s="418"/>
      <c r="BU199" s="418"/>
      <c r="BV199" s="418"/>
      <c r="BW199" s="418"/>
      <c r="BX199" s="418"/>
      <c r="BY199" s="418"/>
      <c r="BZ199" s="418"/>
      <c r="CA199" s="418"/>
      <c r="CB199" s="418"/>
      <c r="CC199" s="418"/>
      <c r="CD199" s="418"/>
      <c r="CE199" s="418"/>
      <c r="CF199" s="418"/>
      <c r="CG199" s="418"/>
      <c r="CH199" s="418"/>
      <c r="CI199" s="418"/>
      <c r="CJ199" s="418"/>
      <c r="CK199" s="418"/>
      <c r="CL199" s="418"/>
      <c r="CM199" s="418"/>
      <c r="CN199" s="418"/>
      <c r="CO199" s="418"/>
      <c r="CP199" s="418"/>
      <c r="CQ199" s="418"/>
      <c r="CR199" s="418"/>
      <c r="CS199" s="418"/>
      <c r="CT199" s="418"/>
      <c r="CU199" s="418"/>
      <c r="CV199" s="418"/>
      <c r="CW199" s="418"/>
      <c r="CX199" s="418"/>
      <c r="CY199" s="418"/>
      <c r="CZ199" s="418"/>
      <c r="DA199" s="418"/>
      <c r="DB199" s="418"/>
      <c r="DC199" s="418"/>
      <c r="DD199" s="418"/>
      <c r="DE199" s="418"/>
      <c r="DF199" s="418"/>
      <c r="DG199" s="418"/>
      <c r="DH199" s="418"/>
      <c r="DI199" s="418"/>
      <c r="DJ199" s="418"/>
      <c r="DK199" s="418"/>
      <c r="DL199" s="418"/>
      <c r="DM199" s="418"/>
      <c r="DN199" s="418"/>
      <c r="DO199" s="418"/>
      <c r="DP199" s="418"/>
      <c r="DQ199" s="418"/>
      <c r="DR199" s="418"/>
      <c r="DS199" s="418"/>
      <c r="DT199" s="418"/>
      <c r="DU199" s="418"/>
      <c r="DV199" s="418"/>
      <c r="DW199" s="418"/>
      <c r="DX199" s="418"/>
      <c r="DY199" s="418"/>
      <c r="DZ199" s="418"/>
      <c r="EA199" s="418"/>
      <c r="EB199" s="418"/>
      <c r="EC199" s="418"/>
      <c r="ED199" s="418"/>
      <c r="EE199" s="418"/>
      <c r="EF199" s="418"/>
      <c r="EG199" s="418"/>
      <c r="EH199" s="418"/>
      <c r="EI199" s="418"/>
      <c r="EJ199" s="418"/>
      <c r="EK199" s="418"/>
      <c r="EL199" s="418"/>
      <c r="EM199" s="418"/>
      <c r="EN199" s="418"/>
      <c r="EO199" s="418"/>
      <c r="EP199" s="418"/>
      <c r="EQ199" s="418"/>
      <c r="ER199" s="418"/>
      <c r="ES199" s="418"/>
      <c r="ET199" s="418"/>
      <c r="EU199" s="418"/>
      <c r="EV199" s="418"/>
      <c r="EW199" s="418"/>
      <c r="EX199" s="418"/>
      <c r="EY199" s="418"/>
      <c r="EZ199" s="418"/>
      <c r="FA199" s="418"/>
      <c r="FB199" s="418"/>
      <c r="FC199" s="418"/>
      <c r="FD199" s="418"/>
      <c r="FE199" s="418"/>
      <c r="FF199" s="418"/>
      <c r="FG199" s="418"/>
      <c r="FH199" s="418"/>
      <c r="FI199" s="418"/>
      <c r="FJ199" s="418"/>
      <c r="FK199" s="418"/>
      <c r="FL199" s="418"/>
      <c r="FM199" s="418"/>
      <c r="FN199" s="418"/>
      <c r="FO199" s="418"/>
      <c r="FP199" s="418"/>
      <c r="FQ199" s="418"/>
      <c r="FR199" s="418"/>
      <c r="FS199" s="418"/>
      <c r="FT199" s="418"/>
      <c r="FU199" s="418"/>
      <c r="FV199" s="418"/>
      <c r="FW199" s="418"/>
      <c r="FX199" s="418"/>
      <c r="FY199" s="418"/>
      <c r="FZ199" s="418"/>
      <c r="GA199" s="418"/>
      <c r="GB199" s="418"/>
      <c r="GC199" s="418"/>
      <c r="GD199" s="418"/>
      <c r="GE199" s="418"/>
      <c r="GF199" s="418"/>
      <c r="GG199" s="418"/>
      <c r="GH199" s="418"/>
      <c r="GI199" s="418"/>
      <c r="GJ199" s="418"/>
      <c r="GK199" s="418"/>
      <c r="GL199" s="418"/>
      <c r="GM199" s="418"/>
      <c r="GN199" s="418"/>
      <c r="GO199" s="418"/>
      <c r="GP199" s="418"/>
      <c r="GQ199" s="418"/>
      <c r="GR199" s="418"/>
      <c r="GS199" s="418"/>
      <c r="GT199" s="418"/>
      <c r="GU199" s="418"/>
      <c r="GV199" s="418"/>
      <c r="GW199" s="418"/>
      <c r="GX199" s="418"/>
      <c r="GY199" s="418"/>
      <c r="GZ199" s="418"/>
      <c r="HA199" s="418"/>
      <c r="HB199" s="418"/>
      <c r="HC199" s="418"/>
      <c r="HD199" s="418"/>
      <c r="HE199" s="418"/>
      <c r="HF199" s="418"/>
      <c r="HG199" s="418"/>
      <c r="HH199" s="418"/>
      <c r="HI199" s="418"/>
      <c r="HJ199" s="418"/>
      <c r="HK199" s="418"/>
      <c r="HL199" s="418"/>
      <c r="HM199" s="418"/>
      <c r="HN199" s="418"/>
      <c r="HO199" s="418"/>
      <c r="HP199" s="418"/>
      <c r="HQ199" s="418"/>
      <c r="HR199" s="418"/>
      <c r="HS199" s="418"/>
      <c r="HT199" s="418"/>
      <c r="HU199" s="418"/>
      <c r="HV199" s="418"/>
      <c r="HW199" s="418"/>
      <c r="HX199" s="418"/>
      <c r="HY199" s="418"/>
      <c r="HZ199" s="418"/>
      <c r="IA199" s="418"/>
      <c r="IB199" s="418"/>
      <c r="IC199" s="418"/>
      <c r="ID199" s="418"/>
      <c r="IE199" s="418"/>
      <c r="IF199" s="418"/>
      <c r="IG199" s="418"/>
      <c r="IH199" s="418"/>
      <c r="II199" s="418"/>
      <c r="IJ199" s="418"/>
      <c r="IK199" s="418"/>
      <c r="IL199" s="418"/>
      <c r="IM199" s="418"/>
      <c r="IN199" s="418"/>
      <c r="IO199" s="418"/>
      <c r="IP199" s="418"/>
      <c r="IQ199" s="418"/>
      <c r="IR199" s="418"/>
      <c r="IS199" s="418"/>
      <c r="IT199" s="418"/>
      <c r="IU199" s="418"/>
      <c r="IV199" s="418"/>
      <c r="IW199" s="418"/>
      <c r="IX199" s="418"/>
      <c r="IY199" s="418"/>
      <c r="IZ199" s="418"/>
      <c r="JA199" s="418"/>
    </row>
    <row r="200" spans="1:261" s="758" customFormat="1" ht="18" customHeight="1" x14ac:dyDescent="0.35">
      <c r="A200" s="773">
        <v>190</v>
      </c>
      <c r="B200" s="766"/>
      <c r="C200" s="420"/>
      <c r="D200" s="1318" t="s">
        <v>969</v>
      </c>
      <c r="E200" s="430"/>
      <c r="F200" s="430"/>
      <c r="G200" s="431"/>
      <c r="H200" s="999"/>
      <c r="I200" s="997"/>
      <c r="J200" s="430"/>
      <c r="K200" s="1563"/>
      <c r="L200" s="1563"/>
      <c r="M200" s="2035"/>
      <c r="N200" s="430"/>
      <c r="O200" s="1599">
        <f>SUM(I200:N200)</f>
        <v>0</v>
      </c>
      <c r="P200" s="763"/>
      <c r="Q200" s="418"/>
      <c r="R200" s="418"/>
      <c r="S200" s="418"/>
      <c r="T200" s="418"/>
      <c r="U200" s="418"/>
      <c r="V200" s="418"/>
      <c r="W200" s="418"/>
      <c r="X200" s="418"/>
      <c r="Y200" s="418"/>
      <c r="Z200" s="418"/>
      <c r="AA200" s="418"/>
      <c r="AB200" s="418"/>
      <c r="AC200" s="418"/>
      <c r="AD200" s="418"/>
      <c r="AE200" s="418"/>
      <c r="AF200" s="418"/>
      <c r="AG200" s="418"/>
      <c r="AH200" s="418"/>
      <c r="AI200" s="418"/>
      <c r="AJ200" s="418"/>
      <c r="AK200" s="418"/>
      <c r="AL200" s="418"/>
      <c r="AM200" s="418"/>
      <c r="AN200" s="418"/>
      <c r="AO200" s="418"/>
      <c r="AP200" s="418"/>
      <c r="AQ200" s="418"/>
      <c r="AR200" s="418"/>
      <c r="AS200" s="418"/>
      <c r="AT200" s="418"/>
      <c r="AU200" s="418"/>
      <c r="AV200" s="418"/>
      <c r="AW200" s="418"/>
      <c r="AX200" s="418"/>
      <c r="AY200" s="418"/>
      <c r="AZ200" s="418"/>
      <c r="BA200" s="418"/>
      <c r="BB200" s="418"/>
      <c r="BC200" s="418"/>
      <c r="BD200" s="418"/>
      <c r="BE200" s="418"/>
      <c r="BF200" s="418"/>
      <c r="BG200" s="418"/>
      <c r="BH200" s="418"/>
      <c r="BI200" s="418"/>
      <c r="BJ200" s="418"/>
      <c r="BK200" s="418"/>
      <c r="BL200" s="418"/>
      <c r="BM200" s="418"/>
      <c r="BN200" s="418"/>
      <c r="BO200" s="418"/>
      <c r="BP200" s="418"/>
      <c r="BQ200" s="418"/>
      <c r="BR200" s="418"/>
      <c r="BS200" s="418"/>
      <c r="BT200" s="418"/>
      <c r="BU200" s="418"/>
      <c r="BV200" s="418"/>
      <c r="BW200" s="418"/>
      <c r="BX200" s="418"/>
      <c r="BY200" s="418"/>
      <c r="BZ200" s="418"/>
      <c r="CA200" s="418"/>
      <c r="CB200" s="418"/>
      <c r="CC200" s="418"/>
      <c r="CD200" s="418"/>
      <c r="CE200" s="418"/>
      <c r="CF200" s="418"/>
      <c r="CG200" s="418"/>
      <c r="CH200" s="418"/>
      <c r="CI200" s="418"/>
      <c r="CJ200" s="418"/>
      <c r="CK200" s="418"/>
      <c r="CL200" s="418"/>
      <c r="CM200" s="418"/>
      <c r="CN200" s="418"/>
      <c r="CO200" s="418"/>
      <c r="CP200" s="418"/>
      <c r="CQ200" s="418"/>
      <c r="CR200" s="418"/>
      <c r="CS200" s="418"/>
      <c r="CT200" s="418"/>
      <c r="CU200" s="418"/>
      <c r="CV200" s="418"/>
      <c r="CW200" s="418"/>
      <c r="CX200" s="418"/>
      <c r="CY200" s="418"/>
      <c r="CZ200" s="418"/>
      <c r="DA200" s="418"/>
      <c r="DB200" s="418"/>
      <c r="DC200" s="418"/>
      <c r="DD200" s="418"/>
      <c r="DE200" s="418"/>
      <c r="DF200" s="418"/>
      <c r="DG200" s="418"/>
      <c r="DH200" s="418"/>
      <c r="DI200" s="418"/>
      <c r="DJ200" s="418"/>
      <c r="DK200" s="418"/>
      <c r="DL200" s="418"/>
      <c r="DM200" s="418"/>
      <c r="DN200" s="418"/>
      <c r="DO200" s="418"/>
      <c r="DP200" s="418"/>
      <c r="DQ200" s="418"/>
      <c r="DR200" s="418"/>
      <c r="DS200" s="418"/>
      <c r="DT200" s="418"/>
      <c r="DU200" s="418"/>
      <c r="DV200" s="418"/>
      <c r="DW200" s="418"/>
      <c r="DX200" s="418"/>
      <c r="DY200" s="418"/>
      <c r="DZ200" s="418"/>
      <c r="EA200" s="418"/>
      <c r="EB200" s="418"/>
      <c r="EC200" s="418"/>
      <c r="ED200" s="418"/>
      <c r="EE200" s="418"/>
      <c r="EF200" s="418"/>
      <c r="EG200" s="418"/>
      <c r="EH200" s="418"/>
      <c r="EI200" s="418"/>
      <c r="EJ200" s="418"/>
      <c r="EK200" s="418"/>
      <c r="EL200" s="418"/>
      <c r="EM200" s="418"/>
      <c r="EN200" s="418"/>
      <c r="EO200" s="418"/>
      <c r="EP200" s="418"/>
      <c r="EQ200" s="418"/>
      <c r="ER200" s="418"/>
      <c r="ES200" s="418"/>
      <c r="ET200" s="418"/>
      <c r="EU200" s="418"/>
      <c r="EV200" s="418"/>
      <c r="EW200" s="418"/>
      <c r="EX200" s="418"/>
      <c r="EY200" s="418"/>
      <c r="EZ200" s="418"/>
      <c r="FA200" s="418"/>
      <c r="FB200" s="418"/>
      <c r="FC200" s="418"/>
      <c r="FD200" s="418"/>
      <c r="FE200" s="418"/>
      <c r="FF200" s="418"/>
      <c r="FG200" s="418"/>
      <c r="FH200" s="418"/>
      <c r="FI200" s="418"/>
      <c r="FJ200" s="418"/>
      <c r="FK200" s="418"/>
      <c r="FL200" s="418"/>
      <c r="FM200" s="418"/>
      <c r="FN200" s="418"/>
      <c r="FO200" s="418"/>
      <c r="FP200" s="418"/>
      <c r="FQ200" s="418"/>
      <c r="FR200" s="418"/>
      <c r="FS200" s="418"/>
      <c r="FT200" s="418"/>
      <c r="FU200" s="418"/>
      <c r="FV200" s="418"/>
      <c r="FW200" s="418"/>
      <c r="FX200" s="418"/>
      <c r="FY200" s="418"/>
      <c r="FZ200" s="418"/>
      <c r="GA200" s="418"/>
      <c r="GB200" s="418"/>
      <c r="GC200" s="418"/>
      <c r="GD200" s="418"/>
      <c r="GE200" s="418"/>
      <c r="GF200" s="418"/>
      <c r="GG200" s="418"/>
      <c r="GH200" s="418"/>
      <c r="GI200" s="418"/>
      <c r="GJ200" s="418"/>
      <c r="GK200" s="418"/>
      <c r="GL200" s="418"/>
      <c r="GM200" s="418"/>
      <c r="GN200" s="418"/>
      <c r="GO200" s="418"/>
      <c r="GP200" s="418"/>
      <c r="GQ200" s="418"/>
      <c r="GR200" s="418"/>
      <c r="GS200" s="418"/>
      <c r="GT200" s="418"/>
      <c r="GU200" s="418"/>
      <c r="GV200" s="418"/>
      <c r="GW200" s="418"/>
      <c r="GX200" s="418"/>
      <c r="GY200" s="418"/>
      <c r="GZ200" s="418"/>
      <c r="HA200" s="418"/>
      <c r="HB200" s="418"/>
      <c r="HC200" s="418"/>
      <c r="HD200" s="418"/>
      <c r="HE200" s="418"/>
      <c r="HF200" s="418"/>
      <c r="HG200" s="418"/>
      <c r="HH200" s="418"/>
      <c r="HI200" s="418"/>
      <c r="HJ200" s="418"/>
      <c r="HK200" s="418"/>
      <c r="HL200" s="418"/>
      <c r="HM200" s="418"/>
      <c r="HN200" s="418"/>
      <c r="HO200" s="418"/>
      <c r="HP200" s="418"/>
      <c r="HQ200" s="418"/>
      <c r="HR200" s="418"/>
      <c r="HS200" s="418"/>
      <c r="HT200" s="418"/>
      <c r="HU200" s="418"/>
      <c r="HV200" s="418"/>
      <c r="HW200" s="418"/>
      <c r="HX200" s="418"/>
      <c r="HY200" s="418"/>
      <c r="HZ200" s="418"/>
      <c r="IA200" s="418"/>
      <c r="IB200" s="418"/>
      <c r="IC200" s="418"/>
      <c r="ID200" s="418"/>
      <c r="IE200" s="418"/>
      <c r="IF200" s="418"/>
      <c r="IG200" s="418"/>
      <c r="IH200" s="418"/>
      <c r="II200" s="418"/>
      <c r="IJ200" s="418"/>
      <c r="IK200" s="418"/>
      <c r="IL200" s="418"/>
      <c r="IM200" s="418"/>
      <c r="IN200" s="418"/>
      <c r="IO200" s="418"/>
      <c r="IP200" s="418"/>
      <c r="IQ200" s="418"/>
      <c r="IR200" s="418"/>
      <c r="IS200" s="418"/>
      <c r="IT200" s="418"/>
      <c r="IU200" s="418"/>
      <c r="IV200" s="418"/>
      <c r="IW200" s="418"/>
      <c r="IX200" s="418"/>
      <c r="IY200" s="418"/>
      <c r="IZ200" s="418"/>
      <c r="JA200" s="418"/>
    </row>
    <row r="201" spans="1:261" s="758" customFormat="1" ht="18" customHeight="1" x14ac:dyDescent="0.35">
      <c r="A201" s="773">
        <v>191</v>
      </c>
      <c r="B201" s="766"/>
      <c r="C201" s="1891"/>
      <c r="D201" s="576" t="s">
        <v>1250</v>
      </c>
      <c r="E201" s="430"/>
      <c r="F201" s="430"/>
      <c r="G201" s="431"/>
      <c r="H201" s="999"/>
      <c r="I201" s="997"/>
      <c r="J201" s="430"/>
      <c r="K201" s="430">
        <f>SUM(K199:K200)</f>
        <v>2500</v>
      </c>
      <c r="L201" s="431"/>
      <c r="M201" s="430">
        <f>SUM(M199:M200)</f>
        <v>0</v>
      </c>
      <c r="N201" s="997"/>
      <c r="O201" s="767">
        <f>SUM(I201:N201)</f>
        <v>2500</v>
      </c>
      <c r="P201" s="763"/>
      <c r="Q201" s="418"/>
      <c r="R201" s="418"/>
      <c r="S201" s="418"/>
      <c r="T201" s="418"/>
      <c r="U201" s="418"/>
      <c r="V201" s="418"/>
      <c r="W201" s="418"/>
      <c r="X201" s="418"/>
      <c r="Y201" s="418"/>
      <c r="Z201" s="418"/>
      <c r="AA201" s="418"/>
      <c r="AB201" s="418"/>
      <c r="AC201" s="418"/>
      <c r="AD201" s="418"/>
      <c r="AE201" s="418"/>
      <c r="AF201" s="418"/>
      <c r="AG201" s="418"/>
      <c r="AH201" s="418"/>
      <c r="AI201" s="418"/>
      <c r="AJ201" s="418"/>
      <c r="AK201" s="418"/>
      <c r="AL201" s="418"/>
      <c r="AM201" s="418"/>
      <c r="AN201" s="418"/>
      <c r="AO201" s="418"/>
      <c r="AP201" s="418"/>
      <c r="AQ201" s="418"/>
      <c r="AR201" s="418"/>
      <c r="AS201" s="418"/>
      <c r="AT201" s="418"/>
      <c r="AU201" s="418"/>
      <c r="AV201" s="418"/>
      <c r="AW201" s="418"/>
      <c r="AX201" s="418"/>
      <c r="AY201" s="418"/>
      <c r="AZ201" s="418"/>
      <c r="BA201" s="418"/>
      <c r="BB201" s="418"/>
      <c r="BC201" s="418"/>
      <c r="BD201" s="418"/>
      <c r="BE201" s="418"/>
      <c r="BF201" s="418"/>
      <c r="BG201" s="418"/>
      <c r="BH201" s="418"/>
      <c r="BI201" s="418"/>
      <c r="BJ201" s="418"/>
      <c r="BK201" s="418"/>
      <c r="BL201" s="418"/>
      <c r="BM201" s="418"/>
      <c r="BN201" s="418"/>
      <c r="BO201" s="418"/>
      <c r="BP201" s="418"/>
      <c r="BQ201" s="418"/>
      <c r="BR201" s="418"/>
      <c r="BS201" s="418"/>
      <c r="BT201" s="418"/>
      <c r="BU201" s="418"/>
      <c r="BV201" s="418"/>
      <c r="BW201" s="418"/>
      <c r="BX201" s="418"/>
      <c r="BY201" s="418"/>
      <c r="BZ201" s="418"/>
      <c r="CA201" s="418"/>
      <c r="CB201" s="418"/>
      <c r="CC201" s="418"/>
      <c r="CD201" s="418"/>
      <c r="CE201" s="418"/>
      <c r="CF201" s="418"/>
      <c r="CG201" s="418"/>
      <c r="CH201" s="418"/>
      <c r="CI201" s="418"/>
      <c r="CJ201" s="418"/>
      <c r="CK201" s="418"/>
      <c r="CL201" s="418"/>
      <c r="CM201" s="418"/>
      <c r="CN201" s="418"/>
      <c r="CO201" s="418"/>
      <c r="CP201" s="418"/>
      <c r="CQ201" s="418"/>
      <c r="CR201" s="418"/>
      <c r="CS201" s="418"/>
      <c r="CT201" s="418"/>
      <c r="CU201" s="418"/>
      <c r="CV201" s="418"/>
      <c r="CW201" s="418"/>
      <c r="CX201" s="418"/>
      <c r="CY201" s="418"/>
      <c r="CZ201" s="418"/>
      <c r="DA201" s="418"/>
      <c r="DB201" s="418"/>
      <c r="DC201" s="418"/>
      <c r="DD201" s="418"/>
      <c r="DE201" s="418"/>
      <c r="DF201" s="418"/>
      <c r="DG201" s="418"/>
      <c r="DH201" s="418"/>
      <c r="DI201" s="418"/>
      <c r="DJ201" s="418"/>
      <c r="DK201" s="418"/>
      <c r="DL201" s="418"/>
      <c r="DM201" s="418"/>
      <c r="DN201" s="418"/>
      <c r="DO201" s="418"/>
      <c r="DP201" s="418"/>
      <c r="DQ201" s="418"/>
      <c r="DR201" s="418"/>
      <c r="DS201" s="418"/>
      <c r="DT201" s="418"/>
      <c r="DU201" s="418"/>
      <c r="DV201" s="418"/>
      <c r="DW201" s="418"/>
      <c r="DX201" s="418"/>
      <c r="DY201" s="418"/>
      <c r="DZ201" s="418"/>
      <c r="EA201" s="418"/>
      <c r="EB201" s="418"/>
      <c r="EC201" s="418"/>
      <c r="ED201" s="418"/>
      <c r="EE201" s="418"/>
      <c r="EF201" s="418"/>
      <c r="EG201" s="418"/>
      <c r="EH201" s="418"/>
      <c r="EI201" s="418"/>
      <c r="EJ201" s="418"/>
      <c r="EK201" s="418"/>
      <c r="EL201" s="418"/>
      <c r="EM201" s="418"/>
      <c r="EN201" s="418"/>
      <c r="EO201" s="418"/>
      <c r="EP201" s="418"/>
      <c r="EQ201" s="418"/>
      <c r="ER201" s="418"/>
      <c r="ES201" s="418"/>
      <c r="ET201" s="418"/>
      <c r="EU201" s="418"/>
      <c r="EV201" s="418"/>
      <c r="EW201" s="418"/>
      <c r="EX201" s="418"/>
      <c r="EY201" s="418"/>
      <c r="EZ201" s="418"/>
      <c r="FA201" s="418"/>
      <c r="FB201" s="418"/>
      <c r="FC201" s="418"/>
      <c r="FD201" s="418"/>
      <c r="FE201" s="418"/>
      <c r="FF201" s="418"/>
      <c r="FG201" s="418"/>
      <c r="FH201" s="418"/>
      <c r="FI201" s="418"/>
      <c r="FJ201" s="418"/>
      <c r="FK201" s="418"/>
      <c r="FL201" s="418"/>
      <c r="FM201" s="418"/>
      <c r="FN201" s="418"/>
      <c r="FO201" s="418"/>
      <c r="FP201" s="418"/>
      <c r="FQ201" s="418"/>
      <c r="FR201" s="418"/>
      <c r="FS201" s="418"/>
      <c r="FT201" s="418"/>
      <c r="FU201" s="418"/>
      <c r="FV201" s="418"/>
      <c r="FW201" s="418"/>
      <c r="FX201" s="418"/>
      <c r="FY201" s="418"/>
      <c r="FZ201" s="418"/>
      <c r="GA201" s="418"/>
      <c r="GB201" s="418"/>
      <c r="GC201" s="418"/>
      <c r="GD201" s="418"/>
      <c r="GE201" s="418"/>
      <c r="GF201" s="418"/>
      <c r="GG201" s="418"/>
      <c r="GH201" s="418"/>
      <c r="GI201" s="418"/>
      <c r="GJ201" s="418"/>
      <c r="GK201" s="418"/>
      <c r="GL201" s="418"/>
      <c r="GM201" s="418"/>
      <c r="GN201" s="418"/>
      <c r="GO201" s="418"/>
      <c r="GP201" s="418"/>
      <c r="GQ201" s="418"/>
      <c r="GR201" s="418"/>
      <c r="GS201" s="418"/>
      <c r="GT201" s="418"/>
      <c r="GU201" s="418"/>
      <c r="GV201" s="418"/>
      <c r="GW201" s="418"/>
      <c r="GX201" s="418"/>
      <c r="GY201" s="418"/>
      <c r="GZ201" s="418"/>
      <c r="HA201" s="418"/>
      <c r="HB201" s="418"/>
      <c r="HC201" s="418"/>
      <c r="HD201" s="418"/>
      <c r="HE201" s="418"/>
      <c r="HF201" s="418"/>
      <c r="HG201" s="418"/>
      <c r="HH201" s="418"/>
      <c r="HI201" s="418"/>
      <c r="HJ201" s="418"/>
      <c r="HK201" s="418"/>
      <c r="HL201" s="418"/>
      <c r="HM201" s="418"/>
      <c r="HN201" s="418"/>
      <c r="HO201" s="418"/>
      <c r="HP201" s="418"/>
      <c r="HQ201" s="418"/>
      <c r="HR201" s="418"/>
      <c r="HS201" s="418"/>
      <c r="HT201" s="418"/>
      <c r="HU201" s="418"/>
      <c r="HV201" s="418"/>
      <c r="HW201" s="418"/>
      <c r="HX201" s="418"/>
      <c r="HY201" s="418"/>
      <c r="HZ201" s="418"/>
      <c r="IA201" s="418"/>
      <c r="IB201" s="418"/>
      <c r="IC201" s="418"/>
      <c r="ID201" s="418"/>
      <c r="IE201" s="418"/>
      <c r="IF201" s="418"/>
      <c r="IG201" s="418"/>
      <c r="IH201" s="418"/>
      <c r="II201" s="418"/>
      <c r="IJ201" s="418"/>
      <c r="IK201" s="418"/>
      <c r="IL201" s="418"/>
      <c r="IM201" s="418"/>
      <c r="IN201" s="418"/>
      <c r="IO201" s="418"/>
      <c r="IP201" s="418"/>
      <c r="IQ201" s="418"/>
      <c r="IR201" s="418"/>
      <c r="IS201" s="418"/>
      <c r="IT201" s="418"/>
      <c r="IU201" s="418"/>
      <c r="IV201" s="418"/>
      <c r="IW201" s="418"/>
      <c r="IX201" s="418"/>
      <c r="IY201" s="418"/>
      <c r="IZ201" s="418"/>
      <c r="JA201" s="418"/>
    </row>
    <row r="202" spans="1:261" ht="53.25" customHeight="1" x14ac:dyDescent="0.35">
      <c r="A202" s="773">
        <v>192</v>
      </c>
      <c r="B202" s="618"/>
      <c r="C202" s="420">
        <v>39</v>
      </c>
      <c r="D202" s="421" t="s">
        <v>1031</v>
      </c>
      <c r="E202" s="430">
        <f>F202+G202+O205+P204</f>
        <v>307836</v>
      </c>
      <c r="F202" s="430">
        <f>984+40</f>
        <v>1024</v>
      </c>
      <c r="G202" s="431">
        <v>40</v>
      </c>
      <c r="H202" s="999" t="s">
        <v>24</v>
      </c>
      <c r="I202" s="1018"/>
      <c r="J202" s="1012"/>
      <c r="K202" s="1012"/>
      <c r="L202" s="1012"/>
      <c r="M202" s="1057"/>
      <c r="N202" s="1012"/>
      <c r="O202" s="1019"/>
      <c r="P202" s="763"/>
    </row>
    <row r="203" spans="1:261" ht="18" customHeight="1" x14ac:dyDescent="0.35">
      <c r="A203" s="773">
        <v>193</v>
      </c>
      <c r="B203" s="618"/>
      <c r="C203" s="420"/>
      <c r="D203" s="576" t="s">
        <v>1158</v>
      </c>
      <c r="E203" s="430"/>
      <c r="F203" s="430"/>
      <c r="G203" s="431"/>
      <c r="H203" s="999"/>
      <c r="I203" s="1018"/>
      <c r="J203" s="1012"/>
      <c r="K203" s="430">
        <v>582</v>
      </c>
      <c r="L203" s="430"/>
      <c r="M203" s="427">
        <v>306190</v>
      </c>
      <c r="N203" s="430"/>
      <c r="O203" s="767">
        <f>SUM(I203:N203)</f>
        <v>306772</v>
      </c>
      <c r="P203" s="1552"/>
    </row>
    <row r="204" spans="1:261" s="758" customFormat="1" ht="18" customHeight="1" x14ac:dyDescent="0.35">
      <c r="A204" s="773">
        <v>194</v>
      </c>
      <c r="B204" s="766"/>
      <c r="C204" s="420"/>
      <c r="D204" s="1318" t="s">
        <v>947</v>
      </c>
      <c r="E204" s="430"/>
      <c r="F204" s="430"/>
      <c r="G204" s="431"/>
      <c r="H204" s="999"/>
      <c r="I204" s="430"/>
      <c r="J204" s="430"/>
      <c r="K204" s="1563"/>
      <c r="L204" s="1563"/>
      <c r="M204" s="1563"/>
      <c r="N204" s="430"/>
      <c r="O204" s="1741">
        <f>SUM(I204:N204)</f>
        <v>0</v>
      </c>
      <c r="P204" s="1552"/>
      <c r="Q204" s="418"/>
      <c r="R204" s="418"/>
      <c r="S204" s="418"/>
      <c r="T204" s="418"/>
      <c r="U204" s="418"/>
      <c r="V204" s="418"/>
      <c r="W204" s="418"/>
      <c r="X204" s="418"/>
      <c r="Y204" s="418"/>
      <c r="Z204" s="418"/>
      <c r="AA204" s="418"/>
      <c r="AB204" s="418"/>
      <c r="AC204" s="418"/>
      <c r="AD204" s="418"/>
      <c r="AE204" s="418"/>
      <c r="AF204" s="418"/>
      <c r="AG204" s="418"/>
      <c r="AH204" s="418"/>
      <c r="AI204" s="418"/>
      <c r="AJ204" s="418"/>
      <c r="AK204" s="418"/>
      <c r="AL204" s="418"/>
      <c r="AM204" s="418"/>
      <c r="AN204" s="418"/>
      <c r="AO204" s="418"/>
      <c r="AP204" s="418"/>
      <c r="AQ204" s="418"/>
      <c r="AR204" s="418"/>
      <c r="AS204" s="418"/>
      <c r="AT204" s="418"/>
      <c r="AU204" s="418"/>
      <c r="AV204" s="418"/>
      <c r="AW204" s="418"/>
      <c r="AX204" s="418"/>
      <c r="AY204" s="418"/>
      <c r="AZ204" s="418"/>
      <c r="BA204" s="418"/>
      <c r="BB204" s="418"/>
      <c r="BC204" s="418"/>
      <c r="BD204" s="418"/>
      <c r="BE204" s="418"/>
      <c r="BF204" s="418"/>
      <c r="BG204" s="418"/>
      <c r="BH204" s="418"/>
      <c r="BI204" s="418"/>
      <c r="BJ204" s="418"/>
      <c r="BK204" s="418"/>
      <c r="BL204" s="418"/>
      <c r="BM204" s="418"/>
      <c r="BN204" s="418"/>
      <c r="BO204" s="418"/>
      <c r="BP204" s="418"/>
      <c r="BQ204" s="418"/>
      <c r="BR204" s="418"/>
      <c r="BS204" s="418"/>
      <c r="BT204" s="418"/>
      <c r="BU204" s="418"/>
      <c r="BV204" s="418"/>
      <c r="BW204" s="418"/>
      <c r="BX204" s="418"/>
      <c r="BY204" s="418"/>
      <c r="BZ204" s="418"/>
      <c r="CA204" s="418"/>
      <c r="CB204" s="418"/>
      <c r="CC204" s="418"/>
      <c r="CD204" s="418"/>
      <c r="CE204" s="418"/>
      <c r="CF204" s="418"/>
      <c r="CG204" s="418"/>
      <c r="CH204" s="418"/>
      <c r="CI204" s="418"/>
      <c r="CJ204" s="418"/>
      <c r="CK204" s="418"/>
      <c r="CL204" s="418"/>
      <c r="CM204" s="418"/>
      <c r="CN204" s="418"/>
      <c r="CO204" s="418"/>
      <c r="CP204" s="418"/>
      <c r="CQ204" s="418"/>
      <c r="CR204" s="418"/>
      <c r="CS204" s="418"/>
      <c r="CT204" s="418"/>
      <c r="CU204" s="418"/>
      <c r="CV204" s="418"/>
      <c r="CW204" s="418"/>
      <c r="CX204" s="418"/>
      <c r="CY204" s="418"/>
      <c r="CZ204" s="418"/>
      <c r="DA204" s="418"/>
      <c r="DB204" s="418"/>
      <c r="DC204" s="418"/>
      <c r="DD204" s="418"/>
      <c r="DE204" s="418"/>
      <c r="DF204" s="418"/>
      <c r="DG204" s="418"/>
      <c r="DH204" s="418"/>
      <c r="DI204" s="418"/>
      <c r="DJ204" s="418"/>
      <c r="DK204" s="418"/>
      <c r="DL204" s="418"/>
      <c r="DM204" s="418"/>
      <c r="DN204" s="418"/>
      <c r="DO204" s="418"/>
      <c r="DP204" s="418"/>
      <c r="DQ204" s="418"/>
      <c r="DR204" s="418"/>
      <c r="DS204" s="418"/>
      <c r="DT204" s="418"/>
      <c r="DU204" s="418"/>
      <c r="DV204" s="418"/>
      <c r="DW204" s="418"/>
      <c r="DX204" s="418"/>
      <c r="DY204" s="418"/>
      <c r="DZ204" s="418"/>
      <c r="EA204" s="418"/>
      <c r="EB204" s="418"/>
      <c r="EC204" s="418"/>
      <c r="ED204" s="418"/>
      <c r="EE204" s="418"/>
      <c r="EF204" s="418"/>
      <c r="EG204" s="418"/>
      <c r="EH204" s="418"/>
      <c r="EI204" s="418"/>
      <c r="EJ204" s="418"/>
      <c r="EK204" s="418"/>
      <c r="EL204" s="418"/>
      <c r="EM204" s="418"/>
      <c r="EN204" s="418"/>
      <c r="EO204" s="418"/>
      <c r="EP204" s="418"/>
      <c r="EQ204" s="418"/>
      <c r="ER204" s="418"/>
      <c r="ES204" s="418"/>
      <c r="ET204" s="418"/>
      <c r="EU204" s="418"/>
      <c r="EV204" s="418"/>
      <c r="EW204" s="418"/>
      <c r="EX204" s="418"/>
      <c r="EY204" s="418"/>
      <c r="EZ204" s="418"/>
      <c r="FA204" s="418"/>
      <c r="FB204" s="418"/>
      <c r="FC204" s="418"/>
      <c r="FD204" s="418"/>
      <c r="FE204" s="418"/>
      <c r="FF204" s="418"/>
      <c r="FG204" s="418"/>
      <c r="FH204" s="418"/>
      <c r="FI204" s="418"/>
      <c r="FJ204" s="418"/>
      <c r="FK204" s="418"/>
      <c r="FL204" s="418"/>
      <c r="FM204" s="418"/>
      <c r="FN204" s="418"/>
      <c r="FO204" s="418"/>
      <c r="FP204" s="418"/>
      <c r="FQ204" s="418"/>
      <c r="FR204" s="418"/>
      <c r="FS204" s="418"/>
      <c r="FT204" s="418"/>
      <c r="FU204" s="418"/>
      <c r="FV204" s="418"/>
      <c r="FW204" s="418"/>
      <c r="FX204" s="418"/>
      <c r="FY204" s="418"/>
      <c r="FZ204" s="418"/>
      <c r="GA204" s="418"/>
      <c r="GB204" s="418"/>
      <c r="GC204" s="418"/>
      <c r="GD204" s="418"/>
      <c r="GE204" s="418"/>
      <c r="GF204" s="418"/>
      <c r="GG204" s="418"/>
      <c r="GH204" s="418"/>
      <c r="GI204" s="418"/>
      <c r="GJ204" s="418"/>
      <c r="GK204" s="418"/>
      <c r="GL204" s="418"/>
      <c r="GM204" s="418"/>
      <c r="GN204" s="418"/>
      <c r="GO204" s="418"/>
      <c r="GP204" s="418"/>
      <c r="GQ204" s="418"/>
      <c r="GR204" s="418"/>
      <c r="GS204" s="418"/>
      <c r="GT204" s="418"/>
      <c r="GU204" s="418"/>
      <c r="GV204" s="418"/>
      <c r="GW204" s="418"/>
      <c r="GX204" s="418"/>
      <c r="GY204" s="418"/>
      <c r="GZ204" s="418"/>
      <c r="HA204" s="418"/>
      <c r="HB204" s="418"/>
      <c r="HC204" s="418"/>
      <c r="HD204" s="418"/>
      <c r="HE204" s="418"/>
      <c r="HF204" s="418"/>
      <c r="HG204" s="418"/>
      <c r="HH204" s="418"/>
      <c r="HI204" s="418"/>
      <c r="HJ204" s="418"/>
      <c r="HK204" s="418"/>
      <c r="HL204" s="418"/>
      <c r="HM204" s="418"/>
      <c r="HN204" s="418"/>
      <c r="HO204" s="418"/>
      <c r="HP204" s="418"/>
      <c r="HQ204" s="418"/>
      <c r="HR204" s="418"/>
      <c r="HS204" s="418"/>
      <c r="HT204" s="418"/>
      <c r="HU204" s="418"/>
      <c r="HV204" s="418"/>
      <c r="HW204" s="418"/>
      <c r="HX204" s="418"/>
      <c r="HY204" s="418"/>
      <c r="HZ204" s="418"/>
      <c r="IA204" s="418"/>
      <c r="IB204" s="418"/>
      <c r="IC204" s="418"/>
      <c r="ID204" s="418"/>
      <c r="IE204" s="418"/>
      <c r="IF204" s="418"/>
      <c r="IG204" s="418"/>
      <c r="IH204" s="418"/>
      <c r="II204" s="418"/>
      <c r="IJ204" s="418"/>
      <c r="IK204" s="418"/>
      <c r="IL204" s="418"/>
      <c r="IM204" s="418"/>
      <c r="IN204" s="418"/>
      <c r="IO204" s="418"/>
      <c r="IP204" s="418"/>
      <c r="IQ204" s="418"/>
      <c r="IR204" s="418"/>
      <c r="IS204" s="418"/>
      <c r="IT204" s="418"/>
      <c r="IU204" s="418"/>
      <c r="IV204" s="418"/>
      <c r="IW204" s="418"/>
      <c r="IX204" s="418"/>
      <c r="IY204" s="418"/>
      <c r="IZ204" s="418"/>
      <c r="JA204" s="418"/>
    </row>
    <row r="205" spans="1:261" s="758" customFormat="1" ht="18" customHeight="1" thickBot="1" x14ac:dyDescent="0.4">
      <c r="A205" s="773">
        <v>195</v>
      </c>
      <c r="B205" s="1500"/>
      <c r="C205" s="1501"/>
      <c r="D205" s="576" t="s">
        <v>1250</v>
      </c>
      <c r="E205" s="1502"/>
      <c r="F205" s="1502"/>
      <c r="G205" s="1504"/>
      <c r="H205" s="1505"/>
      <c r="I205" s="1502"/>
      <c r="J205" s="1502"/>
      <c r="K205" s="1502">
        <f>SUM(K203:K204)</f>
        <v>582</v>
      </c>
      <c r="L205" s="1502"/>
      <c r="M205" s="1502">
        <f>SUM(M203:M204)</f>
        <v>306190</v>
      </c>
      <c r="N205" s="1502"/>
      <c r="O205" s="767">
        <f>SUM(I205:N205)</f>
        <v>306772</v>
      </c>
      <c r="P205" s="1553"/>
      <c r="Q205" s="418"/>
      <c r="R205" s="418"/>
      <c r="S205" s="418"/>
      <c r="T205" s="418"/>
      <c r="U205" s="418"/>
      <c r="V205" s="418"/>
      <c r="W205" s="418"/>
      <c r="X205" s="418"/>
      <c r="Y205" s="418"/>
      <c r="Z205" s="418"/>
      <c r="AA205" s="418"/>
      <c r="AB205" s="418"/>
      <c r="AC205" s="418"/>
      <c r="AD205" s="418"/>
      <c r="AE205" s="418"/>
      <c r="AF205" s="418"/>
      <c r="AG205" s="418"/>
      <c r="AH205" s="418"/>
      <c r="AI205" s="418"/>
      <c r="AJ205" s="418"/>
      <c r="AK205" s="418"/>
      <c r="AL205" s="418"/>
      <c r="AM205" s="418"/>
      <c r="AN205" s="418"/>
      <c r="AO205" s="418"/>
      <c r="AP205" s="418"/>
      <c r="AQ205" s="418"/>
      <c r="AR205" s="418"/>
      <c r="AS205" s="418"/>
      <c r="AT205" s="418"/>
      <c r="AU205" s="418"/>
      <c r="AV205" s="418"/>
      <c r="AW205" s="418"/>
      <c r="AX205" s="418"/>
      <c r="AY205" s="418"/>
      <c r="AZ205" s="418"/>
      <c r="BA205" s="418"/>
      <c r="BB205" s="418"/>
      <c r="BC205" s="418"/>
      <c r="BD205" s="418"/>
      <c r="BE205" s="418"/>
      <c r="BF205" s="418"/>
      <c r="BG205" s="418"/>
      <c r="BH205" s="418"/>
      <c r="BI205" s="418"/>
      <c r="BJ205" s="418"/>
      <c r="BK205" s="418"/>
      <c r="BL205" s="418"/>
      <c r="BM205" s="418"/>
      <c r="BN205" s="418"/>
      <c r="BO205" s="418"/>
      <c r="BP205" s="418"/>
      <c r="BQ205" s="418"/>
      <c r="BR205" s="418"/>
      <c r="BS205" s="418"/>
      <c r="BT205" s="418"/>
      <c r="BU205" s="418"/>
      <c r="BV205" s="418"/>
      <c r="BW205" s="418"/>
      <c r="BX205" s="418"/>
      <c r="BY205" s="418"/>
      <c r="BZ205" s="418"/>
      <c r="CA205" s="418"/>
      <c r="CB205" s="418"/>
      <c r="CC205" s="418"/>
      <c r="CD205" s="418"/>
      <c r="CE205" s="418"/>
      <c r="CF205" s="418"/>
      <c r="CG205" s="418"/>
      <c r="CH205" s="418"/>
      <c r="CI205" s="418"/>
      <c r="CJ205" s="418"/>
      <c r="CK205" s="418"/>
      <c r="CL205" s="418"/>
      <c r="CM205" s="418"/>
      <c r="CN205" s="418"/>
      <c r="CO205" s="418"/>
      <c r="CP205" s="418"/>
      <c r="CQ205" s="418"/>
      <c r="CR205" s="418"/>
      <c r="CS205" s="418"/>
      <c r="CT205" s="418"/>
      <c r="CU205" s="418"/>
      <c r="CV205" s="418"/>
      <c r="CW205" s="418"/>
      <c r="CX205" s="418"/>
      <c r="CY205" s="418"/>
      <c r="CZ205" s="418"/>
      <c r="DA205" s="418"/>
      <c r="DB205" s="418"/>
      <c r="DC205" s="418"/>
      <c r="DD205" s="418"/>
      <c r="DE205" s="418"/>
      <c r="DF205" s="418"/>
      <c r="DG205" s="418"/>
      <c r="DH205" s="418"/>
      <c r="DI205" s="418"/>
      <c r="DJ205" s="418"/>
      <c r="DK205" s="418"/>
      <c r="DL205" s="418"/>
      <c r="DM205" s="418"/>
      <c r="DN205" s="418"/>
      <c r="DO205" s="418"/>
      <c r="DP205" s="418"/>
      <c r="DQ205" s="418"/>
      <c r="DR205" s="418"/>
      <c r="DS205" s="418"/>
      <c r="DT205" s="418"/>
      <c r="DU205" s="418"/>
      <c r="DV205" s="418"/>
      <c r="DW205" s="418"/>
      <c r="DX205" s="418"/>
      <c r="DY205" s="418"/>
      <c r="DZ205" s="418"/>
      <c r="EA205" s="418"/>
      <c r="EB205" s="418"/>
      <c r="EC205" s="418"/>
      <c r="ED205" s="418"/>
      <c r="EE205" s="418"/>
      <c r="EF205" s="418"/>
      <c r="EG205" s="418"/>
      <c r="EH205" s="418"/>
      <c r="EI205" s="418"/>
      <c r="EJ205" s="418"/>
      <c r="EK205" s="418"/>
      <c r="EL205" s="418"/>
      <c r="EM205" s="418"/>
      <c r="EN205" s="418"/>
      <c r="EO205" s="418"/>
      <c r="EP205" s="418"/>
      <c r="EQ205" s="418"/>
      <c r="ER205" s="418"/>
      <c r="ES205" s="418"/>
      <c r="ET205" s="418"/>
      <c r="EU205" s="418"/>
      <c r="EV205" s="418"/>
      <c r="EW205" s="418"/>
      <c r="EX205" s="418"/>
      <c r="EY205" s="418"/>
      <c r="EZ205" s="418"/>
      <c r="FA205" s="418"/>
      <c r="FB205" s="418"/>
      <c r="FC205" s="418"/>
      <c r="FD205" s="418"/>
      <c r="FE205" s="418"/>
      <c r="FF205" s="418"/>
      <c r="FG205" s="418"/>
      <c r="FH205" s="418"/>
      <c r="FI205" s="418"/>
      <c r="FJ205" s="418"/>
      <c r="FK205" s="418"/>
      <c r="FL205" s="418"/>
      <c r="FM205" s="418"/>
      <c r="FN205" s="418"/>
      <c r="FO205" s="418"/>
      <c r="FP205" s="418"/>
      <c r="FQ205" s="418"/>
      <c r="FR205" s="418"/>
      <c r="FS205" s="418"/>
      <c r="FT205" s="418"/>
      <c r="FU205" s="418"/>
      <c r="FV205" s="418"/>
      <c r="FW205" s="418"/>
      <c r="FX205" s="418"/>
      <c r="FY205" s="418"/>
      <c r="FZ205" s="418"/>
      <c r="GA205" s="418"/>
      <c r="GB205" s="418"/>
      <c r="GC205" s="418"/>
      <c r="GD205" s="418"/>
      <c r="GE205" s="418"/>
      <c r="GF205" s="418"/>
      <c r="GG205" s="418"/>
      <c r="GH205" s="418"/>
      <c r="GI205" s="418"/>
      <c r="GJ205" s="418"/>
      <c r="GK205" s="418"/>
      <c r="GL205" s="418"/>
      <c r="GM205" s="418"/>
      <c r="GN205" s="418"/>
      <c r="GO205" s="418"/>
      <c r="GP205" s="418"/>
      <c r="GQ205" s="418"/>
      <c r="GR205" s="418"/>
      <c r="GS205" s="418"/>
      <c r="GT205" s="418"/>
      <c r="GU205" s="418"/>
      <c r="GV205" s="418"/>
      <c r="GW205" s="418"/>
      <c r="GX205" s="418"/>
      <c r="GY205" s="418"/>
      <c r="GZ205" s="418"/>
      <c r="HA205" s="418"/>
      <c r="HB205" s="418"/>
      <c r="HC205" s="418"/>
      <c r="HD205" s="418"/>
      <c r="HE205" s="418"/>
      <c r="HF205" s="418"/>
      <c r="HG205" s="418"/>
      <c r="HH205" s="418"/>
      <c r="HI205" s="418"/>
      <c r="HJ205" s="418"/>
      <c r="HK205" s="418"/>
      <c r="HL205" s="418"/>
      <c r="HM205" s="418"/>
      <c r="HN205" s="418"/>
      <c r="HO205" s="418"/>
      <c r="HP205" s="418"/>
      <c r="HQ205" s="418"/>
      <c r="HR205" s="418"/>
      <c r="HS205" s="418"/>
      <c r="HT205" s="418"/>
      <c r="HU205" s="418"/>
      <c r="HV205" s="418"/>
      <c r="HW205" s="418"/>
      <c r="HX205" s="418"/>
      <c r="HY205" s="418"/>
      <c r="HZ205" s="418"/>
      <c r="IA205" s="418"/>
      <c r="IB205" s="418"/>
      <c r="IC205" s="418"/>
      <c r="ID205" s="418"/>
      <c r="IE205" s="418"/>
      <c r="IF205" s="418"/>
      <c r="IG205" s="418"/>
      <c r="IH205" s="418"/>
      <c r="II205" s="418"/>
      <c r="IJ205" s="418"/>
      <c r="IK205" s="418"/>
      <c r="IL205" s="418"/>
      <c r="IM205" s="418"/>
      <c r="IN205" s="418"/>
      <c r="IO205" s="418"/>
      <c r="IP205" s="418"/>
      <c r="IQ205" s="418"/>
      <c r="IR205" s="418"/>
      <c r="IS205" s="418"/>
      <c r="IT205" s="418"/>
      <c r="IU205" s="418"/>
      <c r="IV205" s="418"/>
      <c r="IW205" s="418"/>
      <c r="IX205" s="418"/>
      <c r="IY205" s="418"/>
      <c r="IZ205" s="418"/>
      <c r="JA205" s="418"/>
    </row>
    <row r="206" spans="1:261" s="423" customFormat="1" ht="20.100000000000001" customHeight="1" x14ac:dyDescent="0.2">
      <c r="A206" s="773">
        <v>196</v>
      </c>
      <c r="B206" s="2406" t="s">
        <v>13</v>
      </c>
      <c r="C206" s="2407"/>
      <c r="D206" s="2407"/>
      <c r="E206" s="2407"/>
      <c r="F206" s="2407"/>
      <c r="G206" s="2408"/>
      <c r="H206" s="1556"/>
      <c r="I206" s="1918"/>
      <c r="J206" s="1918"/>
      <c r="K206" s="1918"/>
      <c r="L206" s="1918"/>
      <c r="M206" s="1918"/>
      <c r="N206" s="1918"/>
      <c r="O206" s="1918"/>
      <c r="P206" s="1558">
        <f>SUM(P11:P202)</f>
        <v>28736</v>
      </c>
    </row>
    <row r="207" spans="1:261" s="423" customFormat="1" ht="21.95" customHeight="1" x14ac:dyDescent="0.3">
      <c r="A207" s="773">
        <v>197</v>
      </c>
      <c r="B207" s="1820"/>
      <c r="C207" s="1821"/>
      <c r="D207" s="2399" t="s">
        <v>308</v>
      </c>
      <c r="E207" s="2400"/>
      <c r="F207" s="2400"/>
      <c r="G207" s="2401"/>
      <c r="H207" s="1828"/>
      <c r="I207" s="1916">
        <f t="shared" ref="I207:N207" si="18">I193+I188+I183+I178+I173+I168+I163+I158+I153+I148+I143+I138+I133+I128+I123+I118+I113+I108+I103+I98+I93+I88+I83+I78+I73+I68+I63+I58+I53+I48+I43+I38+I33+I28+I23+I18+I13+I198</f>
        <v>327</v>
      </c>
      <c r="J207" s="1916">
        <f t="shared" si="18"/>
        <v>169</v>
      </c>
      <c r="K207" s="1916">
        <f t="shared" si="18"/>
        <v>287241</v>
      </c>
      <c r="L207" s="1916">
        <f t="shared" si="18"/>
        <v>4529</v>
      </c>
      <c r="M207" s="1916">
        <f t="shared" si="18"/>
        <v>10258653</v>
      </c>
      <c r="N207" s="1916">
        <f t="shared" si="18"/>
        <v>5000</v>
      </c>
      <c r="O207" s="1917">
        <f>O193+O188+O183+O178+O173+O168+O163+O158+O153+O148+O143+O138+O133+O128+O123+O118+O113+O108+O103+O98+O93+O88+O83+O78+O73+O68+O63+O58+O53+O48+O43+O38+O33+O28+O23+O18+O13</f>
        <v>10553419</v>
      </c>
      <c r="P207" s="1829"/>
    </row>
    <row r="208" spans="1:261" s="423" customFormat="1" ht="21.95" customHeight="1" x14ac:dyDescent="0.35">
      <c r="A208" s="773">
        <v>198</v>
      </c>
      <c r="B208" s="1820"/>
      <c r="C208" s="1821"/>
      <c r="D208" s="1830" t="s">
        <v>1158</v>
      </c>
      <c r="E208" s="2055"/>
      <c r="F208" s="2055"/>
      <c r="G208" s="2056"/>
      <c r="H208" s="1828"/>
      <c r="I208" s="1831">
        <f>I194+I189+I184+I179+I174+I169+I164+I159+I154+I149+I144+I139+I134+I129+I124+I119+I114+I109+I104+I99+I94+I89+I84+I79+I74+I69+I64+I59+I54+I49+I44+I39+I34+I29+I24+I19+I14+I199+I203</f>
        <v>5870</v>
      </c>
      <c r="J208" s="1831">
        <f t="shared" ref="J208:N208" si="19">J194+J189+J184+J179+J174+J169+J164+J159+J154+J149+J144+J139+J134+J129+J124+J119+J114+J109+J104+J99+J94+J89+J84+J79+J74+J69+J64+J59+J54+J49+J44+J39+J34+J29+J24+J19+J14+J199+J203</f>
        <v>1261</v>
      </c>
      <c r="K208" s="1831">
        <f t="shared" si="19"/>
        <v>114247</v>
      </c>
      <c r="L208" s="1831">
        <f t="shared" si="19"/>
        <v>143942</v>
      </c>
      <c r="M208" s="1831">
        <f t="shared" si="19"/>
        <v>8094094</v>
      </c>
      <c r="N208" s="1831">
        <f t="shared" si="19"/>
        <v>2430730</v>
      </c>
      <c r="O208" s="767">
        <f>SUM(I208:N208)</f>
        <v>10790144</v>
      </c>
      <c r="P208" s="1829"/>
    </row>
    <row r="209" spans="1:16" s="423" customFormat="1" ht="21.95" customHeight="1" x14ac:dyDescent="0.3">
      <c r="A209" s="773">
        <v>199</v>
      </c>
      <c r="B209" s="1510"/>
      <c r="C209" s="1511"/>
      <c r="D209" s="2283" t="s">
        <v>947</v>
      </c>
      <c r="E209" s="2402"/>
      <c r="F209" s="2402"/>
      <c r="G209" s="2403"/>
      <c r="H209" s="1507"/>
      <c r="I209" s="1321">
        <f>I204+I195+I190+I185+I180+I175+I170+I165+I160+I155+I150+I145+I140+I135+I130+I125+I120+I115+I110+I105+I100+I95+I90+I85+I80+I75+I70+I65+I60+I55+I50+I45+I40+I35+I30+I25+I20+I15+I200</f>
        <v>127</v>
      </c>
      <c r="J209" s="1321">
        <f t="shared" ref="J209:N209" si="20">J204+J195+J190+J185+J180+J175+J170+J165+J160+J155+J150+J145+J140+J135+J130+J125+J120+J115+J110+J105+J100+J95+J90+J85+J80+J75+J70+J65+J60+J55+J50+J45+J40+J35+J30+J25+J20+J15+J200</f>
        <v>0</v>
      </c>
      <c r="K209" s="1321">
        <f t="shared" si="20"/>
        <v>-127</v>
      </c>
      <c r="L209" s="1321">
        <f t="shared" si="20"/>
        <v>2010</v>
      </c>
      <c r="M209" s="1321">
        <f t="shared" si="20"/>
        <v>0</v>
      </c>
      <c r="N209" s="1321">
        <f t="shared" si="20"/>
        <v>0</v>
      </c>
      <c r="O209" s="1928">
        <f>SUM(I209:N209)</f>
        <v>2010</v>
      </c>
      <c r="P209" s="1514"/>
    </row>
    <row r="210" spans="1:16" s="423" customFormat="1" ht="21.95" customHeight="1" thickBot="1" x14ac:dyDescent="0.4">
      <c r="A210" s="773">
        <v>200</v>
      </c>
      <c r="B210" s="1512"/>
      <c r="C210" s="1513"/>
      <c r="D210" s="2318" t="s">
        <v>1250</v>
      </c>
      <c r="E210" s="2404"/>
      <c r="F210" s="2404"/>
      <c r="G210" s="2405"/>
      <c r="H210" s="1508"/>
      <c r="I210" s="1509">
        <f>SUM(I208:I209)</f>
        <v>5997</v>
      </c>
      <c r="J210" s="1509">
        <f t="shared" ref="J210:N210" si="21">SUM(J208:J209)</f>
        <v>1261</v>
      </c>
      <c r="K210" s="1509">
        <f t="shared" si="21"/>
        <v>114120</v>
      </c>
      <c r="L210" s="1509">
        <f t="shared" si="21"/>
        <v>145952</v>
      </c>
      <c r="M210" s="1509">
        <f t="shared" si="21"/>
        <v>8094094</v>
      </c>
      <c r="N210" s="1509">
        <f t="shared" si="21"/>
        <v>2430730</v>
      </c>
      <c r="O210" s="1542">
        <f>SUM(I210:N210)</f>
        <v>10792154</v>
      </c>
      <c r="P210" s="1515"/>
    </row>
    <row r="211" spans="1:16" ht="18" customHeight="1" x14ac:dyDescent="0.35">
      <c r="B211" s="764" t="s">
        <v>27</v>
      </c>
      <c r="C211" s="765"/>
      <c r="D211" s="764"/>
      <c r="E211" s="432"/>
      <c r="F211" s="433"/>
      <c r="G211" s="432"/>
      <c r="H211" s="751"/>
      <c r="I211" s="432"/>
      <c r="J211" s="432"/>
      <c r="K211" s="432"/>
      <c r="L211" s="432"/>
      <c r="M211" s="432"/>
      <c r="N211" s="432"/>
      <c r="O211" s="775"/>
    </row>
    <row r="212" spans="1:16" ht="18" customHeight="1" x14ac:dyDescent="0.35">
      <c r="B212" s="764" t="s">
        <v>28</v>
      </c>
      <c r="C212" s="765"/>
      <c r="D212" s="764"/>
      <c r="E212" s="635"/>
      <c r="F212" s="433"/>
      <c r="G212" s="432"/>
      <c r="H212" s="751"/>
      <c r="I212" s="432"/>
      <c r="J212" s="432"/>
      <c r="K212" s="432"/>
      <c r="L212" s="432"/>
      <c r="M212" s="432"/>
      <c r="N212" s="432"/>
      <c r="O212" s="775"/>
    </row>
    <row r="213" spans="1:16" ht="18" customHeight="1" x14ac:dyDescent="0.35">
      <c r="B213" s="764" t="s">
        <v>29</v>
      </c>
      <c r="C213" s="765"/>
      <c r="D213" s="764"/>
      <c r="E213" s="635"/>
      <c r="F213" s="433"/>
      <c r="G213" s="432"/>
      <c r="H213" s="751"/>
      <c r="I213" s="432"/>
      <c r="J213" s="432"/>
      <c r="K213" s="432"/>
      <c r="L213" s="432"/>
      <c r="M213" s="432"/>
      <c r="N213" s="432"/>
      <c r="O213" s="775"/>
    </row>
    <row r="214" spans="1:16" x14ac:dyDescent="0.35">
      <c r="B214" s="429" t="s">
        <v>645</v>
      </c>
      <c r="C214" s="429"/>
    </row>
  </sheetData>
  <mergeCells count="21">
    <mergeCell ref="D207:G207"/>
    <mergeCell ref="D209:G209"/>
    <mergeCell ref="D210:G210"/>
    <mergeCell ref="B206:G206"/>
    <mergeCell ref="C8:C10"/>
    <mergeCell ref="B1:M1"/>
    <mergeCell ref="B2:M2"/>
    <mergeCell ref="Q8:R8"/>
    <mergeCell ref="B8:B10"/>
    <mergeCell ref="E8:E10"/>
    <mergeCell ref="A4:P4"/>
    <mergeCell ref="A5:P5"/>
    <mergeCell ref="D8:D10"/>
    <mergeCell ref="F8:F10"/>
    <mergeCell ref="G8:G10"/>
    <mergeCell ref="I8:O8"/>
    <mergeCell ref="P8:P10"/>
    <mergeCell ref="I9:L9"/>
    <mergeCell ref="M9:N9"/>
    <mergeCell ref="O9:O10"/>
    <mergeCell ref="H8:H10"/>
  </mergeCells>
  <printOptions horizontalCentered="1"/>
  <pageMargins left="0.19685039370078741" right="0.19685039370078741" top="0.59055118110236227" bottom="0.59055118110236227" header="0.31496062992125984" footer="0.31496062992125984"/>
  <pageSetup paperSize="9" scale="60" fitToHeight="0" orientation="landscape" r:id="rId1"/>
  <headerFooter>
    <oddFooter>&amp;C- &amp;P -</oddFooter>
  </headerFooter>
  <legacy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A122"/>
  <sheetViews>
    <sheetView view="pageBreakPreview" zoomScale="88" zoomScaleNormal="100" zoomScaleSheetLayoutView="88" workbookViewId="0">
      <selection activeCell="B1" sqref="B1:P1"/>
    </sheetView>
  </sheetViews>
  <sheetFormatPr defaultColWidth="9.140625" defaultRowHeight="17.25" x14ac:dyDescent="0.35"/>
  <cols>
    <col min="1" max="1" width="3.7109375" style="750" customWidth="1"/>
    <col min="2" max="3" width="5.7109375" style="888" customWidth="1"/>
    <col min="4" max="4" width="62.7109375" style="418" customWidth="1"/>
    <col min="5" max="5" width="12.7109375" style="887" customWidth="1"/>
    <col min="6" max="7" width="10.7109375" style="887" customWidth="1"/>
    <col min="8" max="8" width="6.7109375" style="753" customWidth="1"/>
    <col min="9" max="14" width="14.85546875" style="887" customWidth="1"/>
    <col min="15" max="15" width="15.7109375" style="774" customWidth="1"/>
    <col min="16" max="16" width="13.85546875" style="887" customWidth="1"/>
    <col min="17" max="16384" width="9.140625" style="418"/>
  </cols>
  <sheetData>
    <row r="1" spans="1:261" x14ac:dyDescent="0.35">
      <c r="B1" s="2332" t="s">
        <v>1370</v>
      </c>
      <c r="C1" s="2332"/>
      <c r="D1" s="2332"/>
      <c r="E1" s="2332"/>
      <c r="F1" s="2332"/>
      <c r="G1" s="2332"/>
      <c r="H1" s="2332"/>
      <c r="I1" s="2332"/>
      <c r="J1" s="2332"/>
      <c r="K1" s="2332"/>
      <c r="L1" s="2332"/>
      <c r="M1" s="2332"/>
      <c r="N1" s="2332"/>
      <c r="O1" s="2332"/>
      <c r="P1" s="2332"/>
    </row>
    <row r="2" spans="1:261" ht="18" customHeight="1" x14ac:dyDescent="0.3">
      <c r="A2" s="1982"/>
      <c r="B2" s="2333" t="s">
        <v>1162</v>
      </c>
      <c r="C2" s="2333"/>
      <c r="D2" s="2333"/>
      <c r="E2" s="2333"/>
      <c r="F2" s="2333"/>
      <c r="G2" s="2333"/>
      <c r="H2" s="2333"/>
      <c r="I2" s="2333"/>
      <c r="J2" s="2333"/>
      <c r="K2" s="2333"/>
      <c r="L2" s="2333"/>
      <c r="M2" s="2333"/>
      <c r="N2" s="2333"/>
      <c r="O2" s="2333"/>
      <c r="P2" s="2333"/>
      <c r="Q2" s="752"/>
      <c r="R2" s="752"/>
      <c r="S2" s="752"/>
      <c r="T2" s="752"/>
      <c r="U2" s="752"/>
      <c r="V2" s="752"/>
      <c r="W2" s="752"/>
      <c r="X2" s="752"/>
      <c r="Y2" s="752"/>
      <c r="Z2" s="752"/>
      <c r="AA2" s="752"/>
      <c r="AB2" s="752"/>
      <c r="AC2" s="752"/>
      <c r="AD2" s="752"/>
      <c r="AE2" s="752"/>
      <c r="AF2" s="752"/>
      <c r="AG2" s="752"/>
      <c r="AH2" s="752"/>
      <c r="AI2" s="752"/>
      <c r="AJ2" s="752"/>
      <c r="AK2" s="752"/>
      <c r="AL2" s="752"/>
      <c r="AM2" s="752"/>
      <c r="AN2" s="752"/>
      <c r="AO2" s="752"/>
      <c r="AP2" s="752"/>
      <c r="AQ2" s="752"/>
      <c r="AR2" s="752"/>
      <c r="AS2" s="752"/>
      <c r="AT2" s="752"/>
      <c r="AU2" s="752"/>
      <c r="AV2" s="752"/>
      <c r="AW2" s="752"/>
      <c r="AX2" s="752"/>
      <c r="AY2" s="752"/>
      <c r="AZ2" s="752"/>
      <c r="BA2" s="752"/>
      <c r="BB2" s="752"/>
      <c r="BC2" s="752"/>
      <c r="BD2" s="752"/>
      <c r="BE2" s="752"/>
      <c r="BF2" s="752"/>
      <c r="BG2" s="752"/>
      <c r="BH2" s="752"/>
      <c r="BI2" s="752"/>
      <c r="BJ2" s="752"/>
      <c r="BK2" s="752"/>
      <c r="BL2" s="752"/>
      <c r="BM2" s="752"/>
      <c r="BN2" s="752"/>
      <c r="BO2" s="752"/>
      <c r="BP2" s="752"/>
      <c r="BQ2" s="752"/>
      <c r="BR2" s="752"/>
      <c r="BS2" s="752"/>
      <c r="BT2" s="752"/>
      <c r="BU2" s="752"/>
      <c r="BV2" s="752"/>
      <c r="BW2" s="752"/>
      <c r="BX2" s="752"/>
      <c r="BY2" s="752"/>
      <c r="BZ2" s="752"/>
      <c r="CA2" s="752"/>
      <c r="CB2" s="752"/>
      <c r="CC2" s="752"/>
      <c r="CD2" s="752"/>
      <c r="CE2" s="752"/>
      <c r="CF2" s="752"/>
      <c r="CG2" s="752"/>
      <c r="CH2" s="752"/>
      <c r="CI2" s="752"/>
      <c r="CJ2" s="752"/>
      <c r="CK2" s="752"/>
      <c r="CL2" s="752"/>
      <c r="CM2" s="752"/>
      <c r="CN2" s="752"/>
      <c r="CO2" s="752"/>
      <c r="CP2" s="752"/>
      <c r="CQ2" s="752"/>
      <c r="CR2" s="752"/>
      <c r="CS2" s="752"/>
      <c r="CT2" s="752"/>
      <c r="CU2" s="752"/>
      <c r="CV2" s="752"/>
      <c r="CW2" s="752"/>
      <c r="CX2" s="752"/>
      <c r="CY2" s="752"/>
      <c r="CZ2" s="752"/>
      <c r="DA2" s="752"/>
      <c r="DB2" s="752"/>
      <c r="DC2" s="752"/>
      <c r="DD2" s="752"/>
      <c r="DE2" s="752"/>
      <c r="DF2" s="752"/>
      <c r="DG2" s="752"/>
      <c r="DH2" s="752"/>
      <c r="DI2" s="752"/>
      <c r="DJ2" s="752"/>
      <c r="DK2" s="752"/>
      <c r="DL2" s="752"/>
      <c r="DM2" s="752"/>
      <c r="DN2" s="752"/>
      <c r="DO2" s="752"/>
      <c r="DP2" s="752"/>
      <c r="DQ2" s="752"/>
      <c r="DR2" s="752"/>
      <c r="DS2" s="752"/>
      <c r="DT2" s="752"/>
      <c r="DU2" s="752"/>
      <c r="DV2" s="752"/>
      <c r="DW2" s="752"/>
      <c r="DX2" s="752"/>
      <c r="DY2" s="752"/>
      <c r="DZ2" s="752"/>
      <c r="EA2" s="752"/>
      <c r="EB2" s="752"/>
      <c r="EC2" s="752"/>
      <c r="ED2" s="752"/>
      <c r="EE2" s="752"/>
      <c r="EF2" s="752"/>
      <c r="EG2" s="752"/>
      <c r="EH2" s="752"/>
      <c r="EI2" s="752"/>
      <c r="EJ2" s="752"/>
      <c r="EK2" s="752"/>
      <c r="EL2" s="752"/>
      <c r="EM2" s="752"/>
      <c r="EN2" s="752"/>
      <c r="EO2" s="752"/>
      <c r="EP2" s="752"/>
      <c r="EQ2" s="752"/>
      <c r="ER2" s="752"/>
      <c r="ES2" s="752"/>
      <c r="ET2" s="752"/>
      <c r="EU2" s="752"/>
      <c r="EV2" s="752"/>
      <c r="EW2" s="752"/>
      <c r="EX2" s="752"/>
      <c r="EY2" s="752"/>
      <c r="EZ2" s="752"/>
      <c r="FA2" s="752"/>
      <c r="FB2" s="752"/>
      <c r="FC2" s="752"/>
      <c r="FD2" s="752"/>
      <c r="FE2" s="752"/>
      <c r="FF2" s="752"/>
      <c r="FG2" s="752"/>
      <c r="FH2" s="752"/>
      <c r="FI2" s="752"/>
      <c r="FJ2" s="752"/>
      <c r="FK2" s="752"/>
      <c r="FL2" s="752"/>
      <c r="FM2" s="752"/>
      <c r="FN2" s="752"/>
      <c r="FO2" s="752"/>
      <c r="FP2" s="752"/>
      <c r="FQ2" s="752"/>
      <c r="FR2" s="752"/>
      <c r="FS2" s="752"/>
      <c r="FT2" s="752"/>
      <c r="FU2" s="752"/>
      <c r="FV2" s="752"/>
      <c r="FW2" s="752"/>
      <c r="FX2" s="752"/>
      <c r="FY2" s="752"/>
      <c r="FZ2" s="752"/>
      <c r="GA2" s="752"/>
      <c r="GB2" s="752"/>
      <c r="GC2" s="752"/>
      <c r="GD2" s="752"/>
      <c r="GE2" s="752"/>
      <c r="GF2" s="752"/>
      <c r="GG2" s="752"/>
      <c r="GH2" s="752"/>
      <c r="GI2" s="752"/>
      <c r="GJ2" s="752"/>
      <c r="GK2" s="752"/>
      <c r="GL2" s="752"/>
      <c r="GM2" s="752"/>
      <c r="GN2" s="752"/>
      <c r="GO2" s="752"/>
      <c r="GP2" s="752"/>
      <c r="GQ2" s="752"/>
      <c r="GR2" s="752"/>
      <c r="GS2" s="752"/>
      <c r="GT2" s="752"/>
      <c r="GU2" s="752"/>
      <c r="GV2" s="752"/>
      <c r="GW2" s="752"/>
      <c r="GX2" s="752"/>
      <c r="GY2" s="752"/>
      <c r="GZ2" s="752"/>
      <c r="HA2" s="752"/>
      <c r="HB2" s="752"/>
      <c r="HC2" s="752"/>
      <c r="HD2" s="752"/>
      <c r="HE2" s="752"/>
      <c r="HF2" s="752"/>
      <c r="HG2" s="752"/>
      <c r="HH2" s="752"/>
      <c r="HI2" s="752"/>
      <c r="HJ2" s="752"/>
      <c r="HK2" s="752"/>
      <c r="HL2" s="752"/>
      <c r="HM2" s="752"/>
      <c r="HN2" s="752"/>
      <c r="HO2" s="752"/>
      <c r="HP2" s="752"/>
      <c r="HQ2" s="752"/>
      <c r="HR2" s="752"/>
      <c r="HS2" s="752"/>
      <c r="HT2" s="752"/>
      <c r="HU2" s="752"/>
      <c r="HV2" s="752"/>
      <c r="HW2" s="752"/>
      <c r="HX2" s="752"/>
      <c r="HY2" s="752"/>
      <c r="HZ2" s="752"/>
      <c r="IA2" s="752"/>
      <c r="IB2" s="752"/>
      <c r="IC2" s="752"/>
      <c r="ID2" s="752"/>
      <c r="IE2" s="752"/>
      <c r="IF2" s="752"/>
      <c r="IG2" s="752"/>
      <c r="IH2" s="752"/>
      <c r="II2" s="752"/>
      <c r="IJ2" s="752"/>
      <c r="IK2" s="752"/>
      <c r="IL2" s="752"/>
      <c r="IM2" s="752"/>
      <c r="IN2" s="752"/>
      <c r="IO2" s="752"/>
      <c r="IP2" s="752"/>
    </row>
    <row r="3" spans="1:261" ht="24.75" customHeight="1" x14ac:dyDescent="0.35">
      <c r="A3" s="2337" t="s">
        <v>14</v>
      </c>
      <c r="B3" s="2337"/>
      <c r="C3" s="2337"/>
      <c r="D3" s="2337"/>
      <c r="E3" s="2337"/>
      <c r="F3" s="2337"/>
      <c r="G3" s="2337"/>
      <c r="H3" s="2337"/>
      <c r="I3" s="2337"/>
      <c r="J3" s="2337"/>
      <c r="K3" s="2337"/>
      <c r="L3" s="2337"/>
      <c r="M3" s="2337"/>
      <c r="N3" s="2337"/>
      <c r="O3" s="2337"/>
      <c r="P3" s="2337"/>
    </row>
    <row r="4" spans="1:261" ht="24.75" customHeight="1" x14ac:dyDescent="0.35">
      <c r="A4" s="2381" t="s">
        <v>1160</v>
      </c>
      <c r="B4" s="2381"/>
      <c r="C4" s="2381"/>
      <c r="D4" s="2381"/>
      <c r="E4" s="2381"/>
      <c r="F4" s="2381"/>
      <c r="G4" s="2381"/>
      <c r="H4" s="2381"/>
      <c r="I4" s="2381"/>
      <c r="J4" s="2381"/>
      <c r="K4" s="2381"/>
      <c r="L4" s="2381"/>
      <c r="M4" s="2381"/>
      <c r="N4" s="2381"/>
      <c r="O4" s="2381"/>
      <c r="P4" s="2381"/>
    </row>
    <row r="5" spans="1:261" s="968" customFormat="1" ht="18" customHeight="1" x14ac:dyDescent="0.3">
      <c r="A5" s="750"/>
      <c r="B5" s="750"/>
      <c r="C5" s="750"/>
      <c r="E5" s="709"/>
      <c r="F5" s="709"/>
      <c r="G5" s="709"/>
      <c r="H5" s="969"/>
      <c r="I5" s="709"/>
      <c r="J5" s="709"/>
      <c r="K5" s="709"/>
      <c r="L5" s="709"/>
      <c r="M5" s="709"/>
      <c r="N5" s="709"/>
      <c r="O5" s="970"/>
      <c r="P5" s="715" t="s">
        <v>0</v>
      </c>
    </row>
    <row r="6" spans="1:261" s="974" customFormat="1" ht="18" customHeight="1" thickBot="1" x14ac:dyDescent="0.35">
      <c r="A6" s="971"/>
      <c r="B6" s="972" t="s">
        <v>1</v>
      </c>
      <c r="C6" s="973" t="s">
        <v>3</v>
      </c>
      <c r="D6" s="973" t="s">
        <v>2</v>
      </c>
      <c r="E6" s="973" t="s">
        <v>4</v>
      </c>
      <c r="F6" s="973" t="s">
        <v>5</v>
      </c>
      <c r="G6" s="973" t="s">
        <v>15</v>
      </c>
      <c r="H6" s="973" t="s">
        <v>16</v>
      </c>
      <c r="I6" s="973" t="s">
        <v>17</v>
      </c>
      <c r="J6" s="973" t="s">
        <v>36</v>
      </c>
      <c r="K6" s="973" t="s">
        <v>30</v>
      </c>
      <c r="L6" s="973" t="s">
        <v>23</v>
      </c>
      <c r="M6" s="973" t="s">
        <v>37</v>
      </c>
      <c r="N6" s="973" t="s">
        <v>38</v>
      </c>
      <c r="O6" s="973" t="s">
        <v>160</v>
      </c>
      <c r="P6" s="973" t="s">
        <v>161</v>
      </c>
      <c r="Q6" s="971"/>
      <c r="R6" s="971"/>
      <c r="S6" s="971"/>
      <c r="T6" s="971"/>
      <c r="U6" s="971"/>
      <c r="V6" s="971"/>
      <c r="W6" s="971"/>
      <c r="X6" s="971"/>
      <c r="Y6" s="971"/>
      <c r="Z6" s="971"/>
      <c r="AA6" s="971"/>
      <c r="AB6" s="971"/>
      <c r="AC6" s="971"/>
      <c r="AD6" s="971"/>
      <c r="AE6" s="971"/>
      <c r="AF6" s="971"/>
      <c r="AG6" s="971"/>
      <c r="AH6" s="971"/>
      <c r="AI6" s="971"/>
      <c r="AJ6" s="971"/>
      <c r="AK6" s="971"/>
      <c r="AL6" s="971"/>
      <c r="AM6" s="971"/>
      <c r="AN6" s="971"/>
      <c r="AO6" s="971"/>
      <c r="AP6" s="971"/>
      <c r="AQ6" s="971"/>
      <c r="AR6" s="971"/>
      <c r="AS6" s="971"/>
      <c r="AT6" s="971"/>
      <c r="AU6" s="971"/>
      <c r="AV6" s="971"/>
      <c r="AW6" s="971"/>
      <c r="AX6" s="971"/>
      <c r="AY6" s="971"/>
      <c r="AZ6" s="971"/>
      <c r="BA6" s="971"/>
      <c r="BB6" s="971"/>
      <c r="BC6" s="971"/>
      <c r="BD6" s="971"/>
      <c r="BE6" s="971"/>
      <c r="BF6" s="971"/>
      <c r="BG6" s="971"/>
      <c r="BH6" s="971"/>
      <c r="BI6" s="971"/>
      <c r="BJ6" s="971"/>
      <c r="BK6" s="971"/>
      <c r="BL6" s="971"/>
      <c r="BM6" s="971"/>
      <c r="BN6" s="971"/>
      <c r="BO6" s="971"/>
      <c r="BP6" s="971"/>
      <c r="BQ6" s="971"/>
      <c r="BR6" s="971"/>
      <c r="BS6" s="971"/>
      <c r="BT6" s="971"/>
      <c r="BU6" s="971"/>
      <c r="BV6" s="971"/>
      <c r="BW6" s="971"/>
      <c r="BX6" s="971"/>
      <c r="BY6" s="971"/>
      <c r="BZ6" s="971"/>
      <c r="CA6" s="971"/>
      <c r="CB6" s="971"/>
      <c r="CC6" s="971"/>
      <c r="CD6" s="971"/>
      <c r="CE6" s="971"/>
      <c r="CF6" s="971"/>
      <c r="CG6" s="971"/>
      <c r="CH6" s="971"/>
      <c r="CI6" s="971"/>
      <c r="CJ6" s="971"/>
      <c r="CK6" s="971"/>
      <c r="CL6" s="971"/>
      <c r="CM6" s="971"/>
      <c r="CN6" s="971"/>
      <c r="CO6" s="971"/>
      <c r="CP6" s="971"/>
      <c r="CQ6" s="971"/>
      <c r="CR6" s="971"/>
      <c r="CS6" s="971"/>
      <c r="CT6" s="971"/>
      <c r="CU6" s="971"/>
      <c r="CV6" s="971"/>
      <c r="CW6" s="971"/>
      <c r="CX6" s="971"/>
      <c r="CY6" s="971"/>
      <c r="CZ6" s="971"/>
      <c r="DA6" s="971"/>
      <c r="DB6" s="971"/>
      <c r="DC6" s="971"/>
      <c r="DD6" s="971"/>
      <c r="DE6" s="971"/>
      <c r="DF6" s="971"/>
      <c r="DG6" s="971"/>
      <c r="DH6" s="971"/>
      <c r="DI6" s="971"/>
      <c r="DJ6" s="971"/>
      <c r="DK6" s="971"/>
      <c r="DL6" s="971"/>
      <c r="DM6" s="971"/>
      <c r="DN6" s="971"/>
      <c r="DO6" s="971"/>
      <c r="DP6" s="971"/>
      <c r="DQ6" s="971"/>
      <c r="DR6" s="971"/>
      <c r="DS6" s="971"/>
      <c r="DT6" s="971"/>
      <c r="DU6" s="971"/>
      <c r="DV6" s="971"/>
      <c r="DW6" s="971"/>
      <c r="DX6" s="971"/>
      <c r="DY6" s="971"/>
      <c r="DZ6" s="971"/>
      <c r="EA6" s="971"/>
      <c r="EB6" s="971"/>
      <c r="EC6" s="971"/>
      <c r="ED6" s="971"/>
      <c r="EE6" s="971"/>
      <c r="EF6" s="971"/>
      <c r="EG6" s="971"/>
      <c r="EH6" s="971"/>
      <c r="EI6" s="971"/>
      <c r="EJ6" s="971"/>
      <c r="EK6" s="971"/>
      <c r="EL6" s="971"/>
      <c r="EM6" s="971"/>
      <c r="EN6" s="971"/>
      <c r="EO6" s="971"/>
      <c r="EP6" s="971"/>
      <c r="EQ6" s="971"/>
      <c r="ER6" s="971"/>
      <c r="ES6" s="971"/>
      <c r="ET6" s="971"/>
      <c r="EU6" s="971"/>
      <c r="EV6" s="971"/>
      <c r="EW6" s="971"/>
      <c r="EX6" s="971"/>
      <c r="EY6" s="971"/>
      <c r="EZ6" s="971"/>
      <c r="FA6" s="971"/>
      <c r="FB6" s="971"/>
      <c r="FC6" s="971"/>
      <c r="FD6" s="971"/>
      <c r="FE6" s="971"/>
      <c r="FF6" s="971"/>
      <c r="FG6" s="971"/>
      <c r="FH6" s="971"/>
      <c r="FI6" s="971"/>
      <c r="FJ6" s="971"/>
      <c r="FK6" s="971"/>
      <c r="FL6" s="971"/>
      <c r="FM6" s="971"/>
      <c r="FN6" s="971"/>
      <c r="FO6" s="971"/>
      <c r="FP6" s="971"/>
      <c r="FQ6" s="971"/>
      <c r="FR6" s="971"/>
      <c r="FS6" s="971"/>
      <c r="FT6" s="971"/>
      <c r="FU6" s="971"/>
      <c r="FV6" s="971"/>
      <c r="FW6" s="971"/>
      <c r="FX6" s="971"/>
      <c r="FY6" s="971"/>
      <c r="FZ6" s="971"/>
      <c r="GA6" s="971"/>
      <c r="GB6" s="971"/>
      <c r="GC6" s="971"/>
      <c r="GD6" s="971"/>
      <c r="GE6" s="971"/>
      <c r="GF6" s="971"/>
      <c r="GG6" s="971"/>
      <c r="GH6" s="971"/>
      <c r="GI6" s="971"/>
      <c r="GJ6" s="971"/>
      <c r="GK6" s="971"/>
      <c r="GL6" s="971"/>
      <c r="GM6" s="971"/>
      <c r="GN6" s="971"/>
      <c r="GO6" s="971"/>
      <c r="GP6" s="971"/>
      <c r="GQ6" s="971"/>
      <c r="GR6" s="971"/>
      <c r="GS6" s="971"/>
      <c r="GT6" s="971"/>
      <c r="GU6" s="971"/>
      <c r="GV6" s="971"/>
      <c r="GW6" s="971"/>
      <c r="GX6" s="971"/>
      <c r="GY6" s="971"/>
      <c r="GZ6" s="971"/>
      <c r="HA6" s="971"/>
      <c r="HB6" s="971"/>
      <c r="HC6" s="971"/>
      <c r="HD6" s="971"/>
      <c r="HE6" s="971"/>
      <c r="HF6" s="971"/>
      <c r="HG6" s="971"/>
      <c r="HH6" s="971"/>
      <c r="HI6" s="971"/>
      <c r="HJ6" s="971"/>
      <c r="HK6" s="971"/>
      <c r="HL6" s="971"/>
      <c r="HM6" s="971"/>
      <c r="HN6" s="971"/>
      <c r="HO6" s="971"/>
      <c r="HP6" s="971"/>
      <c r="HQ6" s="971"/>
      <c r="HR6" s="971"/>
      <c r="HS6" s="971"/>
      <c r="HT6" s="971"/>
      <c r="HU6" s="971"/>
      <c r="HV6" s="971"/>
      <c r="HW6" s="971"/>
      <c r="HX6" s="971"/>
      <c r="HY6" s="971"/>
      <c r="HZ6" s="971"/>
      <c r="IA6" s="971"/>
      <c r="IB6" s="971"/>
      <c r="IC6" s="971"/>
      <c r="ID6" s="971"/>
      <c r="IE6" s="971"/>
      <c r="IF6" s="971"/>
      <c r="IG6" s="971"/>
      <c r="IH6" s="971"/>
      <c r="II6" s="971"/>
      <c r="IJ6" s="971"/>
      <c r="IK6" s="971"/>
      <c r="IL6" s="971"/>
      <c r="IM6" s="971"/>
      <c r="IN6" s="971"/>
      <c r="IO6" s="971"/>
      <c r="IP6" s="971"/>
    </row>
    <row r="7" spans="1:261" ht="22.5" customHeight="1" x14ac:dyDescent="0.3">
      <c r="B7" s="2375" t="s">
        <v>18</v>
      </c>
      <c r="C7" s="2409" t="s">
        <v>19</v>
      </c>
      <c r="D7" s="2382" t="s">
        <v>6</v>
      </c>
      <c r="E7" s="2378" t="s">
        <v>644</v>
      </c>
      <c r="F7" s="2378" t="s">
        <v>944</v>
      </c>
      <c r="G7" s="2385" t="s">
        <v>1001</v>
      </c>
      <c r="H7" s="2354" t="s">
        <v>20</v>
      </c>
      <c r="I7" s="2388" t="s">
        <v>631</v>
      </c>
      <c r="J7" s="2378"/>
      <c r="K7" s="2378"/>
      <c r="L7" s="2378"/>
      <c r="M7" s="2378"/>
      <c r="N7" s="2378"/>
      <c r="O7" s="2389"/>
      <c r="P7" s="2390" t="s">
        <v>640</v>
      </c>
      <c r="Q7" s="2374"/>
      <c r="R7" s="2374"/>
    </row>
    <row r="8" spans="1:261" ht="33" customHeight="1" x14ac:dyDescent="0.3">
      <c r="B8" s="2376"/>
      <c r="C8" s="2410"/>
      <c r="D8" s="2383"/>
      <c r="E8" s="2379"/>
      <c r="F8" s="2379"/>
      <c r="G8" s="2386"/>
      <c r="H8" s="2355"/>
      <c r="I8" s="2393" t="s">
        <v>646</v>
      </c>
      <c r="J8" s="2394"/>
      <c r="K8" s="2395"/>
      <c r="L8" s="2395"/>
      <c r="M8" s="2396" t="s">
        <v>163</v>
      </c>
      <c r="N8" s="2396"/>
      <c r="O8" s="2397" t="s">
        <v>129</v>
      </c>
      <c r="P8" s="2391"/>
    </row>
    <row r="9" spans="1:261" ht="53.25" customHeight="1" thickBot="1" x14ac:dyDescent="0.35">
      <c r="B9" s="2377"/>
      <c r="C9" s="2411"/>
      <c r="D9" s="2384"/>
      <c r="E9" s="2380"/>
      <c r="F9" s="2380"/>
      <c r="G9" s="2387"/>
      <c r="H9" s="2356"/>
      <c r="I9" s="993" t="s">
        <v>40</v>
      </c>
      <c r="J9" s="754" t="s">
        <v>641</v>
      </c>
      <c r="K9" s="755" t="s">
        <v>42</v>
      </c>
      <c r="L9" s="755" t="s">
        <v>643</v>
      </c>
      <c r="M9" s="754" t="s">
        <v>229</v>
      </c>
      <c r="N9" s="754" t="s">
        <v>164</v>
      </c>
      <c r="O9" s="2398"/>
      <c r="P9" s="2392"/>
    </row>
    <row r="10" spans="1:261" s="758" customFormat="1" ht="22.5" customHeight="1" x14ac:dyDescent="0.35">
      <c r="A10" s="773">
        <v>1</v>
      </c>
      <c r="B10" s="756">
        <v>18</v>
      </c>
      <c r="C10" s="768" t="s">
        <v>14</v>
      </c>
      <c r="D10" s="981"/>
      <c r="E10" s="427"/>
      <c r="F10" s="425"/>
      <c r="G10" s="426"/>
      <c r="H10" s="998"/>
      <c r="I10" s="994"/>
      <c r="J10" s="776"/>
      <c r="K10" s="776"/>
      <c r="L10" s="776"/>
      <c r="M10" s="776"/>
      <c r="N10" s="776"/>
      <c r="O10" s="757"/>
      <c r="P10" s="760"/>
      <c r="Q10" s="418"/>
      <c r="R10" s="418"/>
      <c r="S10" s="418"/>
      <c r="T10" s="418"/>
      <c r="U10" s="418"/>
      <c r="V10" s="418"/>
      <c r="W10" s="418"/>
      <c r="X10" s="418"/>
      <c r="Y10" s="418"/>
      <c r="Z10" s="418"/>
      <c r="AA10" s="418"/>
      <c r="AB10" s="418"/>
      <c r="AC10" s="418"/>
      <c r="AD10" s="418"/>
      <c r="AE10" s="418"/>
      <c r="AF10" s="418"/>
      <c r="AG10" s="418"/>
      <c r="AH10" s="418"/>
      <c r="AI10" s="418"/>
      <c r="AJ10" s="418"/>
      <c r="AK10" s="418"/>
      <c r="AL10" s="418"/>
      <c r="AM10" s="418"/>
      <c r="AN10" s="418"/>
      <c r="AO10" s="418"/>
      <c r="AP10" s="418"/>
      <c r="AQ10" s="418"/>
      <c r="AR10" s="418"/>
      <c r="AS10" s="418"/>
      <c r="AT10" s="418"/>
      <c r="AU10" s="418"/>
      <c r="AV10" s="418"/>
      <c r="AW10" s="418"/>
      <c r="AX10" s="418"/>
      <c r="AY10" s="418"/>
      <c r="AZ10" s="418"/>
      <c r="BA10" s="418"/>
      <c r="BB10" s="418"/>
      <c r="BC10" s="418"/>
      <c r="BD10" s="418"/>
      <c r="BE10" s="418"/>
      <c r="BF10" s="418"/>
      <c r="BG10" s="418"/>
      <c r="BH10" s="418"/>
      <c r="BI10" s="418"/>
      <c r="BJ10" s="418"/>
      <c r="BK10" s="418"/>
      <c r="BL10" s="418"/>
      <c r="BM10" s="418"/>
      <c r="BN10" s="418"/>
      <c r="BO10" s="418"/>
      <c r="BP10" s="418"/>
      <c r="BQ10" s="418"/>
      <c r="BR10" s="418"/>
      <c r="BS10" s="418"/>
      <c r="BT10" s="418"/>
      <c r="BU10" s="418"/>
      <c r="BV10" s="418"/>
      <c r="BW10" s="418"/>
      <c r="BX10" s="418"/>
      <c r="BY10" s="418"/>
      <c r="BZ10" s="418"/>
      <c r="CA10" s="418"/>
      <c r="CB10" s="418"/>
      <c r="CC10" s="418"/>
      <c r="CD10" s="418"/>
      <c r="CE10" s="418"/>
      <c r="CF10" s="418"/>
      <c r="CG10" s="418"/>
      <c r="CH10" s="418"/>
      <c r="CI10" s="418"/>
      <c r="CJ10" s="418"/>
      <c r="CK10" s="418"/>
      <c r="CL10" s="418"/>
      <c r="CM10" s="418"/>
      <c r="CN10" s="418"/>
      <c r="CO10" s="418"/>
      <c r="CP10" s="418"/>
      <c r="CQ10" s="418"/>
      <c r="CR10" s="418"/>
      <c r="CS10" s="418"/>
      <c r="CT10" s="418"/>
      <c r="CU10" s="418"/>
      <c r="CV10" s="418"/>
      <c r="CW10" s="418"/>
      <c r="CX10" s="418"/>
      <c r="CY10" s="418"/>
      <c r="CZ10" s="418"/>
      <c r="DA10" s="418"/>
      <c r="DB10" s="418"/>
      <c r="DC10" s="418"/>
      <c r="DD10" s="418"/>
      <c r="DE10" s="418"/>
      <c r="DF10" s="418"/>
      <c r="DG10" s="418"/>
      <c r="DH10" s="418"/>
      <c r="DI10" s="418"/>
      <c r="DJ10" s="418"/>
      <c r="DK10" s="418"/>
      <c r="DL10" s="418"/>
      <c r="DM10" s="418"/>
      <c r="DN10" s="418"/>
      <c r="DO10" s="418"/>
      <c r="DP10" s="418"/>
      <c r="DQ10" s="418"/>
      <c r="DR10" s="418"/>
      <c r="DS10" s="418"/>
      <c r="DT10" s="418"/>
      <c r="DU10" s="418"/>
      <c r="DV10" s="418"/>
      <c r="DW10" s="418"/>
      <c r="DX10" s="418"/>
      <c r="DY10" s="418"/>
      <c r="DZ10" s="418"/>
      <c r="EA10" s="418"/>
      <c r="EB10" s="418"/>
      <c r="EC10" s="418"/>
      <c r="ED10" s="418"/>
      <c r="EE10" s="418"/>
      <c r="EF10" s="418"/>
      <c r="EG10" s="418"/>
      <c r="EH10" s="418"/>
      <c r="EI10" s="418"/>
      <c r="EJ10" s="418"/>
      <c r="EK10" s="418"/>
      <c r="EL10" s="418"/>
      <c r="EM10" s="418"/>
      <c r="EN10" s="418"/>
      <c r="EO10" s="418"/>
      <c r="EP10" s="418"/>
      <c r="EQ10" s="418"/>
      <c r="ER10" s="418"/>
      <c r="ES10" s="418"/>
      <c r="ET10" s="418"/>
      <c r="EU10" s="418"/>
      <c r="EV10" s="418"/>
      <c r="EW10" s="418"/>
      <c r="EX10" s="418"/>
      <c r="EY10" s="418"/>
      <c r="EZ10" s="418"/>
      <c r="FA10" s="418"/>
      <c r="FB10" s="418"/>
      <c r="FC10" s="418"/>
      <c r="FD10" s="418"/>
      <c r="FE10" s="418"/>
      <c r="FF10" s="418"/>
      <c r="FG10" s="418"/>
      <c r="FH10" s="418"/>
      <c r="FI10" s="418"/>
      <c r="FJ10" s="418"/>
      <c r="FK10" s="418"/>
      <c r="FL10" s="418"/>
      <c r="FM10" s="418"/>
      <c r="FN10" s="418"/>
      <c r="FO10" s="418"/>
      <c r="FP10" s="418"/>
      <c r="FQ10" s="418"/>
      <c r="FR10" s="418"/>
      <c r="FS10" s="418"/>
      <c r="FT10" s="418"/>
      <c r="FU10" s="418"/>
      <c r="FV10" s="418"/>
      <c r="FW10" s="418"/>
      <c r="FX10" s="418"/>
      <c r="FY10" s="418"/>
      <c r="FZ10" s="418"/>
      <c r="GA10" s="418"/>
      <c r="GB10" s="418"/>
      <c r="GC10" s="418"/>
      <c r="GD10" s="418"/>
      <c r="GE10" s="418"/>
      <c r="GF10" s="418"/>
      <c r="GG10" s="418"/>
      <c r="GH10" s="418"/>
      <c r="GI10" s="418"/>
      <c r="GJ10" s="418"/>
      <c r="GK10" s="418"/>
      <c r="GL10" s="418"/>
      <c r="GM10" s="418"/>
      <c r="GN10" s="418"/>
      <c r="GO10" s="418"/>
      <c r="GP10" s="418"/>
      <c r="GQ10" s="418"/>
      <c r="GR10" s="418"/>
      <c r="GS10" s="418"/>
      <c r="GT10" s="418"/>
      <c r="GU10" s="418"/>
      <c r="GV10" s="418"/>
      <c r="GW10" s="418"/>
      <c r="GX10" s="418"/>
      <c r="GY10" s="418"/>
      <c r="GZ10" s="418"/>
      <c r="HA10" s="418"/>
      <c r="HB10" s="418"/>
      <c r="HC10" s="418"/>
      <c r="HD10" s="418"/>
      <c r="HE10" s="418"/>
      <c r="HF10" s="418"/>
      <c r="HG10" s="418"/>
      <c r="HH10" s="418"/>
      <c r="HI10" s="418"/>
      <c r="HJ10" s="418"/>
      <c r="HK10" s="418"/>
      <c r="HL10" s="418"/>
      <c r="HM10" s="418"/>
      <c r="HN10" s="418"/>
      <c r="HO10" s="418"/>
      <c r="HP10" s="418"/>
      <c r="HQ10" s="418"/>
      <c r="HR10" s="418"/>
      <c r="HS10" s="418"/>
      <c r="HT10" s="418"/>
      <c r="HU10" s="418"/>
      <c r="HV10" s="418"/>
      <c r="HW10" s="418"/>
      <c r="HX10" s="418"/>
      <c r="HY10" s="418"/>
      <c r="HZ10" s="418"/>
      <c r="IA10" s="418"/>
      <c r="IB10" s="418"/>
      <c r="IC10" s="418"/>
      <c r="ID10" s="418"/>
      <c r="IE10" s="418"/>
      <c r="IF10" s="418"/>
      <c r="IG10" s="418"/>
      <c r="IH10" s="418"/>
      <c r="II10" s="418"/>
      <c r="IJ10" s="418"/>
      <c r="IK10" s="418"/>
      <c r="IL10" s="418"/>
      <c r="IM10" s="418"/>
      <c r="IN10" s="418"/>
      <c r="IO10" s="418"/>
      <c r="IP10" s="418"/>
      <c r="IQ10" s="418"/>
      <c r="IR10" s="418"/>
      <c r="IS10" s="418"/>
      <c r="IT10" s="418"/>
      <c r="IU10" s="418"/>
      <c r="IV10" s="418"/>
      <c r="IW10" s="418"/>
      <c r="IX10" s="418"/>
      <c r="IY10" s="418"/>
      <c r="IZ10" s="418"/>
      <c r="JA10" s="418"/>
    </row>
    <row r="11" spans="1:261" s="758" customFormat="1" ht="22.5" customHeight="1" x14ac:dyDescent="0.35">
      <c r="A11" s="773">
        <v>2</v>
      </c>
      <c r="B11" s="766"/>
      <c r="C11" s="464">
        <v>1</v>
      </c>
      <c r="D11" s="761" t="s">
        <v>692</v>
      </c>
      <c r="E11" s="430"/>
      <c r="F11" s="762"/>
      <c r="G11" s="431"/>
      <c r="H11" s="999" t="s">
        <v>24</v>
      </c>
      <c r="I11" s="1017"/>
      <c r="J11" s="1013"/>
      <c r="K11" s="1013"/>
      <c r="L11" s="1013"/>
      <c r="M11" s="1013"/>
      <c r="N11" s="1013"/>
      <c r="O11" s="767"/>
      <c r="P11" s="763"/>
      <c r="Q11" s="418"/>
      <c r="R11" s="418"/>
      <c r="S11" s="418"/>
      <c r="T11" s="418"/>
      <c r="U11" s="418"/>
      <c r="V11" s="418"/>
      <c r="W11" s="418"/>
      <c r="X11" s="418"/>
      <c r="Y11" s="418"/>
      <c r="Z11" s="418"/>
      <c r="AA11" s="418"/>
      <c r="AB11" s="418"/>
      <c r="AC11" s="418"/>
      <c r="AD11" s="418"/>
      <c r="AE11" s="418"/>
      <c r="AF11" s="418"/>
      <c r="AG11" s="418"/>
      <c r="AH11" s="418"/>
      <c r="AI11" s="418"/>
      <c r="AJ11" s="418"/>
      <c r="AK11" s="418"/>
      <c r="AL11" s="418"/>
      <c r="AM11" s="418"/>
      <c r="AN11" s="418"/>
      <c r="AO11" s="418"/>
      <c r="AP11" s="418"/>
      <c r="AQ11" s="418"/>
      <c r="AR11" s="418"/>
      <c r="AS11" s="418"/>
      <c r="AT11" s="418"/>
      <c r="AU11" s="418"/>
      <c r="AV11" s="418"/>
      <c r="AW11" s="418"/>
      <c r="AX11" s="418"/>
      <c r="AY11" s="418"/>
      <c r="AZ11" s="418"/>
      <c r="BA11" s="418"/>
      <c r="BB11" s="418"/>
      <c r="BC11" s="418"/>
      <c r="BD11" s="418"/>
      <c r="BE11" s="418"/>
      <c r="BF11" s="418"/>
      <c r="BG11" s="418"/>
      <c r="BH11" s="418"/>
      <c r="BI11" s="418"/>
      <c r="BJ11" s="418"/>
      <c r="BK11" s="418"/>
      <c r="BL11" s="418"/>
      <c r="BM11" s="418"/>
      <c r="BN11" s="418"/>
      <c r="BO11" s="418"/>
      <c r="BP11" s="418"/>
      <c r="BQ11" s="418"/>
      <c r="BR11" s="418"/>
      <c r="BS11" s="418"/>
      <c r="BT11" s="418"/>
      <c r="BU11" s="418"/>
      <c r="BV11" s="418"/>
      <c r="BW11" s="418"/>
      <c r="BX11" s="418"/>
      <c r="BY11" s="418"/>
      <c r="BZ11" s="418"/>
      <c r="CA11" s="418"/>
      <c r="CB11" s="418"/>
      <c r="CC11" s="418"/>
      <c r="CD11" s="418"/>
      <c r="CE11" s="418"/>
      <c r="CF11" s="418"/>
      <c r="CG11" s="418"/>
      <c r="CH11" s="418"/>
      <c r="CI11" s="418"/>
      <c r="CJ11" s="418"/>
      <c r="CK11" s="418"/>
      <c r="CL11" s="418"/>
      <c r="CM11" s="418"/>
      <c r="CN11" s="418"/>
      <c r="CO11" s="418"/>
      <c r="CP11" s="418"/>
      <c r="CQ11" s="418"/>
      <c r="CR11" s="418"/>
      <c r="CS11" s="418"/>
      <c r="CT11" s="418"/>
      <c r="CU11" s="418"/>
      <c r="CV11" s="418"/>
      <c r="CW11" s="418"/>
      <c r="CX11" s="418"/>
      <c r="CY11" s="418"/>
      <c r="CZ11" s="418"/>
      <c r="DA11" s="418"/>
      <c r="DB11" s="418"/>
      <c r="DC11" s="418"/>
      <c r="DD11" s="418"/>
      <c r="DE11" s="418"/>
      <c r="DF11" s="418"/>
      <c r="DG11" s="418"/>
      <c r="DH11" s="418"/>
      <c r="DI11" s="418"/>
      <c r="DJ11" s="418"/>
      <c r="DK11" s="418"/>
      <c r="DL11" s="418"/>
      <c r="DM11" s="418"/>
      <c r="DN11" s="418"/>
      <c r="DO11" s="418"/>
      <c r="DP11" s="418"/>
      <c r="DQ11" s="418"/>
      <c r="DR11" s="418"/>
      <c r="DS11" s="418"/>
      <c r="DT11" s="418"/>
      <c r="DU11" s="418"/>
      <c r="DV11" s="418"/>
      <c r="DW11" s="418"/>
      <c r="DX11" s="418"/>
      <c r="DY11" s="418"/>
      <c r="DZ11" s="418"/>
      <c r="EA11" s="418"/>
      <c r="EB11" s="418"/>
      <c r="EC11" s="418"/>
      <c r="ED11" s="418"/>
      <c r="EE11" s="418"/>
      <c r="EF11" s="418"/>
      <c r="EG11" s="418"/>
      <c r="EH11" s="418"/>
      <c r="EI11" s="418"/>
      <c r="EJ11" s="418"/>
      <c r="EK11" s="418"/>
      <c r="EL11" s="418"/>
      <c r="EM11" s="418"/>
      <c r="EN11" s="418"/>
      <c r="EO11" s="418"/>
      <c r="EP11" s="418"/>
      <c r="EQ11" s="418"/>
      <c r="ER11" s="418"/>
      <c r="ES11" s="418"/>
      <c r="ET11" s="418"/>
      <c r="EU11" s="418"/>
      <c r="EV11" s="418"/>
      <c r="EW11" s="418"/>
      <c r="EX11" s="418"/>
      <c r="EY11" s="418"/>
      <c r="EZ11" s="418"/>
      <c r="FA11" s="418"/>
      <c r="FB11" s="418"/>
      <c r="FC11" s="418"/>
      <c r="FD11" s="418"/>
      <c r="FE11" s="418"/>
      <c r="FF11" s="418"/>
      <c r="FG11" s="418"/>
      <c r="FH11" s="418"/>
      <c r="FI11" s="418"/>
      <c r="FJ11" s="418"/>
      <c r="FK11" s="418"/>
      <c r="FL11" s="418"/>
      <c r="FM11" s="418"/>
      <c r="FN11" s="418"/>
      <c r="FO11" s="418"/>
      <c r="FP11" s="418"/>
      <c r="FQ11" s="418"/>
      <c r="FR11" s="418"/>
      <c r="FS11" s="418"/>
      <c r="FT11" s="418"/>
      <c r="FU11" s="418"/>
      <c r="FV11" s="418"/>
      <c r="FW11" s="418"/>
      <c r="FX11" s="418"/>
      <c r="FY11" s="418"/>
      <c r="FZ11" s="418"/>
      <c r="GA11" s="418"/>
      <c r="GB11" s="418"/>
      <c r="GC11" s="418"/>
      <c r="GD11" s="418"/>
      <c r="GE11" s="418"/>
      <c r="GF11" s="418"/>
      <c r="GG11" s="418"/>
      <c r="GH11" s="418"/>
      <c r="GI11" s="418"/>
      <c r="GJ11" s="418"/>
      <c r="GK11" s="418"/>
      <c r="GL11" s="418"/>
      <c r="GM11" s="418"/>
      <c r="GN11" s="418"/>
      <c r="GO11" s="418"/>
      <c r="GP11" s="418"/>
      <c r="GQ11" s="418"/>
      <c r="GR11" s="418"/>
      <c r="GS11" s="418"/>
      <c r="GT11" s="418"/>
      <c r="GU11" s="418"/>
      <c r="GV11" s="418"/>
      <c r="GW11" s="418"/>
      <c r="GX11" s="418"/>
      <c r="GY11" s="418"/>
      <c r="GZ11" s="418"/>
      <c r="HA11" s="418"/>
      <c r="HB11" s="418"/>
      <c r="HC11" s="418"/>
      <c r="HD11" s="418"/>
      <c r="HE11" s="418"/>
      <c r="HF11" s="418"/>
      <c r="HG11" s="418"/>
      <c r="HH11" s="418"/>
      <c r="HI11" s="418"/>
      <c r="HJ11" s="418"/>
      <c r="HK11" s="418"/>
      <c r="HL11" s="418"/>
      <c r="HM11" s="418"/>
      <c r="HN11" s="418"/>
      <c r="HO11" s="418"/>
      <c r="HP11" s="418"/>
      <c r="HQ11" s="418"/>
      <c r="HR11" s="418"/>
      <c r="HS11" s="418"/>
      <c r="HT11" s="418"/>
      <c r="HU11" s="418"/>
      <c r="HV11" s="418"/>
      <c r="HW11" s="418"/>
      <c r="HX11" s="418"/>
      <c r="HY11" s="418"/>
      <c r="HZ11" s="418"/>
      <c r="IA11" s="418"/>
      <c r="IB11" s="418"/>
      <c r="IC11" s="418"/>
      <c r="ID11" s="418"/>
      <c r="IE11" s="418"/>
      <c r="IF11" s="418"/>
      <c r="IG11" s="418"/>
      <c r="IH11" s="418"/>
      <c r="II11" s="418"/>
      <c r="IJ11" s="418"/>
      <c r="IK11" s="418"/>
      <c r="IL11" s="418"/>
      <c r="IM11" s="418"/>
      <c r="IN11" s="418"/>
      <c r="IO11" s="418"/>
      <c r="IP11" s="418"/>
      <c r="IQ11" s="418"/>
      <c r="IR11" s="418"/>
      <c r="IS11" s="418"/>
      <c r="IT11" s="418"/>
      <c r="IU11" s="418"/>
      <c r="IV11" s="418"/>
      <c r="IW11" s="418"/>
      <c r="IX11" s="418"/>
      <c r="IY11" s="418"/>
      <c r="IZ11" s="418"/>
      <c r="JA11" s="418"/>
    </row>
    <row r="12" spans="1:261" s="991" customFormat="1" ht="18" customHeight="1" x14ac:dyDescent="0.35">
      <c r="A12" s="773">
        <v>3</v>
      </c>
      <c r="B12" s="983"/>
      <c r="C12" s="984"/>
      <c r="D12" s="985" t="s">
        <v>308</v>
      </c>
      <c r="E12" s="430">
        <f>F12+G12+O15+P12</f>
        <v>8822998</v>
      </c>
      <c r="F12" s="762"/>
      <c r="G12" s="431">
        <f>106200</f>
        <v>106200</v>
      </c>
      <c r="H12" s="1000"/>
      <c r="I12" s="1017"/>
      <c r="J12" s="1013"/>
      <c r="K12" s="1013">
        <v>34384</v>
      </c>
      <c r="L12" s="1013"/>
      <c r="M12" s="1013">
        <v>694452</v>
      </c>
      <c r="N12" s="1013"/>
      <c r="O12" s="982">
        <f>SUM(I12:N12)</f>
        <v>728836</v>
      </c>
      <c r="P12" s="763">
        <v>4397322</v>
      </c>
      <c r="Q12" s="1022"/>
    </row>
    <row r="13" spans="1:261" s="991" customFormat="1" ht="18" customHeight="1" x14ac:dyDescent="0.35">
      <c r="A13" s="773">
        <v>4</v>
      </c>
      <c r="B13" s="983"/>
      <c r="C13" s="984"/>
      <c r="D13" s="576" t="s">
        <v>1158</v>
      </c>
      <c r="E13" s="430"/>
      <c r="F13" s="762"/>
      <c r="G13" s="431"/>
      <c r="H13" s="1000"/>
      <c r="I13" s="1017"/>
      <c r="J13" s="1013"/>
      <c r="K13" s="1524">
        <v>97709</v>
      </c>
      <c r="L13" s="1524"/>
      <c r="M13" s="1524">
        <v>4221767</v>
      </c>
      <c r="N13" s="759"/>
      <c r="O13" s="767">
        <f>SUM(I13:N13)</f>
        <v>4319476</v>
      </c>
      <c r="P13" s="763"/>
      <c r="Q13" s="1022"/>
    </row>
    <row r="14" spans="1:261" s="991" customFormat="1" ht="18" customHeight="1" x14ac:dyDescent="0.35">
      <c r="A14" s="773">
        <v>5</v>
      </c>
      <c r="B14" s="983"/>
      <c r="C14" s="984"/>
      <c r="D14" s="1318" t="s">
        <v>969</v>
      </c>
      <c r="E14" s="430"/>
      <c r="F14" s="762"/>
      <c r="G14" s="431"/>
      <c r="H14" s="1000"/>
      <c r="I14" s="995"/>
      <c r="J14" s="759"/>
      <c r="K14" s="1771"/>
      <c r="L14" s="1771"/>
      <c r="M14" s="1771"/>
      <c r="N14" s="759"/>
      <c r="O14" s="767">
        <f>SUM(I14:N14)</f>
        <v>0</v>
      </c>
      <c r="P14" s="763"/>
      <c r="Q14" s="1022"/>
    </row>
    <row r="15" spans="1:261" s="991" customFormat="1" ht="18" customHeight="1" x14ac:dyDescent="0.35">
      <c r="A15" s="773">
        <v>6</v>
      </c>
      <c r="B15" s="983"/>
      <c r="C15" s="984"/>
      <c r="D15" s="576" t="s">
        <v>1250</v>
      </c>
      <c r="E15" s="430"/>
      <c r="F15" s="762"/>
      <c r="G15" s="431"/>
      <c r="H15" s="1000"/>
      <c r="I15" s="995"/>
      <c r="J15" s="759"/>
      <c r="K15" s="1524">
        <f>SUM(K13:K14)</f>
        <v>97709</v>
      </c>
      <c r="L15" s="1524"/>
      <c r="M15" s="1524">
        <f t="shared" ref="M15" si="0">SUM(M13:M14)</f>
        <v>4221767</v>
      </c>
      <c r="N15" s="759"/>
      <c r="O15" s="767">
        <f>SUM(I15:N15)</f>
        <v>4319476</v>
      </c>
      <c r="P15" s="763"/>
      <c r="Q15" s="1022"/>
    </row>
    <row r="16" spans="1:261" s="758" customFormat="1" ht="22.5" customHeight="1" x14ac:dyDescent="0.35">
      <c r="A16" s="773">
        <v>7</v>
      </c>
      <c r="B16" s="766"/>
      <c r="C16" s="464">
        <v>2</v>
      </c>
      <c r="D16" s="761" t="s">
        <v>693</v>
      </c>
      <c r="E16" s="430"/>
      <c r="F16" s="762"/>
      <c r="G16" s="431"/>
      <c r="H16" s="999" t="s">
        <v>24</v>
      </c>
      <c r="I16" s="1017"/>
      <c r="J16" s="1013"/>
      <c r="K16" s="1013"/>
      <c r="L16" s="1013"/>
      <c r="M16" s="1013"/>
      <c r="N16" s="1013"/>
      <c r="O16" s="767"/>
      <c r="P16" s="763"/>
      <c r="Q16" s="418"/>
      <c r="R16" s="418"/>
      <c r="S16" s="418"/>
      <c r="T16" s="418"/>
      <c r="U16" s="418"/>
      <c r="V16" s="418"/>
      <c r="W16" s="418"/>
      <c r="X16" s="418"/>
      <c r="Y16" s="418"/>
      <c r="Z16" s="418"/>
      <c r="AA16" s="418"/>
      <c r="AB16" s="418"/>
      <c r="AC16" s="418"/>
      <c r="AD16" s="418"/>
      <c r="AE16" s="418"/>
      <c r="AF16" s="418"/>
      <c r="AG16" s="418"/>
      <c r="AH16" s="418"/>
      <c r="AI16" s="418"/>
      <c r="AJ16" s="418"/>
      <c r="AK16" s="418"/>
      <c r="AL16" s="418"/>
      <c r="AM16" s="418"/>
      <c r="AN16" s="418"/>
      <c r="AO16" s="418"/>
      <c r="AP16" s="418"/>
      <c r="AQ16" s="418"/>
      <c r="AR16" s="418"/>
      <c r="AS16" s="418"/>
      <c r="AT16" s="418"/>
      <c r="AU16" s="418"/>
      <c r="AV16" s="418"/>
      <c r="AW16" s="418"/>
      <c r="AX16" s="418"/>
      <c r="AY16" s="418"/>
      <c r="AZ16" s="418"/>
      <c r="BA16" s="418"/>
      <c r="BB16" s="418"/>
      <c r="BC16" s="418"/>
      <c r="BD16" s="418"/>
      <c r="BE16" s="418"/>
      <c r="BF16" s="418"/>
      <c r="BG16" s="418"/>
      <c r="BH16" s="418"/>
      <c r="BI16" s="418"/>
      <c r="BJ16" s="418"/>
      <c r="BK16" s="418"/>
      <c r="BL16" s="418"/>
      <c r="BM16" s="418"/>
      <c r="BN16" s="418"/>
      <c r="BO16" s="418"/>
      <c r="BP16" s="418"/>
      <c r="BQ16" s="418"/>
      <c r="BR16" s="418"/>
      <c r="BS16" s="418"/>
      <c r="BT16" s="418"/>
      <c r="BU16" s="418"/>
      <c r="BV16" s="418"/>
      <c r="BW16" s="418"/>
      <c r="BX16" s="418"/>
      <c r="BY16" s="418"/>
      <c r="BZ16" s="418"/>
      <c r="CA16" s="418"/>
      <c r="CB16" s="418"/>
      <c r="CC16" s="418"/>
      <c r="CD16" s="418"/>
      <c r="CE16" s="418"/>
      <c r="CF16" s="418"/>
      <c r="CG16" s="418"/>
      <c r="CH16" s="418"/>
      <c r="CI16" s="418"/>
      <c r="CJ16" s="418"/>
      <c r="CK16" s="418"/>
      <c r="CL16" s="418"/>
      <c r="CM16" s="418"/>
      <c r="CN16" s="418"/>
      <c r="CO16" s="418"/>
      <c r="CP16" s="418"/>
      <c r="CQ16" s="418"/>
      <c r="CR16" s="418"/>
      <c r="CS16" s="418"/>
      <c r="CT16" s="418"/>
      <c r="CU16" s="418"/>
      <c r="CV16" s="418"/>
      <c r="CW16" s="418"/>
      <c r="CX16" s="418"/>
      <c r="CY16" s="418"/>
      <c r="CZ16" s="418"/>
      <c r="DA16" s="418"/>
      <c r="DB16" s="418"/>
      <c r="DC16" s="418"/>
      <c r="DD16" s="418"/>
      <c r="DE16" s="418"/>
      <c r="DF16" s="418"/>
      <c r="DG16" s="418"/>
      <c r="DH16" s="418"/>
      <c r="DI16" s="418"/>
      <c r="DJ16" s="418"/>
      <c r="DK16" s="418"/>
      <c r="DL16" s="418"/>
      <c r="DM16" s="418"/>
      <c r="DN16" s="418"/>
      <c r="DO16" s="418"/>
      <c r="DP16" s="418"/>
      <c r="DQ16" s="418"/>
      <c r="DR16" s="418"/>
      <c r="DS16" s="418"/>
      <c r="DT16" s="418"/>
      <c r="DU16" s="418"/>
      <c r="DV16" s="418"/>
      <c r="DW16" s="418"/>
      <c r="DX16" s="418"/>
      <c r="DY16" s="418"/>
      <c r="DZ16" s="418"/>
      <c r="EA16" s="418"/>
      <c r="EB16" s="418"/>
      <c r="EC16" s="418"/>
      <c r="ED16" s="418"/>
      <c r="EE16" s="418"/>
      <c r="EF16" s="418"/>
      <c r="EG16" s="418"/>
      <c r="EH16" s="418"/>
      <c r="EI16" s="418"/>
      <c r="EJ16" s="418"/>
      <c r="EK16" s="418"/>
      <c r="EL16" s="418"/>
      <c r="EM16" s="418"/>
      <c r="EN16" s="418"/>
      <c r="EO16" s="418"/>
      <c r="EP16" s="418"/>
      <c r="EQ16" s="418"/>
      <c r="ER16" s="418"/>
      <c r="ES16" s="418"/>
      <c r="ET16" s="418"/>
      <c r="EU16" s="418"/>
      <c r="EV16" s="418"/>
      <c r="EW16" s="418"/>
      <c r="EX16" s="418"/>
      <c r="EY16" s="418"/>
      <c r="EZ16" s="418"/>
      <c r="FA16" s="418"/>
      <c r="FB16" s="418"/>
      <c r="FC16" s="418"/>
      <c r="FD16" s="418"/>
      <c r="FE16" s="418"/>
      <c r="FF16" s="418"/>
      <c r="FG16" s="418"/>
      <c r="FH16" s="418"/>
      <c r="FI16" s="418"/>
      <c r="FJ16" s="418"/>
      <c r="FK16" s="418"/>
      <c r="FL16" s="418"/>
      <c r="FM16" s="418"/>
      <c r="FN16" s="418"/>
      <c r="FO16" s="418"/>
      <c r="FP16" s="418"/>
      <c r="FQ16" s="418"/>
      <c r="FR16" s="418"/>
      <c r="FS16" s="418"/>
      <c r="FT16" s="418"/>
      <c r="FU16" s="418"/>
      <c r="FV16" s="418"/>
      <c r="FW16" s="418"/>
      <c r="FX16" s="418"/>
      <c r="FY16" s="418"/>
      <c r="FZ16" s="418"/>
      <c r="GA16" s="418"/>
      <c r="GB16" s="418"/>
      <c r="GC16" s="418"/>
      <c r="GD16" s="418"/>
      <c r="GE16" s="418"/>
      <c r="GF16" s="418"/>
      <c r="GG16" s="418"/>
      <c r="GH16" s="418"/>
      <c r="GI16" s="418"/>
      <c r="GJ16" s="418"/>
      <c r="GK16" s="418"/>
      <c r="GL16" s="418"/>
      <c r="GM16" s="418"/>
      <c r="GN16" s="418"/>
      <c r="GO16" s="418"/>
      <c r="GP16" s="418"/>
      <c r="GQ16" s="418"/>
      <c r="GR16" s="418"/>
      <c r="GS16" s="418"/>
      <c r="GT16" s="418"/>
      <c r="GU16" s="418"/>
      <c r="GV16" s="418"/>
      <c r="GW16" s="418"/>
      <c r="GX16" s="418"/>
      <c r="GY16" s="418"/>
      <c r="GZ16" s="418"/>
      <c r="HA16" s="418"/>
      <c r="HB16" s="418"/>
      <c r="HC16" s="418"/>
      <c r="HD16" s="418"/>
      <c r="HE16" s="418"/>
      <c r="HF16" s="418"/>
      <c r="HG16" s="418"/>
      <c r="HH16" s="418"/>
      <c r="HI16" s="418"/>
      <c r="HJ16" s="418"/>
      <c r="HK16" s="418"/>
      <c r="HL16" s="418"/>
      <c r="HM16" s="418"/>
      <c r="HN16" s="418"/>
      <c r="HO16" s="418"/>
      <c r="HP16" s="418"/>
      <c r="HQ16" s="418"/>
      <c r="HR16" s="418"/>
      <c r="HS16" s="418"/>
      <c r="HT16" s="418"/>
      <c r="HU16" s="418"/>
      <c r="HV16" s="418"/>
      <c r="HW16" s="418"/>
      <c r="HX16" s="418"/>
      <c r="HY16" s="418"/>
      <c r="HZ16" s="418"/>
      <c r="IA16" s="418"/>
      <c r="IB16" s="418"/>
      <c r="IC16" s="418"/>
      <c r="ID16" s="418"/>
      <c r="IE16" s="418"/>
      <c r="IF16" s="418"/>
      <c r="IG16" s="418"/>
      <c r="IH16" s="418"/>
      <c r="II16" s="418"/>
      <c r="IJ16" s="418"/>
      <c r="IK16" s="418"/>
      <c r="IL16" s="418"/>
      <c r="IM16" s="418"/>
      <c r="IN16" s="418"/>
      <c r="IO16" s="418"/>
      <c r="IP16" s="418"/>
      <c r="IQ16" s="418"/>
      <c r="IR16" s="418"/>
      <c r="IS16" s="418"/>
      <c r="IT16" s="418"/>
      <c r="IU16" s="418"/>
      <c r="IV16" s="418"/>
      <c r="IW16" s="418"/>
      <c r="IX16" s="418"/>
      <c r="IY16" s="418"/>
      <c r="IZ16" s="418"/>
      <c r="JA16" s="418"/>
    </row>
    <row r="17" spans="1:261" s="991" customFormat="1" ht="18" customHeight="1" x14ac:dyDescent="0.35">
      <c r="A17" s="773">
        <v>8</v>
      </c>
      <c r="B17" s="983"/>
      <c r="C17" s="984"/>
      <c r="D17" s="985" t="s">
        <v>308</v>
      </c>
      <c r="E17" s="430">
        <f>F17+G17+O20+P17</f>
        <v>14460580</v>
      </c>
      <c r="F17" s="762">
        <v>324476</v>
      </c>
      <c r="G17" s="431">
        <f>2834+481562</f>
        <v>484396</v>
      </c>
      <c r="H17" s="1000"/>
      <c r="I17" s="1017"/>
      <c r="J17" s="1013"/>
      <c r="K17" s="1013">
        <v>499</v>
      </c>
      <c r="L17" s="1013"/>
      <c r="M17" s="1013">
        <v>3870629</v>
      </c>
      <c r="N17" s="1013"/>
      <c r="O17" s="982">
        <f>SUM(I17:N17)</f>
        <v>3871128</v>
      </c>
      <c r="P17" s="763">
        <v>9780580</v>
      </c>
      <c r="Q17" s="1022"/>
    </row>
    <row r="18" spans="1:261" s="991" customFormat="1" ht="18" customHeight="1" x14ac:dyDescent="0.35">
      <c r="A18" s="773">
        <v>9</v>
      </c>
      <c r="B18" s="983"/>
      <c r="C18" s="984"/>
      <c r="D18" s="576" t="s">
        <v>1158</v>
      </c>
      <c r="E18" s="430"/>
      <c r="F18" s="762"/>
      <c r="G18" s="431"/>
      <c r="H18" s="1000"/>
      <c r="I18" s="1017"/>
      <c r="J18" s="1013"/>
      <c r="K18" s="1524">
        <v>5715</v>
      </c>
      <c r="L18" s="1524"/>
      <c r="M18" s="1524">
        <v>3865413</v>
      </c>
      <c r="N18" s="1013"/>
      <c r="O18" s="982">
        <f>SUM(I18:N18)</f>
        <v>3871128</v>
      </c>
      <c r="P18" s="763"/>
      <c r="Q18" s="1022"/>
    </row>
    <row r="19" spans="1:261" s="991" customFormat="1" ht="18" customHeight="1" x14ac:dyDescent="0.35">
      <c r="A19" s="773">
        <v>10</v>
      </c>
      <c r="B19" s="983"/>
      <c r="C19" s="984"/>
      <c r="D19" s="1318" t="s">
        <v>970</v>
      </c>
      <c r="E19" s="430"/>
      <c r="F19" s="762"/>
      <c r="G19" s="431"/>
      <c r="H19" s="1000"/>
      <c r="I19" s="995"/>
      <c r="J19" s="759"/>
      <c r="K19" s="1771">
        <v>311</v>
      </c>
      <c r="L19" s="1771"/>
      <c r="M19" s="1771">
        <v>-311</v>
      </c>
      <c r="N19" s="759"/>
      <c r="O19" s="767">
        <f>SUM(I19:N19)</f>
        <v>0</v>
      </c>
      <c r="P19" s="763"/>
      <c r="Q19" s="1022"/>
    </row>
    <row r="20" spans="1:261" s="991" customFormat="1" ht="18" customHeight="1" x14ac:dyDescent="0.35">
      <c r="A20" s="773">
        <v>11</v>
      </c>
      <c r="B20" s="983"/>
      <c r="C20" s="984"/>
      <c r="D20" s="576" t="s">
        <v>1250</v>
      </c>
      <c r="E20" s="430"/>
      <c r="F20" s="762"/>
      <c r="G20" s="431"/>
      <c r="H20" s="1000"/>
      <c r="I20" s="995"/>
      <c r="J20" s="759"/>
      <c r="K20" s="1524">
        <f>SUM(K18:K19)</f>
        <v>6026</v>
      </c>
      <c r="L20" s="1524"/>
      <c r="M20" s="1524">
        <f>SUM(M18:M19)</f>
        <v>3865102</v>
      </c>
      <c r="N20" s="759"/>
      <c r="O20" s="767">
        <f>SUM(I20:N20)</f>
        <v>3871128</v>
      </c>
      <c r="P20" s="763"/>
      <c r="Q20" s="1022"/>
    </row>
    <row r="21" spans="1:261" s="758" customFormat="1" ht="22.5" customHeight="1" x14ac:dyDescent="0.35">
      <c r="A21" s="773">
        <v>12</v>
      </c>
      <c r="B21" s="766"/>
      <c r="C21" s="420">
        <v>3</v>
      </c>
      <c r="D21" s="1253" t="s">
        <v>694</v>
      </c>
      <c r="E21" s="430"/>
      <c r="F21" s="762"/>
      <c r="G21" s="431"/>
      <c r="H21" s="999" t="s">
        <v>24</v>
      </c>
      <c r="I21" s="1017"/>
      <c r="J21" s="1013"/>
      <c r="K21" s="1013"/>
      <c r="L21" s="1013"/>
      <c r="M21" s="1013"/>
      <c r="N21" s="1013"/>
      <c r="O21" s="767"/>
      <c r="P21" s="763"/>
      <c r="Q21" s="418"/>
      <c r="R21" s="418"/>
      <c r="S21" s="418"/>
      <c r="T21" s="418"/>
      <c r="U21" s="418"/>
      <c r="V21" s="418"/>
      <c r="W21" s="418"/>
      <c r="X21" s="418"/>
      <c r="Y21" s="418"/>
      <c r="Z21" s="418"/>
      <c r="AA21" s="418"/>
      <c r="AB21" s="418"/>
      <c r="AC21" s="418"/>
      <c r="AD21" s="418"/>
      <c r="AE21" s="418"/>
      <c r="AF21" s="418"/>
      <c r="AG21" s="418"/>
      <c r="AH21" s="418"/>
      <c r="AI21" s="418"/>
      <c r="AJ21" s="418"/>
      <c r="AK21" s="418"/>
      <c r="AL21" s="418"/>
      <c r="AM21" s="418"/>
      <c r="AN21" s="418"/>
      <c r="AO21" s="418"/>
      <c r="AP21" s="418"/>
      <c r="AQ21" s="418"/>
      <c r="AR21" s="418"/>
      <c r="AS21" s="418"/>
      <c r="AT21" s="418"/>
      <c r="AU21" s="418"/>
      <c r="AV21" s="418"/>
      <c r="AW21" s="418"/>
      <c r="AX21" s="418"/>
      <c r="AY21" s="418"/>
      <c r="AZ21" s="418"/>
      <c r="BA21" s="418"/>
      <c r="BB21" s="418"/>
      <c r="BC21" s="418"/>
      <c r="BD21" s="418"/>
      <c r="BE21" s="418"/>
      <c r="BF21" s="418"/>
      <c r="BG21" s="418"/>
      <c r="BH21" s="418"/>
      <c r="BI21" s="418"/>
      <c r="BJ21" s="418"/>
      <c r="BK21" s="418"/>
      <c r="BL21" s="418"/>
      <c r="BM21" s="418"/>
      <c r="BN21" s="418"/>
      <c r="BO21" s="418"/>
      <c r="BP21" s="418"/>
      <c r="BQ21" s="418"/>
      <c r="BR21" s="418"/>
      <c r="BS21" s="418"/>
      <c r="BT21" s="418"/>
      <c r="BU21" s="418"/>
      <c r="BV21" s="418"/>
      <c r="BW21" s="418"/>
      <c r="BX21" s="418"/>
      <c r="BY21" s="418"/>
      <c r="BZ21" s="418"/>
      <c r="CA21" s="418"/>
      <c r="CB21" s="418"/>
      <c r="CC21" s="418"/>
      <c r="CD21" s="418"/>
      <c r="CE21" s="418"/>
      <c r="CF21" s="418"/>
      <c r="CG21" s="418"/>
      <c r="CH21" s="418"/>
      <c r="CI21" s="418"/>
      <c r="CJ21" s="418"/>
      <c r="CK21" s="418"/>
      <c r="CL21" s="418"/>
      <c r="CM21" s="418"/>
      <c r="CN21" s="418"/>
      <c r="CO21" s="418"/>
      <c r="CP21" s="418"/>
      <c r="CQ21" s="418"/>
      <c r="CR21" s="418"/>
      <c r="CS21" s="418"/>
      <c r="CT21" s="418"/>
      <c r="CU21" s="418"/>
      <c r="CV21" s="418"/>
      <c r="CW21" s="418"/>
      <c r="CX21" s="418"/>
      <c r="CY21" s="418"/>
      <c r="CZ21" s="418"/>
      <c r="DA21" s="418"/>
      <c r="DB21" s="418"/>
      <c r="DC21" s="418"/>
      <c r="DD21" s="418"/>
      <c r="DE21" s="418"/>
      <c r="DF21" s="418"/>
      <c r="DG21" s="418"/>
      <c r="DH21" s="418"/>
      <c r="DI21" s="418"/>
      <c r="DJ21" s="418"/>
      <c r="DK21" s="418"/>
      <c r="DL21" s="418"/>
      <c r="DM21" s="418"/>
      <c r="DN21" s="418"/>
      <c r="DO21" s="418"/>
      <c r="DP21" s="418"/>
      <c r="DQ21" s="418"/>
      <c r="DR21" s="418"/>
      <c r="DS21" s="418"/>
      <c r="DT21" s="418"/>
      <c r="DU21" s="418"/>
      <c r="DV21" s="418"/>
      <c r="DW21" s="418"/>
      <c r="DX21" s="418"/>
      <c r="DY21" s="418"/>
      <c r="DZ21" s="418"/>
      <c r="EA21" s="418"/>
      <c r="EB21" s="418"/>
      <c r="EC21" s="418"/>
      <c r="ED21" s="418"/>
      <c r="EE21" s="418"/>
      <c r="EF21" s="418"/>
      <c r="EG21" s="418"/>
      <c r="EH21" s="418"/>
      <c r="EI21" s="418"/>
      <c r="EJ21" s="418"/>
      <c r="EK21" s="418"/>
      <c r="EL21" s="418"/>
      <c r="EM21" s="418"/>
      <c r="EN21" s="418"/>
      <c r="EO21" s="418"/>
      <c r="EP21" s="418"/>
      <c r="EQ21" s="418"/>
      <c r="ER21" s="418"/>
      <c r="ES21" s="418"/>
      <c r="ET21" s="418"/>
      <c r="EU21" s="418"/>
      <c r="EV21" s="418"/>
      <c r="EW21" s="418"/>
      <c r="EX21" s="418"/>
      <c r="EY21" s="418"/>
      <c r="EZ21" s="418"/>
      <c r="FA21" s="418"/>
      <c r="FB21" s="418"/>
      <c r="FC21" s="418"/>
      <c r="FD21" s="418"/>
      <c r="FE21" s="418"/>
      <c r="FF21" s="418"/>
      <c r="FG21" s="418"/>
      <c r="FH21" s="418"/>
      <c r="FI21" s="418"/>
      <c r="FJ21" s="418"/>
      <c r="FK21" s="418"/>
      <c r="FL21" s="418"/>
      <c r="FM21" s="418"/>
      <c r="FN21" s="418"/>
      <c r="FO21" s="418"/>
      <c r="FP21" s="418"/>
      <c r="FQ21" s="418"/>
      <c r="FR21" s="418"/>
      <c r="FS21" s="418"/>
      <c r="FT21" s="418"/>
      <c r="FU21" s="418"/>
      <c r="FV21" s="418"/>
      <c r="FW21" s="418"/>
      <c r="FX21" s="418"/>
      <c r="FY21" s="418"/>
      <c r="FZ21" s="418"/>
      <c r="GA21" s="418"/>
      <c r="GB21" s="418"/>
      <c r="GC21" s="418"/>
      <c r="GD21" s="418"/>
      <c r="GE21" s="418"/>
      <c r="GF21" s="418"/>
      <c r="GG21" s="418"/>
      <c r="GH21" s="418"/>
      <c r="GI21" s="418"/>
      <c r="GJ21" s="418"/>
      <c r="GK21" s="418"/>
      <c r="GL21" s="418"/>
      <c r="GM21" s="418"/>
      <c r="GN21" s="418"/>
      <c r="GO21" s="418"/>
      <c r="GP21" s="418"/>
      <c r="GQ21" s="418"/>
      <c r="GR21" s="418"/>
      <c r="GS21" s="418"/>
      <c r="GT21" s="418"/>
      <c r="GU21" s="418"/>
      <c r="GV21" s="418"/>
      <c r="GW21" s="418"/>
      <c r="GX21" s="418"/>
      <c r="GY21" s="418"/>
      <c r="GZ21" s="418"/>
      <c r="HA21" s="418"/>
      <c r="HB21" s="418"/>
      <c r="HC21" s="418"/>
      <c r="HD21" s="418"/>
      <c r="HE21" s="418"/>
      <c r="HF21" s="418"/>
      <c r="HG21" s="418"/>
      <c r="HH21" s="418"/>
      <c r="HI21" s="418"/>
      <c r="HJ21" s="418"/>
      <c r="HK21" s="418"/>
      <c r="HL21" s="418"/>
      <c r="HM21" s="418"/>
      <c r="HN21" s="418"/>
      <c r="HO21" s="418"/>
      <c r="HP21" s="418"/>
      <c r="HQ21" s="418"/>
      <c r="HR21" s="418"/>
      <c r="HS21" s="418"/>
      <c r="HT21" s="418"/>
      <c r="HU21" s="418"/>
      <c r="HV21" s="418"/>
      <c r="HW21" s="418"/>
      <c r="HX21" s="418"/>
      <c r="HY21" s="418"/>
      <c r="HZ21" s="418"/>
      <c r="IA21" s="418"/>
      <c r="IB21" s="418"/>
      <c r="IC21" s="418"/>
      <c r="ID21" s="418"/>
      <c r="IE21" s="418"/>
      <c r="IF21" s="418"/>
      <c r="IG21" s="418"/>
      <c r="IH21" s="418"/>
      <c r="II21" s="418"/>
      <c r="IJ21" s="418"/>
      <c r="IK21" s="418"/>
      <c r="IL21" s="418"/>
      <c r="IM21" s="418"/>
      <c r="IN21" s="418"/>
      <c r="IO21" s="418"/>
      <c r="IP21" s="418"/>
      <c r="IQ21" s="418"/>
      <c r="IR21" s="418"/>
      <c r="IS21" s="418"/>
      <c r="IT21" s="418"/>
      <c r="IU21" s="418"/>
      <c r="IV21" s="418"/>
      <c r="IW21" s="418"/>
      <c r="IX21" s="418"/>
      <c r="IY21" s="418"/>
      <c r="IZ21" s="418"/>
      <c r="JA21" s="418"/>
    </row>
    <row r="22" spans="1:261" s="991" customFormat="1" ht="18" customHeight="1" x14ac:dyDescent="0.35">
      <c r="A22" s="773">
        <v>13</v>
      </c>
      <c r="B22" s="983"/>
      <c r="C22" s="984"/>
      <c r="D22" s="985" t="s">
        <v>308</v>
      </c>
      <c r="E22" s="430">
        <f>F22+G22+O25+P22</f>
        <v>1793189</v>
      </c>
      <c r="F22" s="762">
        <v>1281902</v>
      </c>
      <c r="G22" s="431">
        <f>1692</f>
        <v>1692</v>
      </c>
      <c r="H22" s="1000"/>
      <c r="I22" s="1017"/>
      <c r="J22" s="1013"/>
      <c r="K22" s="1013">
        <v>658</v>
      </c>
      <c r="L22" s="1013"/>
      <c r="M22" s="1013">
        <f>371256+137681</f>
        <v>508937</v>
      </c>
      <c r="N22" s="1013"/>
      <c r="O22" s="982">
        <f>SUM(I22:N22)</f>
        <v>509595</v>
      </c>
      <c r="P22" s="763"/>
      <c r="Q22" s="1022"/>
    </row>
    <row r="23" spans="1:261" s="991" customFormat="1" ht="18" customHeight="1" x14ac:dyDescent="0.35">
      <c r="A23" s="773">
        <v>14</v>
      </c>
      <c r="B23" s="983"/>
      <c r="C23" s="984"/>
      <c r="D23" s="576" t="s">
        <v>1158</v>
      </c>
      <c r="E23" s="430"/>
      <c r="F23" s="762"/>
      <c r="G23" s="431"/>
      <c r="H23" s="1000"/>
      <c r="I23" s="1017"/>
      <c r="J23" s="1013"/>
      <c r="K23" s="1524">
        <v>658</v>
      </c>
      <c r="L23" s="1524"/>
      <c r="M23" s="1524">
        <v>508937</v>
      </c>
      <c r="N23" s="759"/>
      <c r="O23" s="767">
        <f>SUM(I23:N23)</f>
        <v>509595</v>
      </c>
      <c r="P23" s="763"/>
      <c r="Q23" s="1022"/>
    </row>
    <row r="24" spans="1:261" s="991" customFormat="1" ht="18" customHeight="1" x14ac:dyDescent="0.35">
      <c r="A24" s="773">
        <v>15</v>
      </c>
      <c r="B24" s="983"/>
      <c r="C24" s="984"/>
      <c r="D24" s="1318" t="s">
        <v>947</v>
      </c>
      <c r="E24" s="430"/>
      <c r="F24" s="762"/>
      <c r="G24" s="431"/>
      <c r="H24" s="1000"/>
      <c r="I24" s="995"/>
      <c r="J24" s="759"/>
      <c r="K24" s="759"/>
      <c r="L24" s="759"/>
      <c r="M24" s="759"/>
      <c r="N24" s="759"/>
      <c r="O24" s="767">
        <f>SUM(I24:N24)</f>
        <v>0</v>
      </c>
      <c r="P24" s="763"/>
      <c r="Q24" s="1022"/>
    </row>
    <row r="25" spans="1:261" s="991" customFormat="1" ht="18" customHeight="1" x14ac:dyDescent="0.35">
      <c r="A25" s="773">
        <v>16</v>
      </c>
      <c r="B25" s="983"/>
      <c r="C25" s="984"/>
      <c r="D25" s="576" t="s">
        <v>1250</v>
      </c>
      <c r="E25" s="430"/>
      <c r="F25" s="762"/>
      <c r="G25" s="431"/>
      <c r="H25" s="1000"/>
      <c r="I25" s="995"/>
      <c r="J25" s="759"/>
      <c r="K25" s="1524">
        <f>SUM(K23:K24)</f>
        <v>658</v>
      </c>
      <c r="L25" s="1524"/>
      <c r="M25" s="1524">
        <f>SUM(M23:M24)</f>
        <v>508937</v>
      </c>
      <c r="N25" s="759"/>
      <c r="O25" s="767">
        <f>SUM(I25:N25)</f>
        <v>509595</v>
      </c>
      <c r="P25" s="763"/>
      <c r="Q25" s="1022"/>
    </row>
    <row r="26" spans="1:261" s="758" customFormat="1" ht="49.5" customHeight="1" x14ac:dyDescent="0.35">
      <c r="A26" s="773">
        <v>17</v>
      </c>
      <c r="B26" s="766"/>
      <c r="C26" s="420">
        <v>4</v>
      </c>
      <c r="D26" s="2135" t="s">
        <v>695</v>
      </c>
      <c r="E26" s="430"/>
      <c r="F26" s="762"/>
      <c r="G26" s="431"/>
      <c r="H26" s="999" t="s">
        <v>24</v>
      </c>
      <c r="I26" s="1017"/>
      <c r="J26" s="1013"/>
      <c r="K26" s="1013"/>
      <c r="L26" s="1013"/>
      <c r="M26" s="1013"/>
      <c r="N26" s="1013"/>
      <c r="O26" s="767"/>
      <c r="P26" s="763"/>
      <c r="Q26" s="418"/>
      <c r="R26" s="418"/>
      <c r="S26" s="418"/>
      <c r="T26" s="418"/>
      <c r="U26" s="418"/>
      <c r="V26" s="418"/>
      <c r="W26" s="418"/>
      <c r="X26" s="418"/>
      <c r="Y26" s="418"/>
      <c r="Z26" s="418"/>
      <c r="AA26" s="418"/>
      <c r="AB26" s="418"/>
      <c r="AC26" s="418"/>
      <c r="AD26" s="418"/>
      <c r="AE26" s="418"/>
      <c r="AF26" s="418"/>
      <c r="AG26" s="418"/>
      <c r="AH26" s="418"/>
      <c r="AI26" s="418"/>
      <c r="AJ26" s="418"/>
      <c r="AK26" s="418"/>
      <c r="AL26" s="418"/>
      <c r="AM26" s="418"/>
      <c r="AN26" s="418"/>
      <c r="AO26" s="418"/>
      <c r="AP26" s="418"/>
      <c r="AQ26" s="418"/>
      <c r="AR26" s="418"/>
      <c r="AS26" s="418"/>
      <c r="AT26" s="418"/>
      <c r="AU26" s="418"/>
      <c r="AV26" s="418"/>
      <c r="AW26" s="418"/>
      <c r="AX26" s="418"/>
      <c r="AY26" s="418"/>
      <c r="AZ26" s="418"/>
      <c r="BA26" s="418"/>
      <c r="BB26" s="418"/>
      <c r="BC26" s="418"/>
      <c r="BD26" s="418"/>
      <c r="BE26" s="418"/>
      <c r="BF26" s="418"/>
      <c r="BG26" s="418"/>
      <c r="BH26" s="418"/>
      <c r="BI26" s="418"/>
      <c r="BJ26" s="418"/>
      <c r="BK26" s="418"/>
      <c r="BL26" s="418"/>
      <c r="BM26" s="418"/>
      <c r="BN26" s="418"/>
      <c r="BO26" s="418"/>
      <c r="BP26" s="418"/>
      <c r="BQ26" s="418"/>
      <c r="BR26" s="418"/>
      <c r="BS26" s="418"/>
      <c r="BT26" s="418"/>
      <c r="BU26" s="418"/>
      <c r="BV26" s="418"/>
      <c r="BW26" s="418"/>
      <c r="BX26" s="418"/>
      <c r="BY26" s="418"/>
      <c r="BZ26" s="418"/>
      <c r="CA26" s="418"/>
      <c r="CB26" s="418"/>
      <c r="CC26" s="418"/>
      <c r="CD26" s="418"/>
      <c r="CE26" s="418"/>
      <c r="CF26" s="418"/>
      <c r="CG26" s="418"/>
      <c r="CH26" s="418"/>
      <c r="CI26" s="418"/>
      <c r="CJ26" s="418"/>
      <c r="CK26" s="418"/>
      <c r="CL26" s="418"/>
      <c r="CM26" s="418"/>
      <c r="CN26" s="418"/>
      <c r="CO26" s="418"/>
      <c r="CP26" s="418"/>
      <c r="CQ26" s="418"/>
      <c r="CR26" s="418"/>
      <c r="CS26" s="418"/>
      <c r="CT26" s="418"/>
      <c r="CU26" s="418"/>
      <c r="CV26" s="418"/>
      <c r="CW26" s="418"/>
      <c r="CX26" s="418"/>
      <c r="CY26" s="418"/>
      <c r="CZ26" s="418"/>
      <c r="DA26" s="418"/>
      <c r="DB26" s="418"/>
      <c r="DC26" s="418"/>
      <c r="DD26" s="418"/>
      <c r="DE26" s="418"/>
      <c r="DF26" s="418"/>
      <c r="DG26" s="418"/>
      <c r="DH26" s="418"/>
      <c r="DI26" s="418"/>
      <c r="DJ26" s="418"/>
      <c r="DK26" s="418"/>
      <c r="DL26" s="418"/>
      <c r="DM26" s="418"/>
      <c r="DN26" s="418"/>
      <c r="DO26" s="418"/>
      <c r="DP26" s="418"/>
      <c r="DQ26" s="418"/>
      <c r="DR26" s="418"/>
      <c r="DS26" s="418"/>
      <c r="DT26" s="418"/>
      <c r="DU26" s="418"/>
      <c r="DV26" s="418"/>
      <c r="DW26" s="418"/>
      <c r="DX26" s="418"/>
      <c r="DY26" s="418"/>
      <c r="DZ26" s="418"/>
      <c r="EA26" s="418"/>
      <c r="EB26" s="418"/>
      <c r="EC26" s="418"/>
      <c r="ED26" s="418"/>
      <c r="EE26" s="418"/>
      <c r="EF26" s="418"/>
      <c r="EG26" s="418"/>
      <c r="EH26" s="418"/>
      <c r="EI26" s="418"/>
      <c r="EJ26" s="418"/>
      <c r="EK26" s="418"/>
      <c r="EL26" s="418"/>
      <c r="EM26" s="418"/>
      <c r="EN26" s="418"/>
      <c r="EO26" s="418"/>
      <c r="EP26" s="418"/>
      <c r="EQ26" s="418"/>
      <c r="ER26" s="418"/>
      <c r="ES26" s="418"/>
      <c r="ET26" s="418"/>
      <c r="EU26" s="418"/>
      <c r="EV26" s="418"/>
      <c r="EW26" s="418"/>
      <c r="EX26" s="418"/>
      <c r="EY26" s="418"/>
      <c r="EZ26" s="418"/>
      <c r="FA26" s="418"/>
      <c r="FB26" s="418"/>
      <c r="FC26" s="418"/>
      <c r="FD26" s="418"/>
      <c r="FE26" s="418"/>
      <c r="FF26" s="418"/>
      <c r="FG26" s="418"/>
      <c r="FH26" s="418"/>
      <c r="FI26" s="418"/>
      <c r="FJ26" s="418"/>
      <c r="FK26" s="418"/>
      <c r="FL26" s="418"/>
      <c r="FM26" s="418"/>
      <c r="FN26" s="418"/>
      <c r="FO26" s="418"/>
      <c r="FP26" s="418"/>
      <c r="FQ26" s="418"/>
      <c r="FR26" s="418"/>
      <c r="FS26" s="418"/>
      <c r="FT26" s="418"/>
      <c r="FU26" s="418"/>
      <c r="FV26" s="418"/>
      <c r="FW26" s="418"/>
      <c r="FX26" s="418"/>
      <c r="FY26" s="418"/>
      <c r="FZ26" s="418"/>
      <c r="GA26" s="418"/>
      <c r="GB26" s="418"/>
      <c r="GC26" s="418"/>
      <c r="GD26" s="418"/>
      <c r="GE26" s="418"/>
      <c r="GF26" s="418"/>
      <c r="GG26" s="418"/>
      <c r="GH26" s="418"/>
      <c r="GI26" s="418"/>
      <c r="GJ26" s="418"/>
      <c r="GK26" s="418"/>
      <c r="GL26" s="418"/>
      <c r="GM26" s="418"/>
      <c r="GN26" s="418"/>
      <c r="GO26" s="418"/>
      <c r="GP26" s="418"/>
      <c r="GQ26" s="418"/>
      <c r="GR26" s="418"/>
      <c r="GS26" s="418"/>
      <c r="GT26" s="418"/>
      <c r="GU26" s="418"/>
      <c r="GV26" s="418"/>
      <c r="GW26" s="418"/>
      <c r="GX26" s="418"/>
      <c r="GY26" s="418"/>
      <c r="GZ26" s="418"/>
      <c r="HA26" s="418"/>
      <c r="HB26" s="418"/>
      <c r="HC26" s="418"/>
      <c r="HD26" s="418"/>
      <c r="HE26" s="418"/>
      <c r="HF26" s="418"/>
      <c r="HG26" s="418"/>
      <c r="HH26" s="418"/>
      <c r="HI26" s="418"/>
      <c r="HJ26" s="418"/>
      <c r="HK26" s="418"/>
      <c r="HL26" s="418"/>
      <c r="HM26" s="418"/>
      <c r="HN26" s="418"/>
      <c r="HO26" s="418"/>
      <c r="HP26" s="418"/>
      <c r="HQ26" s="418"/>
      <c r="HR26" s="418"/>
      <c r="HS26" s="418"/>
      <c r="HT26" s="418"/>
      <c r="HU26" s="418"/>
      <c r="HV26" s="418"/>
      <c r="HW26" s="418"/>
      <c r="HX26" s="418"/>
      <c r="HY26" s="418"/>
      <c r="HZ26" s="418"/>
      <c r="IA26" s="418"/>
      <c r="IB26" s="418"/>
      <c r="IC26" s="418"/>
      <c r="ID26" s="418"/>
      <c r="IE26" s="418"/>
      <c r="IF26" s="418"/>
      <c r="IG26" s="418"/>
      <c r="IH26" s="418"/>
      <c r="II26" s="418"/>
      <c r="IJ26" s="418"/>
      <c r="IK26" s="418"/>
      <c r="IL26" s="418"/>
      <c r="IM26" s="418"/>
      <c r="IN26" s="418"/>
      <c r="IO26" s="418"/>
      <c r="IP26" s="418"/>
      <c r="IQ26" s="418"/>
      <c r="IR26" s="418"/>
      <c r="IS26" s="418"/>
      <c r="IT26" s="418"/>
      <c r="IU26" s="418"/>
      <c r="IV26" s="418"/>
      <c r="IW26" s="418"/>
      <c r="IX26" s="418"/>
      <c r="IY26" s="418"/>
      <c r="IZ26" s="418"/>
      <c r="JA26" s="418"/>
    </row>
    <row r="27" spans="1:261" s="991" customFormat="1" ht="18" customHeight="1" x14ac:dyDescent="0.35">
      <c r="A27" s="773">
        <v>18</v>
      </c>
      <c r="B27" s="983"/>
      <c r="C27" s="984"/>
      <c r="D27" s="992" t="s">
        <v>308</v>
      </c>
      <c r="E27" s="430">
        <f>F27+G27+O30+P27</f>
        <v>1658925</v>
      </c>
      <c r="F27" s="762">
        <v>7043</v>
      </c>
      <c r="G27" s="431">
        <f>15189+980</f>
        <v>16169</v>
      </c>
      <c r="H27" s="1000"/>
      <c r="I27" s="1017"/>
      <c r="J27" s="1013"/>
      <c r="K27" s="1013"/>
      <c r="L27" s="1013"/>
      <c r="M27" s="1013">
        <f>78617+738788</f>
        <v>817405</v>
      </c>
      <c r="N27" s="1013"/>
      <c r="O27" s="982">
        <f>SUM(I27:N27)</f>
        <v>817405</v>
      </c>
      <c r="P27" s="763">
        <f>818308</f>
        <v>818308</v>
      </c>
      <c r="Q27" s="1022"/>
    </row>
    <row r="28" spans="1:261" s="991" customFormat="1" ht="18" customHeight="1" x14ac:dyDescent="0.35">
      <c r="A28" s="773">
        <v>19</v>
      </c>
      <c r="B28" s="983"/>
      <c r="C28" s="984"/>
      <c r="D28" s="576" t="s">
        <v>1158</v>
      </c>
      <c r="E28" s="430"/>
      <c r="F28" s="762"/>
      <c r="G28" s="431"/>
      <c r="H28" s="1000"/>
      <c r="I28" s="1017"/>
      <c r="J28" s="1013"/>
      <c r="K28" s="1524">
        <v>15710</v>
      </c>
      <c r="L28" s="1013"/>
      <c r="M28" s="1524">
        <f>817405-15710</f>
        <v>801695</v>
      </c>
      <c r="N28" s="759"/>
      <c r="O28" s="767">
        <f>SUM(I28:N28)</f>
        <v>817405</v>
      </c>
      <c r="P28" s="763"/>
      <c r="Q28" s="1022"/>
    </row>
    <row r="29" spans="1:261" s="991" customFormat="1" ht="18" customHeight="1" x14ac:dyDescent="0.35">
      <c r="A29" s="773">
        <v>20</v>
      </c>
      <c r="B29" s="983"/>
      <c r="C29" s="984"/>
      <c r="D29" s="1318" t="s">
        <v>969</v>
      </c>
      <c r="E29" s="430"/>
      <c r="F29" s="762"/>
      <c r="G29" s="431"/>
      <c r="H29" s="1000"/>
      <c r="I29" s="995"/>
      <c r="J29" s="759"/>
      <c r="K29" s="1938"/>
      <c r="L29" s="1938"/>
      <c r="M29" s="1938"/>
      <c r="N29" s="1771"/>
      <c r="O29" s="1741">
        <f>SUM(I29:N29)</f>
        <v>0</v>
      </c>
      <c r="P29" s="763"/>
      <c r="Q29" s="1022"/>
    </row>
    <row r="30" spans="1:261" s="991" customFormat="1" ht="18" customHeight="1" x14ac:dyDescent="0.35">
      <c r="A30" s="773">
        <v>21</v>
      </c>
      <c r="B30" s="983"/>
      <c r="C30" s="984"/>
      <c r="D30" s="576" t="s">
        <v>1250</v>
      </c>
      <c r="E30" s="430"/>
      <c r="F30" s="762"/>
      <c r="G30" s="431"/>
      <c r="H30" s="1000"/>
      <c r="I30" s="995"/>
      <c r="J30" s="759"/>
      <c r="K30" s="1524">
        <f>SUM(K28:K29)</f>
        <v>15710</v>
      </c>
      <c r="L30" s="759"/>
      <c r="M30" s="1524">
        <f>SUM(M28:M29)</f>
        <v>801695</v>
      </c>
      <c r="N30" s="759"/>
      <c r="O30" s="767">
        <f>SUM(I30:N30)</f>
        <v>817405</v>
      </c>
      <c r="P30" s="763"/>
      <c r="Q30" s="1022"/>
    </row>
    <row r="31" spans="1:261" s="758" customFormat="1" ht="22.5" customHeight="1" x14ac:dyDescent="0.35">
      <c r="A31" s="773">
        <v>22</v>
      </c>
      <c r="B31" s="766"/>
      <c r="C31" s="464">
        <v>5</v>
      </c>
      <c r="D31" s="761" t="s">
        <v>696</v>
      </c>
      <c r="E31" s="430"/>
      <c r="F31" s="430"/>
      <c r="G31" s="431"/>
      <c r="H31" s="999" t="s">
        <v>24</v>
      </c>
      <c r="I31" s="1018"/>
      <c r="J31" s="1012"/>
      <c r="K31" s="1012"/>
      <c r="L31" s="1012"/>
      <c r="M31" s="1012"/>
      <c r="N31" s="1012"/>
      <c r="O31" s="772"/>
      <c r="P31" s="763"/>
      <c r="Q31" s="418"/>
      <c r="R31" s="418"/>
      <c r="S31" s="418"/>
      <c r="T31" s="418"/>
      <c r="U31" s="418"/>
      <c r="V31" s="418"/>
      <c r="W31" s="418"/>
      <c r="X31" s="418"/>
      <c r="Y31" s="418"/>
      <c r="Z31" s="418"/>
      <c r="AA31" s="418"/>
      <c r="AB31" s="418"/>
      <c r="AC31" s="418"/>
      <c r="AD31" s="418"/>
      <c r="AE31" s="418"/>
      <c r="AF31" s="418"/>
      <c r="AG31" s="418"/>
      <c r="AH31" s="418"/>
      <c r="AI31" s="418"/>
      <c r="AJ31" s="418"/>
      <c r="AK31" s="418"/>
      <c r="AL31" s="418"/>
      <c r="AM31" s="418"/>
      <c r="AN31" s="418"/>
      <c r="AO31" s="418"/>
      <c r="AP31" s="418"/>
      <c r="AQ31" s="418"/>
      <c r="AR31" s="418"/>
      <c r="AS31" s="418"/>
      <c r="AT31" s="418"/>
      <c r="AU31" s="418"/>
      <c r="AV31" s="418"/>
      <c r="AW31" s="418"/>
      <c r="AX31" s="418"/>
      <c r="AY31" s="418"/>
      <c r="AZ31" s="418"/>
      <c r="BA31" s="418"/>
      <c r="BB31" s="418"/>
      <c r="BC31" s="418"/>
      <c r="BD31" s="418"/>
      <c r="BE31" s="418"/>
      <c r="BF31" s="418"/>
      <c r="BG31" s="418"/>
      <c r="BH31" s="418"/>
      <c r="BI31" s="418"/>
      <c r="BJ31" s="418"/>
      <c r="BK31" s="418"/>
      <c r="BL31" s="418"/>
      <c r="BM31" s="418"/>
      <c r="BN31" s="418"/>
      <c r="BO31" s="418"/>
      <c r="BP31" s="418"/>
      <c r="BQ31" s="418"/>
      <c r="BR31" s="418"/>
      <c r="BS31" s="418"/>
      <c r="BT31" s="418"/>
      <c r="BU31" s="418"/>
      <c r="BV31" s="418"/>
      <c r="BW31" s="418"/>
      <c r="BX31" s="418"/>
      <c r="BY31" s="418"/>
      <c r="BZ31" s="418"/>
      <c r="CA31" s="418"/>
      <c r="CB31" s="418"/>
      <c r="CC31" s="418"/>
      <c r="CD31" s="418"/>
      <c r="CE31" s="418"/>
      <c r="CF31" s="418"/>
      <c r="CG31" s="418"/>
      <c r="CH31" s="418"/>
      <c r="CI31" s="418"/>
      <c r="CJ31" s="418"/>
      <c r="CK31" s="418"/>
      <c r="CL31" s="418"/>
      <c r="CM31" s="418"/>
      <c r="CN31" s="418"/>
      <c r="CO31" s="418"/>
      <c r="CP31" s="418"/>
      <c r="CQ31" s="418"/>
      <c r="CR31" s="418"/>
      <c r="CS31" s="418"/>
      <c r="CT31" s="418"/>
      <c r="CU31" s="418"/>
      <c r="CV31" s="418"/>
      <c r="CW31" s="418"/>
      <c r="CX31" s="418"/>
      <c r="CY31" s="418"/>
      <c r="CZ31" s="418"/>
      <c r="DA31" s="418"/>
      <c r="DB31" s="418"/>
      <c r="DC31" s="418"/>
      <c r="DD31" s="418"/>
      <c r="DE31" s="418"/>
      <c r="DF31" s="418"/>
      <c r="DG31" s="418"/>
      <c r="DH31" s="418"/>
      <c r="DI31" s="418"/>
      <c r="DJ31" s="418"/>
      <c r="DK31" s="418"/>
      <c r="DL31" s="418"/>
      <c r="DM31" s="418"/>
      <c r="DN31" s="418"/>
      <c r="DO31" s="418"/>
      <c r="DP31" s="418"/>
      <c r="DQ31" s="418"/>
      <c r="DR31" s="418"/>
      <c r="DS31" s="418"/>
      <c r="DT31" s="418"/>
      <c r="DU31" s="418"/>
      <c r="DV31" s="418"/>
      <c r="DW31" s="418"/>
      <c r="DX31" s="418"/>
      <c r="DY31" s="418"/>
      <c r="DZ31" s="418"/>
      <c r="EA31" s="418"/>
      <c r="EB31" s="418"/>
      <c r="EC31" s="418"/>
      <c r="ED31" s="418"/>
      <c r="EE31" s="418"/>
      <c r="EF31" s="418"/>
      <c r="EG31" s="418"/>
      <c r="EH31" s="418"/>
      <c r="EI31" s="418"/>
      <c r="EJ31" s="418"/>
      <c r="EK31" s="418"/>
      <c r="EL31" s="418"/>
      <c r="EM31" s="418"/>
      <c r="EN31" s="418"/>
      <c r="EO31" s="418"/>
      <c r="EP31" s="418"/>
      <c r="EQ31" s="418"/>
      <c r="ER31" s="418"/>
      <c r="ES31" s="418"/>
      <c r="ET31" s="418"/>
      <c r="EU31" s="418"/>
      <c r="EV31" s="418"/>
      <c r="EW31" s="418"/>
      <c r="EX31" s="418"/>
      <c r="EY31" s="418"/>
      <c r="EZ31" s="418"/>
      <c r="FA31" s="418"/>
      <c r="FB31" s="418"/>
      <c r="FC31" s="418"/>
      <c r="FD31" s="418"/>
      <c r="FE31" s="418"/>
      <c r="FF31" s="418"/>
      <c r="FG31" s="418"/>
      <c r="FH31" s="418"/>
      <c r="FI31" s="418"/>
      <c r="FJ31" s="418"/>
      <c r="FK31" s="418"/>
      <c r="FL31" s="418"/>
      <c r="FM31" s="418"/>
      <c r="FN31" s="418"/>
      <c r="FO31" s="418"/>
      <c r="FP31" s="418"/>
      <c r="FQ31" s="418"/>
      <c r="FR31" s="418"/>
      <c r="FS31" s="418"/>
      <c r="FT31" s="418"/>
      <c r="FU31" s="418"/>
      <c r="FV31" s="418"/>
      <c r="FW31" s="418"/>
      <c r="FX31" s="418"/>
      <c r="FY31" s="418"/>
      <c r="FZ31" s="418"/>
      <c r="GA31" s="418"/>
      <c r="GB31" s="418"/>
      <c r="GC31" s="418"/>
      <c r="GD31" s="418"/>
      <c r="GE31" s="418"/>
      <c r="GF31" s="418"/>
      <c r="GG31" s="418"/>
      <c r="GH31" s="418"/>
      <c r="GI31" s="418"/>
      <c r="GJ31" s="418"/>
      <c r="GK31" s="418"/>
      <c r="GL31" s="418"/>
      <c r="GM31" s="418"/>
      <c r="GN31" s="418"/>
      <c r="GO31" s="418"/>
      <c r="GP31" s="418"/>
      <c r="GQ31" s="418"/>
      <c r="GR31" s="418"/>
      <c r="GS31" s="418"/>
      <c r="GT31" s="418"/>
      <c r="GU31" s="418"/>
      <c r="GV31" s="418"/>
      <c r="GW31" s="418"/>
      <c r="GX31" s="418"/>
      <c r="GY31" s="418"/>
      <c r="GZ31" s="418"/>
      <c r="HA31" s="418"/>
      <c r="HB31" s="418"/>
      <c r="HC31" s="418"/>
      <c r="HD31" s="418"/>
      <c r="HE31" s="418"/>
      <c r="HF31" s="418"/>
      <c r="HG31" s="418"/>
      <c r="HH31" s="418"/>
      <c r="HI31" s="418"/>
      <c r="HJ31" s="418"/>
      <c r="HK31" s="418"/>
      <c r="HL31" s="418"/>
      <c r="HM31" s="418"/>
      <c r="HN31" s="418"/>
      <c r="HO31" s="418"/>
      <c r="HP31" s="418"/>
      <c r="HQ31" s="418"/>
      <c r="HR31" s="418"/>
      <c r="HS31" s="418"/>
      <c r="HT31" s="418"/>
      <c r="HU31" s="418"/>
      <c r="HV31" s="418"/>
      <c r="HW31" s="418"/>
      <c r="HX31" s="418"/>
      <c r="HY31" s="418"/>
      <c r="HZ31" s="418"/>
      <c r="IA31" s="418"/>
      <c r="IB31" s="418"/>
      <c r="IC31" s="418"/>
      <c r="ID31" s="418"/>
      <c r="IE31" s="418"/>
      <c r="IF31" s="418"/>
      <c r="IG31" s="418"/>
      <c r="IH31" s="418"/>
      <c r="II31" s="418"/>
      <c r="IJ31" s="418"/>
      <c r="IK31" s="418"/>
      <c r="IL31" s="418"/>
      <c r="IM31" s="418"/>
      <c r="IN31" s="418"/>
      <c r="IO31" s="418"/>
      <c r="IP31" s="418"/>
      <c r="IQ31" s="418"/>
      <c r="IR31" s="418"/>
      <c r="IS31" s="418"/>
      <c r="IT31" s="418"/>
      <c r="IU31" s="418"/>
      <c r="IV31" s="418"/>
      <c r="IW31" s="418"/>
      <c r="IX31" s="418"/>
      <c r="IY31" s="418"/>
      <c r="IZ31" s="418"/>
      <c r="JA31" s="418"/>
    </row>
    <row r="32" spans="1:261" ht="18" customHeight="1" x14ac:dyDescent="0.35">
      <c r="A32" s="773">
        <v>23</v>
      </c>
      <c r="B32" s="618"/>
      <c r="C32" s="464"/>
      <c r="D32" s="992" t="s">
        <v>308</v>
      </c>
      <c r="E32" s="430">
        <f>F32+G32+O35+P32</f>
        <v>76282</v>
      </c>
      <c r="F32" s="430">
        <v>10737</v>
      </c>
      <c r="G32" s="431">
        <v>25052</v>
      </c>
      <c r="H32" s="999"/>
      <c r="I32" s="1018"/>
      <c r="J32" s="1012"/>
      <c r="K32" s="1012"/>
      <c r="L32" s="1012"/>
      <c r="M32" s="1012"/>
      <c r="N32" s="1012">
        <v>40493</v>
      </c>
      <c r="O32" s="982">
        <f>SUM(I32:N32)</f>
        <v>40493</v>
      </c>
      <c r="P32" s="763"/>
    </row>
    <row r="33" spans="1:261" ht="18" customHeight="1" x14ac:dyDescent="0.35">
      <c r="A33" s="773">
        <v>24</v>
      </c>
      <c r="B33" s="618"/>
      <c r="C33" s="464"/>
      <c r="D33" s="576" t="s">
        <v>1158</v>
      </c>
      <c r="E33" s="430"/>
      <c r="F33" s="430"/>
      <c r="G33" s="431"/>
      <c r="H33" s="999"/>
      <c r="I33" s="1018"/>
      <c r="J33" s="1012"/>
      <c r="K33" s="1012"/>
      <c r="L33" s="1012"/>
      <c r="M33" s="1012"/>
      <c r="N33" s="1825">
        <v>40493</v>
      </c>
      <c r="O33" s="767">
        <f>SUM(I33:N33)</f>
        <v>40493</v>
      </c>
      <c r="P33" s="763"/>
    </row>
    <row r="34" spans="1:261" ht="18" customHeight="1" x14ac:dyDescent="0.35">
      <c r="A34" s="773">
        <v>25</v>
      </c>
      <c r="B34" s="618"/>
      <c r="C34" s="464"/>
      <c r="D34" s="1318" t="s">
        <v>947</v>
      </c>
      <c r="E34" s="430"/>
      <c r="F34" s="430"/>
      <c r="G34" s="431"/>
      <c r="H34" s="999"/>
      <c r="I34" s="997"/>
      <c r="J34" s="430"/>
      <c r="K34" s="430"/>
      <c r="L34" s="430"/>
      <c r="M34" s="430"/>
      <c r="N34" s="430"/>
      <c r="O34" s="767">
        <f>SUM(I34:N34)</f>
        <v>0</v>
      </c>
      <c r="P34" s="763"/>
    </row>
    <row r="35" spans="1:261" ht="18" customHeight="1" x14ac:dyDescent="0.35">
      <c r="A35" s="773">
        <v>26</v>
      </c>
      <c r="B35" s="618"/>
      <c r="C35" s="464"/>
      <c r="D35" s="576" t="s">
        <v>1250</v>
      </c>
      <c r="E35" s="430"/>
      <c r="F35" s="430"/>
      <c r="G35" s="431"/>
      <c r="H35" s="999"/>
      <c r="I35" s="997"/>
      <c r="J35" s="430"/>
      <c r="K35" s="430"/>
      <c r="L35" s="430"/>
      <c r="M35" s="430"/>
      <c r="N35" s="1825">
        <f>SUM(N33:N34)</f>
        <v>40493</v>
      </c>
      <c r="O35" s="767">
        <f>SUM(I35:N35)</f>
        <v>40493</v>
      </c>
      <c r="P35" s="763"/>
    </row>
    <row r="36" spans="1:261" s="758" customFormat="1" ht="22.5" customHeight="1" x14ac:dyDescent="0.35">
      <c r="A36" s="773">
        <v>27</v>
      </c>
      <c r="B36" s="766"/>
      <c r="C36" s="464">
        <v>6</v>
      </c>
      <c r="D36" s="421" t="s">
        <v>1039</v>
      </c>
      <c r="E36" s="430"/>
      <c r="F36" s="762"/>
      <c r="G36" s="431"/>
      <c r="H36" s="999" t="s">
        <v>24</v>
      </c>
      <c r="I36" s="1017"/>
      <c r="J36" s="1013"/>
      <c r="K36" s="1013"/>
      <c r="L36" s="1013"/>
      <c r="M36" s="1013"/>
      <c r="N36" s="1013"/>
      <c r="O36" s="767"/>
      <c r="P36" s="763"/>
      <c r="Q36" s="418"/>
      <c r="R36" s="418"/>
      <c r="S36" s="418"/>
      <c r="T36" s="418"/>
      <c r="U36" s="418"/>
      <c r="V36" s="418"/>
      <c r="W36" s="418"/>
      <c r="X36" s="418"/>
      <c r="Y36" s="418"/>
      <c r="Z36" s="418"/>
      <c r="AA36" s="418"/>
      <c r="AB36" s="418"/>
      <c r="AC36" s="418"/>
      <c r="AD36" s="418"/>
      <c r="AE36" s="418"/>
      <c r="AF36" s="418"/>
      <c r="AG36" s="418"/>
      <c r="AH36" s="418"/>
      <c r="AI36" s="418"/>
      <c r="AJ36" s="418"/>
      <c r="AK36" s="418"/>
      <c r="AL36" s="418"/>
      <c r="AM36" s="418"/>
      <c r="AN36" s="418"/>
      <c r="AO36" s="418"/>
      <c r="AP36" s="418"/>
      <c r="AQ36" s="418"/>
      <c r="AR36" s="418"/>
      <c r="AS36" s="418"/>
      <c r="AT36" s="418"/>
      <c r="AU36" s="418"/>
      <c r="AV36" s="418"/>
      <c r="AW36" s="418"/>
      <c r="AX36" s="418"/>
      <c r="AY36" s="418"/>
      <c r="AZ36" s="418"/>
      <c r="BA36" s="418"/>
      <c r="BB36" s="418"/>
      <c r="BC36" s="418"/>
      <c r="BD36" s="418"/>
      <c r="BE36" s="418"/>
      <c r="BF36" s="418"/>
      <c r="BG36" s="418"/>
      <c r="BH36" s="418"/>
      <c r="BI36" s="418"/>
      <c r="BJ36" s="418"/>
      <c r="BK36" s="418"/>
      <c r="BL36" s="418"/>
      <c r="BM36" s="418"/>
      <c r="BN36" s="418"/>
      <c r="BO36" s="418"/>
      <c r="BP36" s="418"/>
      <c r="BQ36" s="418"/>
      <c r="BR36" s="418"/>
      <c r="BS36" s="418"/>
      <c r="BT36" s="418"/>
      <c r="BU36" s="418"/>
      <c r="BV36" s="418"/>
      <c r="BW36" s="418"/>
      <c r="BX36" s="418"/>
      <c r="BY36" s="418"/>
      <c r="BZ36" s="418"/>
      <c r="CA36" s="418"/>
      <c r="CB36" s="418"/>
      <c r="CC36" s="418"/>
      <c r="CD36" s="418"/>
      <c r="CE36" s="418"/>
      <c r="CF36" s="418"/>
      <c r="CG36" s="418"/>
      <c r="CH36" s="418"/>
      <c r="CI36" s="418"/>
      <c r="CJ36" s="418"/>
      <c r="CK36" s="418"/>
      <c r="CL36" s="418"/>
      <c r="CM36" s="418"/>
      <c r="CN36" s="418"/>
      <c r="CO36" s="418"/>
      <c r="CP36" s="418"/>
      <c r="CQ36" s="418"/>
      <c r="CR36" s="418"/>
      <c r="CS36" s="418"/>
      <c r="CT36" s="418"/>
      <c r="CU36" s="418"/>
      <c r="CV36" s="418"/>
      <c r="CW36" s="418"/>
      <c r="CX36" s="418"/>
      <c r="CY36" s="418"/>
      <c r="CZ36" s="418"/>
      <c r="DA36" s="418"/>
      <c r="DB36" s="418"/>
      <c r="DC36" s="418"/>
      <c r="DD36" s="418"/>
      <c r="DE36" s="418"/>
      <c r="DF36" s="418"/>
      <c r="DG36" s="418"/>
      <c r="DH36" s="418"/>
      <c r="DI36" s="418"/>
      <c r="DJ36" s="418"/>
      <c r="DK36" s="418"/>
      <c r="DL36" s="418"/>
      <c r="DM36" s="418"/>
      <c r="DN36" s="418"/>
      <c r="DO36" s="418"/>
      <c r="DP36" s="418"/>
      <c r="DQ36" s="418"/>
      <c r="DR36" s="418"/>
      <c r="DS36" s="418"/>
      <c r="DT36" s="418"/>
      <c r="DU36" s="418"/>
      <c r="DV36" s="418"/>
      <c r="DW36" s="418"/>
      <c r="DX36" s="418"/>
      <c r="DY36" s="418"/>
      <c r="DZ36" s="418"/>
      <c r="EA36" s="418"/>
      <c r="EB36" s="418"/>
      <c r="EC36" s="418"/>
      <c r="ED36" s="418"/>
      <c r="EE36" s="418"/>
      <c r="EF36" s="418"/>
      <c r="EG36" s="418"/>
      <c r="EH36" s="418"/>
      <c r="EI36" s="418"/>
      <c r="EJ36" s="418"/>
      <c r="EK36" s="418"/>
      <c r="EL36" s="418"/>
      <c r="EM36" s="418"/>
      <c r="EN36" s="418"/>
      <c r="EO36" s="418"/>
      <c r="EP36" s="418"/>
      <c r="EQ36" s="418"/>
      <c r="ER36" s="418"/>
      <c r="ES36" s="418"/>
      <c r="ET36" s="418"/>
      <c r="EU36" s="418"/>
      <c r="EV36" s="418"/>
      <c r="EW36" s="418"/>
      <c r="EX36" s="418"/>
      <c r="EY36" s="418"/>
      <c r="EZ36" s="418"/>
      <c r="FA36" s="418"/>
      <c r="FB36" s="418"/>
      <c r="FC36" s="418"/>
      <c r="FD36" s="418"/>
      <c r="FE36" s="418"/>
      <c r="FF36" s="418"/>
      <c r="FG36" s="418"/>
      <c r="FH36" s="418"/>
      <c r="FI36" s="418"/>
      <c r="FJ36" s="418"/>
      <c r="FK36" s="418"/>
      <c r="FL36" s="418"/>
      <c r="FM36" s="418"/>
      <c r="FN36" s="418"/>
      <c r="FO36" s="418"/>
      <c r="FP36" s="418"/>
      <c r="FQ36" s="418"/>
      <c r="FR36" s="418"/>
      <c r="FS36" s="418"/>
      <c r="FT36" s="418"/>
      <c r="FU36" s="418"/>
      <c r="FV36" s="418"/>
      <c r="FW36" s="418"/>
      <c r="FX36" s="418"/>
      <c r="FY36" s="418"/>
      <c r="FZ36" s="418"/>
      <c r="GA36" s="418"/>
      <c r="GB36" s="418"/>
      <c r="GC36" s="418"/>
      <c r="GD36" s="418"/>
      <c r="GE36" s="418"/>
      <c r="GF36" s="418"/>
      <c r="GG36" s="418"/>
      <c r="GH36" s="418"/>
      <c r="GI36" s="418"/>
      <c r="GJ36" s="418"/>
      <c r="GK36" s="418"/>
      <c r="GL36" s="418"/>
      <c r="GM36" s="418"/>
      <c r="GN36" s="418"/>
      <c r="GO36" s="418"/>
      <c r="GP36" s="418"/>
      <c r="GQ36" s="418"/>
      <c r="GR36" s="418"/>
      <c r="GS36" s="418"/>
      <c r="GT36" s="418"/>
      <c r="GU36" s="418"/>
      <c r="GV36" s="418"/>
      <c r="GW36" s="418"/>
      <c r="GX36" s="418"/>
      <c r="GY36" s="418"/>
      <c r="GZ36" s="418"/>
      <c r="HA36" s="418"/>
      <c r="HB36" s="418"/>
      <c r="HC36" s="418"/>
      <c r="HD36" s="418"/>
      <c r="HE36" s="418"/>
      <c r="HF36" s="418"/>
      <c r="HG36" s="418"/>
      <c r="HH36" s="418"/>
      <c r="HI36" s="418"/>
      <c r="HJ36" s="418"/>
      <c r="HK36" s="418"/>
      <c r="HL36" s="418"/>
      <c r="HM36" s="418"/>
      <c r="HN36" s="418"/>
      <c r="HO36" s="418"/>
      <c r="HP36" s="418"/>
      <c r="HQ36" s="418"/>
      <c r="HR36" s="418"/>
      <c r="HS36" s="418"/>
      <c r="HT36" s="418"/>
      <c r="HU36" s="418"/>
      <c r="HV36" s="418"/>
      <c r="HW36" s="418"/>
      <c r="HX36" s="418"/>
      <c r="HY36" s="418"/>
      <c r="HZ36" s="418"/>
      <c r="IA36" s="418"/>
      <c r="IB36" s="418"/>
      <c r="IC36" s="418"/>
      <c r="ID36" s="418"/>
      <c r="IE36" s="418"/>
      <c r="IF36" s="418"/>
      <c r="IG36" s="418"/>
      <c r="IH36" s="418"/>
      <c r="II36" s="418"/>
      <c r="IJ36" s="418"/>
      <c r="IK36" s="418"/>
      <c r="IL36" s="418"/>
      <c r="IM36" s="418"/>
      <c r="IN36" s="418"/>
      <c r="IO36" s="418"/>
      <c r="IP36" s="418"/>
      <c r="IQ36" s="418"/>
      <c r="IR36" s="418"/>
      <c r="IS36" s="418"/>
      <c r="IT36" s="418"/>
      <c r="IU36" s="418"/>
      <c r="IV36" s="418"/>
      <c r="IW36" s="418"/>
      <c r="IX36" s="418"/>
      <c r="IY36" s="418"/>
      <c r="IZ36" s="418"/>
      <c r="JA36" s="418"/>
    </row>
    <row r="37" spans="1:261" ht="18" customHeight="1" x14ac:dyDescent="0.35">
      <c r="A37" s="773">
        <v>28</v>
      </c>
      <c r="B37" s="618"/>
      <c r="C37" s="464"/>
      <c r="D37" s="992" t="s">
        <v>308</v>
      </c>
      <c r="E37" s="430">
        <f>F37+G37+O40+P37</f>
        <v>250000</v>
      </c>
      <c r="F37" s="762"/>
      <c r="G37" s="431"/>
      <c r="H37" s="999"/>
      <c r="I37" s="1017"/>
      <c r="J37" s="1013"/>
      <c r="K37" s="1013">
        <v>500</v>
      </c>
      <c r="L37" s="1013"/>
      <c r="M37" s="1013">
        <v>249500</v>
      </c>
      <c r="N37" s="1013"/>
      <c r="O37" s="982">
        <f>SUM(I37:N37)</f>
        <v>250000</v>
      </c>
      <c r="P37" s="763"/>
    </row>
    <row r="38" spans="1:261" ht="18" customHeight="1" x14ac:dyDescent="0.35">
      <c r="A38" s="773">
        <v>29</v>
      </c>
      <c r="B38" s="618"/>
      <c r="C38" s="464"/>
      <c r="D38" s="576" t="s">
        <v>1158</v>
      </c>
      <c r="E38" s="430"/>
      <c r="F38" s="762"/>
      <c r="G38" s="431"/>
      <c r="H38" s="999"/>
      <c r="I38" s="1017"/>
      <c r="J38" s="1013"/>
      <c r="K38" s="1524">
        <v>500</v>
      </c>
      <c r="L38" s="1524"/>
      <c r="M38" s="1524">
        <v>249500</v>
      </c>
      <c r="N38" s="1524"/>
      <c r="O38" s="767">
        <f>SUM(I38:N38)</f>
        <v>250000</v>
      </c>
      <c r="P38" s="763"/>
    </row>
    <row r="39" spans="1:261" ht="18" customHeight="1" x14ac:dyDescent="0.35">
      <c r="A39" s="773">
        <v>30</v>
      </c>
      <c r="B39" s="618"/>
      <c r="C39" s="464"/>
      <c r="D39" s="1318" t="s">
        <v>947</v>
      </c>
      <c r="E39" s="430"/>
      <c r="F39" s="762"/>
      <c r="G39" s="431"/>
      <c r="H39" s="999"/>
      <c r="I39" s="995"/>
      <c r="J39" s="759"/>
      <c r="K39" s="759"/>
      <c r="L39" s="759"/>
      <c r="M39" s="759"/>
      <c r="N39" s="759"/>
      <c r="O39" s="767">
        <f>SUM(I39:N39)</f>
        <v>0</v>
      </c>
      <c r="P39" s="763"/>
    </row>
    <row r="40" spans="1:261" ht="18" customHeight="1" x14ac:dyDescent="0.35">
      <c r="A40" s="773">
        <v>31</v>
      </c>
      <c r="B40" s="618"/>
      <c r="C40" s="464"/>
      <c r="D40" s="576" t="s">
        <v>1250</v>
      </c>
      <c r="E40" s="430"/>
      <c r="F40" s="762"/>
      <c r="G40" s="431"/>
      <c r="H40" s="999"/>
      <c r="I40" s="995"/>
      <c r="J40" s="759"/>
      <c r="K40" s="1524">
        <f>SUM(K38:K39)</f>
        <v>500</v>
      </c>
      <c r="L40" s="1524"/>
      <c r="M40" s="1524">
        <f>SUM(M38:M39)</f>
        <v>249500</v>
      </c>
      <c r="N40" s="759"/>
      <c r="O40" s="767">
        <f>SUM(I40:N40)</f>
        <v>250000</v>
      </c>
      <c r="P40" s="763"/>
    </row>
    <row r="41" spans="1:261" ht="22.5" customHeight="1" x14ac:dyDescent="0.35">
      <c r="A41" s="773">
        <v>32</v>
      </c>
      <c r="B41" s="618"/>
      <c r="C41" s="464">
        <v>7</v>
      </c>
      <c r="D41" s="770" t="s">
        <v>1085</v>
      </c>
      <c r="E41" s="430"/>
      <c r="F41" s="762"/>
      <c r="G41" s="431"/>
      <c r="H41" s="999" t="s">
        <v>24</v>
      </c>
      <c r="I41" s="1017"/>
      <c r="J41" s="1013"/>
      <c r="K41" s="1013"/>
      <c r="L41" s="1013"/>
      <c r="M41" s="1013"/>
      <c r="N41" s="1013"/>
      <c r="O41" s="767"/>
      <c r="P41" s="763"/>
    </row>
    <row r="42" spans="1:261" s="758" customFormat="1" ht="18" customHeight="1" x14ac:dyDescent="0.35">
      <c r="A42" s="773">
        <v>33</v>
      </c>
      <c r="B42" s="766"/>
      <c r="C42" s="420"/>
      <c r="D42" s="992" t="s">
        <v>308</v>
      </c>
      <c r="E42" s="430">
        <f>F42+G42+O45+P42</f>
        <v>957296</v>
      </c>
      <c r="F42" s="762"/>
      <c r="G42" s="431">
        <v>820</v>
      </c>
      <c r="H42" s="999"/>
      <c r="I42" s="1017"/>
      <c r="J42" s="1013"/>
      <c r="K42" s="1013"/>
      <c r="L42" s="1013"/>
      <c r="M42" s="1013">
        <v>360738</v>
      </c>
      <c r="N42" s="1013"/>
      <c r="O42" s="982">
        <f>SUM(I42:N42)</f>
        <v>360738</v>
      </c>
      <c r="P42" s="763">
        <f>611414-7838-603576</f>
        <v>0</v>
      </c>
      <c r="Q42" s="418"/>
      <c r="R42" s="418"/>
      <c r="S42" s="418"/>
      <c r="T42" s="418"/>
      <c r="U42" s="418"/>
      <c r="V42" s="418"/>
      <c r="W42" s="418"/>
      <c r="X42" s="418"/>
      <c r="Y42" s="418"/>
      <c r="Z42" s="418"/>
      <c r="AA42" s="418"/>
      <c r="AB42" s="418"/>
      <c r="AC42" s="418"/>
      <c r="AD42" s="418"/>
      <c r="AE42" s="418"/>
      <c r="AF42" s="418"/>
      <c r="AG42" s="418"/>
      <c r="AH42" s="418"/>
      <c r="AI42" s="418"/>
      <c r="AJ42" s="418"/>
      <c r="AK42" s="418"/>
      <c r="AL42" s="418"/>
      <c r="AM42" s="418"/>
      <c r="AN42" s="418"/>
      <c r="AO42" s="418"/>
      <c r="AP42" s="418"/>
      <c r="AQ42" s="418"/>
      <c r="AR42" s="418"/>
      <c r="AS42" s="418"/>
      <c r="AT42" s="418"/>
      <c r="AU42" s="418"/>
      <c r="AV42" s="418"/>
      <c r="AW42" s="418"/>
      <c r="AX42" s="418"/>
      <c r="AY42" s="418"/>
      <c r="AZ42" s="418"/>
      <c r="BA42" s="418"/>
      <c r="BB42" s="418"/>
      <c r="BC42" s="418"/>
      <c r="BD42" s="418"/>
      <c r="BE42" s="418"/>
      <c r="BF42" s="418"/>
      <c r="BG42" s="418"/>
      <c r="BH42" s="418"/>
      <c r="BI42" s="418"/>
      <c r="BJ42" s="418"/>
      <c r="BK42" s="418"/>
      <c r="BL42" s="418"/>
      <c r="BM42" s="418"/>
      <c r="BN42" s="418"/>
      <c r="BO42" s="418"/>
      <c r="BP42" s="418"/>
      <c r="BQ42" s="418"/>
      <c r="BR42" s="418"/>
      <c r="BS42" s="418"/>
      <c r="BT42" s="418"/>
      <c r="BU42" s="418"/>
      <c r="BV42" s="418"/>
      <c r="BW42" s="418"/>
      <c r="BX42" s="418"/>
      <c r="BY42" s="418"/>
      <c r="BZ42" s="418"/>
      <c r="CA42" s="418"/>
      <c r="CB42" s="418"/>
      <c r="CC42" s="418"/>
      <c r="CD42" s="418"/>
      <c r="CE42" s="418"/>
      <c r="CF42" s="418"/>
      <c r="CG42" s="418"/>
      <c r="CH42" s="418"/>
      <c r="CI42" s="418"/>
      <c r="CJ42" s="418"/>
      <c r="CK42" s="418"/>
      <c r="CL42" s="418"/>
      <c r="CM42" s="418"/>
      <c r="CN42" s="418"/>
      <c r="CO42" s="418"/>
      <c r="CP42" s="418"/>
      <c r="CQ42" s="418"/>
      <c r="CR42" s="418"/>
      <c r="CS42" s="418"/>
      <c r="CT42" s="418"/>
      <c r="CU42" s="418"/>
      <c r="CV42" s="418"/>
      <c r="CW42" s="418"/>
      <c r="CX42" s="418"/>
      <c r="CY42" s="418"/>
      <c r="CZ42" s="418"/>
      <c r="DA42" s="418"/>
      <c r="DB42" s="418"/>
      <c r="DC42" s="418"/>
      <c r="DD42" s="418"/>
      <c r="DE42" s="418"/>
      <c r="DF42" s="418"/>
      <c r="DG42" s="418"/>
      <c r="DH42" s="418"/>
      <c r="DI42" s="418"/>
      <c r="DJ42" s="418"/>
      <c r="DK42" s="418"/>
      <c r="DL42" s="418"/>
      <c r="DM42" s="418"/>
      <c r="DN42" s="418"/>
      <c r="DO42" s="418"/>
      <c r="DP42" s="418"/>
      <c r="DQ42" s="418"/>
      <c r="DR42" s="418"/>
      <c r="DS42" s="418"/>
      <c r="DT42" s="418"/>
      <c r="DU42" s="418"/>
      <c r="DV42" s="418"/>
      <c r="DW42" s="418"/>
      <c r="DX42" s="418"/>
      <c r="DY42" s="418"/>
      <c r="DZ42" s="418"/>
      <c r="EA42" s="418"/>
      <c r="EB42" s="418"/>
      <c r="EC42" s="418"/>
      <c r="ED42" s="418"/>
      <c r="EE42" s="418"/>
      <c r="EF42" s="418"/>
      <c r="EG42" s="418"/>
      <c r="EH42" s="418"/>
      <c r="EI42" s="418"/>
      <c r="EJ42" s="418"/>
      <c r="EK42" s="418"/>
      <c r="EL42" s="418"/>
      <c r="EM42" s="418"/>
      <c r="EN42" s="418"/>
      <c r="EO42" s="418"/>
      <c r="EP42" s="418"/>
      <c r="EQ42" s="418"/>
      <c r="ER42" s="418"/>
      <c r="ES42" s="418"/>
      <c r="ET42" s="418"/>
      <c r="EU42" s="418"/>
      <c r="EV42" s="418"/>
      <c r="EW42" s="418"/>
      <c r="EX42" s="418"/>
      <c r="EY42" s="418"/>
      <c r="EZ42" s="418"/>
      <c r="FA42" s="418"/>
      <c r="FB42" s="418"/>
      <c r="FC42" s="418"/>
      <c r="FD42" s="418"/>
      <c r="FE42" s="418"/>
      <c r="FF42" s="418"/>
      <c r="FG42" s="418"/>
      <c r="FH42" s="418"/>
      <c r="FI42" s="418"/>
      <c r="FJ42" s="418"/>
      <c r="FK42" s="418"/>
      <c r="FL42" s="418"/>
      <c r="FM42" s="418"/>
      <c r="FN42" s="418"/>
      <c r="FO42" s="418"/>
      <c r="FP42" s="418"/>
      <c r="FQ42" s="418"/>
      <c r="FR42" s="418"/>
      <c r="FS42" s="418"/>
      <c r="FT42" s="418"/>
      <c r="FU42" s="418"/>
      <c r="FV42" s="418"/>
      <c r="FW42" s="418"/>
      <c r="FX42" s="418"/>
      <c r="FY42" s="418"/>
      <c r="FZ42" s="418"/>
      <c r="GA42" s="418"/>
      <c r="GB42" s="418"/>
      <c r="GC42" s="418"/>
      <c r="GD42" s="418"/>
      <c r="GE42" s="418"/>
      <c r="GF42" s="418"/>
      <c r="GG42" s="418"/>
      <c r="GH42" s="418"/>
      <c r="GI42" s="418"/>
      <c r="GJ42" s="418"/>
      <c r="GK42" s="418"/>
      <c r="GL42" s="418"/>
      <c r="GM42" s="418"/>
      <c r="GN42" s="418"/>
      <c r="GO42" s="418"/>
      <c r="GP42" s="418"/>
      <c r="GQ42" s="418"/>
      <c r="GR42" s="418"/>
      <c r="GS42" s="418"/>
      <c r="GT42" s="418"/>
      <c r="GU42" s="418"/>
      <c r="GV42" s="418"/>
      <c r="GW42" s="418"/>
      <c r="GX42" s="418"/>
      <c r="GY42" s="418"/>
      <c r="GZ42" s="418"/>
      <c r="HA42" s="418"/>
      <c r="HB42" s="418"/>
      <c r="HC42" s="418"/>
      <c r="HD42" s="418"/>
      <c r="HE42" s="418"/>
      <c r="HF42" s="418"/>
      <c r="HG42" s="418"/>
      <c r="HH42" s="418"/>
      <c r="HI42" s="418"/>
      <c r="HJ42" s="418"/>
      <c r="HK42" s="418"/>
      <c r="HL42" s="418"/>
      <c r="HM42" s="418"/>
      <c r="HN42" s="418"/>
      <c r="HO42" s="418"/>
      <c r="HP42" s="418"/>
      <c r="HQ42" s="418"/>
      <c r="HR42" s="418"/>
      <c r="HS42" s="418"/>
      <c r="HT42" s="418"/>
      <c r="HU42" s="418"/>
      <c r="HV42" s="418"/>
      <c r="HW42" s="418"/>
      <c r="HX42" s="418"/>
      <c r="HY42" s="418"/>
      <c r="HZ42" s="418"/>
      <c r="IA42" s="418"/>
      <c r="IB42" s="418"/>
      <c r="IC42" s="418"/>
      <c r="ID42" s="418"/>
      <c r="IE42" s="418"/>
      <c r="IF42" s="418"/>
      <c r="IG42" s="418"/>
      <c r="IH42" s="418"/>
      <c r="II42" s="418"/>
      <c r="IJ42" s="418"/>
      <c r="IK42" s="418"/>
      <c r="IL42" s="418"/>
      <c r="IM42" s="418"/>
      <c r="IN42" s="418"/>
      <c r="IO42" s="418"/>
      <c r="IP42" s="418"/>
      <c r="IQ42" s="418"/>
      <c r="IR42" s="418"/>
      <c r="IS42" s="418"/>
      <c r="IT42" s="418"/>
      <c r="IU42" s="418"/>
      <c r="IV42" s="418"/>
      <c r="IW42" s="418"/>
      <c r="IX42" s="418"/>
      <c r="IY42" s="418"/>
      <c r="IZ42" s="418"/>
      <c r="JA42" s="418"/>
    </row>
    <row r="43" spans="1:261" s="758" customFormat="1" ht="18" customHeight="1" x14ac:dyDescent="0.35">
      <c r="A43" s="773">
        <v>34</v>
      </c>
      <c r="B43" s="766"/>
      <c r="C43" s="420"/>
      <c r="D43" s="576" t="s">
        <v>1158</v>
      </c>
      <c r="E43" s="430"/>
      <c r="F43" s="762"/>
      <c r="G43" s="431"/>
      <c r="H43" s="999"/>
      <c r="I43" s="1017"/>
      <c r="J43" s="1013"/>
      <c r="K43" s="1524">
        <v>676</v>
      </c>
      <c r="L43" s="1013"/>
      <c r="M43" s="1524">
        <v>955800</v>
      </c>
      <c r="N43" s="759"/>
      <c r="O43" s="767">
        <f>SUM(I43:N43)</f>
        <v>956476</v>
      </c>
      <c r="P43" s="763"/>
      <c r="Q43" s="418"/>
      <c r="R43" s="418"/>
      <c r="S43" s="418"/>
      <c r="T43" s="418"/>
      <c r="U43" s="418"/>
      <c r="V43" s="418"/>
      <c r="W43" s="418"/>
      <c r="X43" s="418"/>
      <c r="Y43" s="418"/>
      <c r="Z43" s="418"/>
      <c r="AA43" s="418"/>
      <c r="AB43" s="418"/>
      <c r="AC43" s="418"/>
      <c r="AD43" s="418"/>
      <c r="AE43" s="418"/>
      <c r="AF43" s="418"/>
      <c r="AG43" s="418"/>
      <c r="AH43" s="418"/>
      <c r="AI43" s="418"/>
      <c r="AJ43" s="418"/>
      <c r="AK43" s="418"/>
      <c r="AL43" s="418"/>
      <c r="AM43" s="418"/>
      <c r="AN43" s="418"/>
      <c r="AO43" s="418"/>
      <c r="AP43" s="418"/>
      <c r="AQ43" s="418"/>
      <c r="AR43" s="418"/>
      <c r="AS43" s="418"/>
      <c r="AT43" s="418"/>
      <c r="AU43" s="418"/>
      <c r="AV43" s="418"/>
      <c r="AW43" s="418"/>
      <c r="AX43" s="418"/>
      <c r="AY43" s="418"/>
      <c r="AZ43" s="418"/>
      <c r="BA43" s="418"/>
      <c r="BB43" s="418"/>
      <c r="BC43" s="418"/>
      <c r="BD43" s="418"/>
      <c r="BE43" s="418"/>
      <c r="BF43" s="418"/>
      <c r="BG43" s="418"/>
      <c r="BH43" s="418"/>
      <c r="BI43" s="418"/>
      <c r="BJ43" s="418"/>
      <c r="BK43" s="418"/>
      <c r="BL43" s="418"/>
      <c r="BM43" s="418"/>
      <c r="BN43" s="418"/>
      <c r="BO43" s="418"/>
      <c r="BP43" s="418"/>
      <c r="BQ43" s="418"/>
      <c r="BR43" s="418"/>
      <c r="BS43" s="418"/>
      <c r="BT43" s="418"/>
      <c r="BU43" s="418"/>
      <c r="BV43" s="418"/>
      <c r="BW43" s="418"/>
      <c r="BX43" s="418"/>
      <c r="BY43" s="418"/>
      <c r="BZ43" s="418"/>
      <c r="CA43" s="418"/>
      <c r="CB43" s="418"/>
      <c r="CC43" s="418"/>
      <c r="CD43" s="418"/>
      <c r="CE43" s="418"/>
      <c r="CF43" s="418"/>
      <c r="CG43" s="418"/>
      <c r="CH43" s="418"/>
      <c r="CI43" s="418"/>
      <c r="CJ43" s="418"/>
      <c r="CK43" s="418"/>
      <c r="CL43" s="418"/>
      <c r="CM43" s="418"/>
      <c r="CN43" s="418"/>
      <c r="CO43" s="418"/>
      <c r="CP43" s="418"/>
      <c r="CQ43" s="418"/>
      <c r="CR43" s="418"/>
      <c r="CS43" s="418"/>
      <c r="CT43" s="418"/>
      <c r="CU43" s="418"/>
      <c r="CV43" s="418"/>
      <c r="CW43" s="418"/>
      <c r="CX43" s="418"/>
      <c r="CY43" s="418"/>
      <c r="CZ43" s="418"/>
      <c r="DA43" s="418"/>
      <c r="DB43" s="418"/>
      <c r="DC43" s="418"/>
      <c r="DD43" s="418"/>
      <c r="DE43" s="418"/>
      <c r="DF43" s="418"/>
      <c r="DG43" s="418"/>
      <c r="DH43" s="418"/>
      <c r="DI43" s="418"/>
      <c r="DJ43" s="418"/>
      <c r="DK43" s="418"/>
      <c r="DL43" s="418"/>
      <c r="DM43" s="418"/>
      <c r="DN43" s="418"/>
      <c r="DO43" s="418"/>
      <c r="DP43" s="418"/>
      <c r="DQ43" s="418"/>
      <c r="DR43" s="418"/>
      <c r="DS43" s="418"/>
      <c r="DT43" s="418"/>
      <c r="DU43" s="418"/>
      <c r="DV43" s="418"/>
      <c r="DW43" s="418"/>
      <c r="DX43" s="418"/>
      <c r="DY43" s="418"/>
      <c r="DZ43" s="418"/>
      <c r="EA43" s="418"/>
      <c r="EB43" s="418"/>
      <c r="EC43" s="418"/>
      <c r="ED43" s="418"/>
      <c r="EE43" s="418"/>
      <c r="EF43" s="418"/>
      <c r="EG43" s="418"/>
      <c r="EH43" s="418"/>
      <c r="EI43" s="418"/>
      <c r="EJ43" s="418"/>
      <c r="EK43" s="418"/>
      <c r="EL43" s="418"/>
      <c r="EM43" s="418"/>
      <c r="EN43" s="418"/>
      <c r="EO43" s="418"/>
      <c r="EP43" s="418"/>
      <c r="EQ43" s="418"/>
      <c r="ER43" s="418"/>
      <c r="ES43" s="418"/>
      <c r="ET43" s="418"/>
      <c r="EU43" s="418"/>
      <c r="EV43" s="418"/>
      <c r="EW43" s="418"/>
      <c r="EX43" s="418"/>
      <c r="EY43" s="418"/>
      <c r="EZ43" s="418"/>
      <c r="FA43" s="418"/>
      <c r="FB43" s="418"/>
      <c r="FC43" s="418"/>
      <c r="FD43" s="418"/>
      <c r="FE43" s="418"/>
      <c r="FF43" s="418"/>
      <c r="FG43" s="418"/>
      <c r="FH43" s="418"/>
      <c r="FI43" s="418"/>
      <c r="FJ43" s="418"/>
      <c r="FK43" s="418"/>
      <c r="FL43" s="418"/>
      <c r="FM43" s="418"/>
      <c r="FN43" s="418"/>
      <c r="FO43" s="418"/>
      <c r="FP43" s="418"/>
      <c r="FQ43" s="418"/>
      <c r="FR43" s="418"/>
      <c r="FS43" s="418"/>
      <c r="FT43" s="418"/>
      <c r="FU43" s="418"/>
      <c r="FV43" s="418"/>
      <c r="FW43" s="418"/>
      <c r="FX43" s="418"/>
      <c r="FY43" s="418"/>
      <c r="FZ43" s="418"/>
      <c r="GA43" s="418"/>
      <c r="GB43" s="418"/>
      <c r="GC43" s="418"/>
      <c r="GD43" s="418"/>
      <c r="GE43" s="418"/>
      <c r="GF43" s="418"/>
      <c r="GG43" s="418"/>
      <c r="GH43" s="418"/>
      <c r="GI43" s="418"/>
      <c r="GJ43" s="418"/>
      <c r="GK43" s="418"/>
      <c r="GL43" s="418"/>
      <c r="GM43" s="418"/>
      <c r="GN43" s="418"/>
      <c r="GO43" s="418"/>
      <c r="GP43" s="418"/>
      <c r="GQ43" s="418"/>
      <c r="GR43" s="418"/>
      <c r="GS43" s="418"/>
      <c r="GT43" s="418"/>
      <c r="GU43" s="418"/>
      <c r="GV43" s="418"/>
      <c r="GW43" s="418"/>
      <c r="GX43" s="418"/>
      <c r="GY43" s="418"/>
      <c r="GZ43" s="418"/>
      <c r="HA43" s="418"/>
      <c r="HB43" s="418"/>
      <c r="HC43" s="418"/>
      <c r="HD43" s="418"/>
      <c r="HE43" s="418"/>
      <c r="HF43" s="418"/>
      <c r="HG43" s="418"/>
      <c r="HH43" s="418"/>
      <c r="HI43" s="418"/>
      <c r="HJ43" s="418"/>
      <c r="HK43" s="418"/>
      <c r="HL43" s="418"/>
      <c r="HM43" s="418"/>
      <c r="HN43" s="418"/>
      <c r="HO43" s="418"/>
      <c r="HP43" s="418"/>
      <c r="HQ43" s="418"/>
      <c r="HR43" s="418"/>
      <c r="HS43" s="418"/>
      <c r="HT43" s="418"/>
      <c r="HU43" s="418"/>
      <c r="HV43" s="418"/>
      <c r="HW43" s="418"/>
      <c r="HX43" s="418"/>
      <c r="HY43" s="418"/>
      <c r="HZ43" s="418"/>
      <c r="IA43" s="418"/>
      <c r="IB43" s="418"/>
      <c r="IC43" s="418"/>
      <c r="ID43" s="418"/>
      <c r="IE43" s="418"/>
      <c r="IF43" s="418"/>
      <c r="IG43" s="418"/>
      <c r="IH43" s="418"/>
      <c r="II43" s="418"/>
      <c r="IJ43" s="418"/>
      <c r="IK43" s="418"/>
      <c r="IL43" s="418"/>
      <c r="IM43" s="418"/>
      <c r="IN43" s="418"/>
      <c r="IO43" s="418"/>
      <c r="IP43" s="418"/>
      <c r="IQ43" s="418"/>
      <c r="IR43" s="418"/>
      <c r="IS43" s="418"/>
      <c r="IT43" s="418"/>
      <c r="IU43" s="418"/>
      <c r="IV43" s="418"/>
      <c r="IW43" s="418"/>
      <c r="IX43" s="418"/>
      <c r="IY43" s="418"/>
      <c r="IZ43" s="418"/>
      <c r="JA43" s="418"/>
    </row>
    <row r="44" spans="1:261" s="758" customFormat="1" ht="18" customHeight="1" x14ac:dyDescent="0.35">
      <c r="A44" s="773">
        <v>35</v>
      </c>
      <c r="B44" s="766"/>
      <c r="C44" s="420"/>
      <c r="D44" s="1318" t="s">
        <v>969</v>
      </c>
      <c r="E44" s="430"/>
      <c r="F44" s="762"/>
      <c r="G44" s="431"/>
      <c r="H44" s="999"/>
      <c r="I44" s="995"/>
      <c r="J44" s="759"/>
      <c r="K44" s="1771"/>
      <c r="L44" s="1771"/>
      <c r="M44" s="1771"/>
      <c r="N44" s="759"/>
      <c r="O44" s="767">
        <f>SUM(I44:N44)</f>
        <v>0</v>
      </c>
      <c r="P44" s="763"/>
      <c r="Q44" s="418"/>
      <c r="R44" s="418"/>
      <c r="S44" s="418"/>
      <c r="T44" s="418"/>
      <c r="U44" s="418"/>
      <c r="V44" s="418"/>
      <c r="W44" s="418"/>
      <c r="X44" s="418"/>
      <c r="Y44" s="418"/>
      <c r="Z44" s="418"/>
      <c r="AA44" s="418"/>
      <c r="AB44" s="418"/>
      <c r="AC44" s="418"/>
      <c r="AD44" s="418"/>
      <c r="AE44" s="418"/>
      <c r="AF44" s="418"/>
      <c r="AG44" s="418"/>
      <c r="AH44" s="418"/>
      <c r="AI44" s="418"/>
      <c r="AJ44" s="418"/>
      <c r="AK44" s="418"/>
      <c r="AL44" s="418"/>
      <c r="AM44" s="418"/>
      <c r="AN44" s="418"/>
      <c r="AO44" s="418"/>
      <c r="AP44" s="418"/>
      <c r="AQ44" s="418"/>
      <c r="AR44" s="418"/>
      <c r="AS44" s="418"/>
      <c r="AT44" s="418"/>
      <c r="AU44" s="418"/>
      <c r="AV44" s="418"/>
      <c r="AW44" s="418"/>
      <c r="AX44" s="418"/>
      <c r="AY44" s="418"/>
      <c r="AZ44" s="418"/>
      <c r="BA44" s="418"/>
      <c r="BB44" s="418"/>
      <c r="BC44" s="418"/>
      <c r="BD44" s="418"/>
      <c r="BE44" s="418"/>
      <c r="BF44" s="418"/>
      <c r="BG44" s="418"/>
      <c r="BH44" s="418"/>
      <c r="BI44" s="418"/>
      <c r="BJ44" s="418"/>
      <c r="BK44" s="418"/>
      <c r="BL44" s="418"/>
      <c r="BM44" s="418"/>
      <c r="BN44" s="418"/>
      <c r="BO44" s="418"/>
      <c r="BP44" s="418"/>
      <c r="BQ44" s="418"/>
      <c r="BR44" s="418"/>
      <c r="BS44" s="418"/>
      <c r="BT44" s="418"/>
      <c r="BU44" s="418"/>
      <c r="BV44" s="418"/>
      <c r="BW44" s="418"/>
      <c r="BX44" s="418"/>
      <c r="BY44" s="418"/>
      <c r="BZ44" s="418"/>
      <c r="CA44" s="418"/>
      <c r="CB44" s="418"/>
      <c r="CC44" s="418"/>
      <c r="CD44" s="418"/>
      <c r="CE44" s="418"/>
      <c r="CF44" s="418"/>
      <c r="CG44" s="418"/>
      <c r="CH44" s="418"/>
      <c r="CI44" s="418"/>
      <c r="CJ44" s="418"/>
      <c r="CK44" s="418"/>
      <c r="CL44" s="418"/>
      <c r="CM44" s="418"/>
      <c r="CN44" s="418"/>
      <c r="CO44" s="418"/>
      <c r="CP44" s="418"/>
      <c r="CQ44" s="418"/>
      <c r="CR44" s="418"/>
      <c r="CS44" s="418"/>
      <c r="CT44" s="418"/>
      <c r="CU44" s="418"/>
      <c r="CV44" s="418"/>
      <c r="CW44" s="418"/>
      <c r="CX44" s="418"/>
      <c r="CY44" s="418"/>
      <c r="CZ44" s="418"/>
      <c r="DA44" s="418"/>
      <c r="DB44" s="418"/>
      <c r="DC44" s="418"/>
      <c r="DD44" s="418"/>
      <c r="DE44" s="418"/>
      <c r="DF44" s="418"/>
      <c r="DG44" s="418"/>
      <c r="DH44" s="418"/>
      <c r="DI44" s="418"/>
      <c r="DJ44" s="418"/>
      <c r="DK44" s="418"/>
      <c r="DL44" s="418"/>
      <c r="DM44" s="418"/>
      <c r="DN44" s="418"/>
      <c r="DO44" s="418"/>
      <c r="DP44" s="418"/>
      <c r="DQ44" s="418"/>
      <c r="DR44" s="418"/>
      <c r="DS44" s="418"/>
      <c r="DT44" s="418"/>
      <c r="DU44" s="418"/>
      <c r="DV44" s="418"/>
      <c r="DW44" s="418"/>
      <c r="DX44" s="418"/>
      <c r="DY44" s="418"/>
      <c r="DZ44" s="418"/>
      <c r="EA44" s="418"/>
      <c r="EB44" s="418"/>
      <c r="EC44" s="418"/>
      <c r="ED44" s="418"/>
      <c r="EE44" s="418"/>
      <c r="EF44" s="418"/>
      <c r="EG44" s="418"/>
      <c r="EH44" s="418"/>
      <c r="EI44" s="418"/>
      <c r="EJ44" s="418"/>
      <c r="EK44" s="418"/>
      <c r="EL44" s="418"/>
      <c r="EM44" s="418"/>
      <c r="EN44" s="418"/>
      <c r="EO44" s="418"/>
      <c r="EP44" s="418"/>
      <c r="EQ44" s="418"/>
      <c r="ER44" s="418"/>
      <c r="ES44" s="418"/>
      <c r="ET44" s="418"/>
      <c r="EU44" s="418"/>
      <c r="EV44" s="418"/>
      <c r="EW44" s="418"/>
      <c r="EX44" s="418"/>
      <c r="EY44" s="418"/>
      <c r="EZ44" s="418"/>
      <c r="FA44" s="418"/>
      <c r="FB44" s="418"/>
      <c r="FC44" s="418"/>
      <c r="FD44" s="418"/>
      <c r="FE44" s="418"/>
      <c r="FF44" s="418"/>
      <c r="FG44" s="418"/>
      <c r="FH44" s="418"/>
      <c r="FI44" s="418"/>
      <c r="FJ44" s="418"/>
      <c r="FK44" s="418"/>
      <c r="FL44" s="418"/>
      <c r="FM44" s="418"/>
      <c r="FN44" s="418"/>
      <c r="FO44" s="418"/>
      <c r="FP44" s="418"/>
      <c r="FQ44" s="418"/>
      <c r="FR44" s="418"/>
      <c r="FS44" s="418"/>
      <c r="FT44" s="418"/>
      <c r="FU44" s="418"/>
      <c r="FV44" s="418"/>
      <c r="FW44" s="418"/>
      <c r="FX44" s="418"/>
      <c r="FY44" s="418"/>
      <c r="FZ44" s="418"/>
      <c r="GA44" s="418"/>
      <c r="GB44" s="418"/>
      <c r="GC44" s="418"/>
      <c r="GD44" s="418"/>
      <c r="GE44" s="418"/>
      <c r="GF44" s="418"/>
      <c r="GG44" s="418"/>
      <c r="GH44" s="418"/>
      <c r="GI44" s="418"/>
      <c r="GJ44" s="418"/>
      <c r="GK44" s="418"/>
      <c r="GL44" s="418"/>
      <c r="GM44" s="418"/>
      <c r="GN44" s="418"/>
      <c r="GO44" s="418"/>
      <c r="GP44" s="418"/>
      <c r="GQ44" s="418"/>
      <c r="GR44" s="418"/>
      <c r="GS44" s="418"/>
      <c r="GT44" s="418"/>
      <c r="GU44" s="418"/>
      <c r="GV44" s="418"/>
      <c r="GW44" s="418"/>
      <c r="GX44" s="418"/>
      <c r="GY44" s="418"/>
      <c r="GZ44" s="418"/>
      <c r="HA44" s="418"/>
      <c r="HB44" s="418"/>
      <c r="HC44" s="418"/>
      <c r="HD44" s="418"/>
      <c r="HE44" s="418"/>
      <c r="HF44" s="418"/>
      <c r="HG44" s="418"/>
      <c r="HH44" s="418"/>
      <c r="HI44" s="418"/>
      <c r="HJ44" s="418"/>
      <c r="HK44" s="418"/>
      <c r="HL44" s="418"/>
      <c r="HM44" s="418"/>
      <c r="HN44" s="418"/>
      <c r="HO44" s="418"/>
      <c r="HP44" s="418"/>
      <c r="HQ44" s="418"/>
      <c r="HR44" s="418"/>
      <c r="HS44" s="418"/>
      <c r="HT44" s="418"/>
      <c r="HU44" s="418"/>
      <c r="HV44" s="418"/>
      <c r="HW44" s="418"/>
      <c r="HX44" s="418"/>
      <c r="HY44" s="418"/>
      <c r="HZ44" s="418"/>
      <c r="IA44" s="418"/>
      <c r="IB44" s="418"/>
      <c r="IC44" s="418"/>
      <c r="ID44" s="418"/>
      <c r="IE44" s="418"/>
      <c r="IF44" s="418"/>
      <c r="IG44" s="418"/>
      <c r="IH44" s="418"/>
      <c r="II44" s="418"/>
      <c r="IJ44" s="418"/>
      <c r="IK44" s="418"/>
      <c r="IL44" s="418"/>
      <c r="IM44" s="418"/>
      <c r="IN44" s="418"/>
      <c r="IO44" s="418"/>
      <c r="IP44" s="418"/>
      <c r="IQ44" s="418"/>
      <c r="IR44" s="418"/>
      <c r="IS44" s="418"/>
      <c r="IT44" s="418"/>
      <c r="IU44" s="418"/>
      <c r="IV44" s="418"/>
      <c r="IW44" s="418"/>
      <c r="IX44" s="418"/>
      <c r="IY44" s="418"/>
      <c r="IZ44" s="418"/>
      <c r="JA44" s="418"/>
    </row>
    <row r="45" spans="1:261" s="758" customFormat="1" ht="18" customHeight="1" x14ac:dyDescent="0.35">
      <c r="A45" s="773">
        <v>36</v>
      </c>
      <c r="B45" s="766"/>
      <c r="C45" s="420"/>
      <c r="D45" s="576" t="s">
        <v>1250</v>
      </c>
      <c r="E45" s="430"/>
      <c r="F45" s="762"/>
      <c r="G45" s="431"/>
      <c r="H45" s="999"/>
      <c r="I45" s="995"/>
      <c r="J45" s="759"/>
      <c r="K45" s="1524">
        <f>SUM(K43:K44)</f>
        <v>676</v>
      </c>
      <c r="L45" s="759"/>
      <c r="M45" s="1524">
        <f>SUM(M43:M44)</f>
        <v>955800</v>
      </c>
      <c r="N45" s="759"/>
      <c r="O45" s="767">
        <f>SUM(I45:N45)</f>
        <v>956476</v>
      </c>
      <c r="P45" s="763"/>
      <c r="Q45" s="418"/>
      <c r="R45" s="418"/>
      <c r="S45" s="418"/>
      <c r="T45" s="418"/>
      <c r="U45" s="418"/>
      <c r="V45" s="418"/>
      <c r="W45" s="418"/>
      <c r="X45" s="418"/>
      <c r="Y45" s="418"/>
      <c r="Z45" s="418"/>
      <c r="AA45" s="418"/>
      <c r="AB45" s="418"/>
      <c r="AC45" s="418"/>
      <c r="AD45" s="418"/>
      <c r="AE45" s="418"/>
      <c r="AF45" s="418"/>
      <c r="AG45" s="418"/>
      <c r="AH45" s="418"/>
      <c r="AI45" s="418"/>
      <c r="AJ45" s="418"/>
      <c r="AK45" s="418"/>
      <c r="AL45" s="418"/>
      <c r="AM45" s="418"/>
      <c r="AN45" s="418"/>
      <c r="AO45" s="418"/>
      <c r="AP45" s="418"/>
      <c r="AQ45" s="418"/>
      <c r="AR45" s="418"/>
      <c r="AS45" s="418"/>
      <c r="AT45" s="418"/>
      <c r="AU45" s="418"/>
      <c r="AV45" s="418"/>
      <c r="AW45" s="418"/>
      <c r="AX45" s="418"/>
      <c r="AY45" s="418"/>
      <c r="AZ45" s="418"/>
      <c r="BA45" s="418"/>
      <c r="BB45" s="418"/>
      <c r="BC45" s="418"/>
      <c r="BD45" s="418"/>
      <c r="BE45" s="418"/>
      <c r="BF45" s="418"/>
      <c r="BG45" s="418"/>
      <c r="BH45" s="418"/>
      <c r="BI45" s="418"/>
      <c r="BJ45" s="418"/>
      <c r="BK45" s="418"/>
      <c r="BL45" s="418"/>
      <c r="BM45" s="418"/>
      <c r="BN45" s="418"/>
      <c r="BO45" s="418"/>
      <c r="BP45" s="418"/>
      <c r="BQ45" s="418"/>
      <c r="BR45" s="418"/>
      <c r="BS45" s="418"/>
      <c r="BT45" s="418"/>
      <c r="BU45" s="418"/>
      <c r="BV45" s="418"/>
      <c r="BW45" s="418"/>
      <c r="BX45" s="418"/>
      <c r="BY45" s="418"/>
      <c r="BZ45" s="418"/>
      <c r="CA45" s="418"/>
      <c r="CB45" s="418"/>
      <c r="CC45" s="418"/>
      <c r="CD45" s="418"/>
      <c r="CE45" s="418"/>
      <c r="CF45" s="418"/>
      <c r="CG45" s="418"/>
      <c r="CH45" s="418"/>
      <c r="CI45" s="418"/>
      <c r="CJ45" s="418"/>
      <c r="CK45" s="418"/>
      <c r="CL45" s="418"/>
      <c r="CM45" s="418"/>
      <c r="CN45" s="418"/>
      <c r="CO45" s="418"/>
      <c r="CP45" s="418"/>
      <c r="CQ45" s="418"/>
      <c r="CR45" s="418"/>
      <c r="CS45" s="418"/>
      <c r="CT45" s="418"/>
      <c r="CU45" s="418"/>
      <c r="CV45" s="418"/>
      <c r="CW45" s="418"/>
      <c r="CX45" s="418"/>
      <c r="CY45" s="418"/>
      <c r="CZ45" s="418"/>
      <c r="DA45" s="418"/>
      <c r="DB45" s="418"/>
      <c r="DC45" s="418"/>
      <c r="DD45" s="418"/>
      <c r="DE45" s="418"/>
      <c r="DF45" s="418"/>
      <c r="DG45" s="418"/>
      <c r="DH45" s="418"/>
      <c r="DI45" s="418"/>
      <c r="DJ45" s="418"/>
      <c r="DK45" s="418"/>
      <c r="DL45" s="418"/>
      <c r="DM45" s="418"/>
      <c r="DN45" s="418"/>
      <c r="DO45" s="418"/>
      <c r="DP45" s="418"/>
      <c r="DQ45" s="418"/>
      <c r="DR45" s="418"/>
      <c r="DS45" s="418"/>
      <c r="DT45" s="418"/>
      <c r="DU45" s="418"/>
      <c r="DV45" s="418"/>
      <c r="DW45" s="418"/>
      <c r="DX45" s="418"/>
      <c r="DY45" s="418"/>
      <c r="DZ45" s="418"/>
      <c r="EA45" s="418"/>
      <c r="EB45" s="418"/>
      <c r="EC45" s="418"/>
      <c r="ED45" s="418"/>
      <c r="EE45" s="418"/>
      <c r="EF45" s="418"/>
      <c r="EG45" s="418"/>
      <c r="EH45" s="418"/>
      <c r="EI45" s="418"/>
      <c r="EJ45" s="418"/>
      <c r="EK45" s="418"/>
      <c r="EL45" s="418"/>
      <c r="EM45" s="418"/>
      <c r="EN45" s="418"/>
      <c r="EO45" s="418"/>
      <c r="EP45" s="418"/>
      <c r="EQ45" s="418"/>
      <c r="ER45" s="418"/>
      <c r="ES45" s="418"/>
      <c r="ET45" s="418"/>
      <c r="EU45" s="418"/>
      <c r="EV45" s="418"/>
      <c r="EW45" s="418"/>
      <c r="EX45" s="418"/>
      <c r="EY45" s="418"/>
      <c r="EZ45" s="418"/>
      <c r="FA45" s="418"/>
      <c r="FB45" s="418"/>
      <c r="FC45" s="418"/>
      <c r="FD45" s="418"/>
      <c r="FE45" s="418"/>
      <c r="FF45" s="418"/>
      <c r="FG45" s="418"/>
      <c r="FH45" s="418"/>
      <c r="FI45" s="418"/>
      <c r="FJ45" s="418"/>
      <c r="FK45" s="418"/>
      <c r="FL45" s="418"/>
      <c r="FM45" s="418"/>
      <c r="FN45" s="418"/>
      <c r="FO45" s="418"/>
      <c r="FP45" s="418"/>
      <c r="FQ45" s="418"/>
      <c r="FR45" s="418"/>
      <c r="FS45" s="418"/>
      <c r="FT45" s="418"/>
      <c r="FU45" s="418"/>
      <c r="FV45" s="418"/>
      <c r="FW45" s="418"/>
      <c r="FX45" s="418"/>
      <c r="FY45" s="418"/>
      <c r="FZ45" s="418"/>
      <c r="GA45" s="418"/>
      <c r="GB45" s="418"/>
      <c r="GC45" s="418"/>
      <c r="GD45" s="418"/>
      <c r="GE45" s="418"/>
      <c r="GF45" s="418"/>
      <c r="GG45" s="418"/>
      <c r="GH45" s="418"/>
      <c r="GI45" s="418"/>
      <c r="GJ45" s="418"/>
      <c r="GK45" s="418"/>
      <c r="GL45" s="418"/>
      <c r="GM45" s="418"/>
      <c r="GN45" s="418"/>
      <c r="GO45" s="418"/>
      <c r="GP45" s="418"/>
      <c r="GQ45" s="418"/>
      <c r="GR45" s="418"/>
      <c r="GS45" s="418"/>
      <c r="GT45" s="418"/>
      <c r="GU45" s="418"/>
      <c r="GV45" s="418"/>
      <c r="GW45" s="418"/>
      <c r="GX45" s="418"/>
      <c r="GY45" s="418"/>
      <c r="GZ45" s="418"/>
      <c r="HA45" s="418"/>
      <c r="HB45" s="418"/>
      <c r="HC45" s="418"/>
      <c r="HD45" s="418"/>
      <c r="HE45" s="418"/>
      <c r="HF45" s="418"/>
      <c r="HG45" s="418"/>
      <c r="HH45" s="418"/>
      <c r="HI45" s="418"/>
      <c r="HJ45" s="418"/>
      <c r="HK45" s="418"/>
      <c r="HL45" s="418"/>
      <c r="HM45" s="418"/>
      <c r="HN45" s="418"/>
      <c r="HO45" s="418"/>
      <c r="HP45" s="418"/>
      <c r="HQ45" s="418"/>
      <c r="HR45" s="418"/>
      <c r="HS45" s="418"/>
      <c r="HT45" s="418"/>
      <c r="HU45" s="418"/>
      <c r="HV45" s="418"/>
      <c r="HW45" s="418"/>
      <c r="HX45" s="418"/>
      <c r="HY45" s="418"/>
      <c r="HZ45" s="418"/>
      <c r="IA45" s="418"/>
      <c r="IB45" s="418"/>
      <c r="IC45" s="418"/>
      <c r="ID45" s="418"/>
      <c r="IE45" s="418"/>
      <c r="IF45" s="418"/>
      <c r="IG45" s="418"/>
      <c r="IH45" s="418"/>
      <c r="II45" s="418"/>
      <c r="IJ45" s="418"/>
      <c r="IK45" s="418"/>
      <c r="IL45" s="418"/>
      <c r="IM45" s="418"/>
      <c r="IN45" s="418"/>
      <c r="IO45" s="418"/>
      <c r="IP45" s="418"/>
      <c r="IQ45" s="418"/>
      <c r="IR45" s="418"/>
      <c r="IS45" s="418"/>
      <c r="IT45" s="418"/>
      <c r="IU45" s="418"/>
      <c r="IV45" s="418"/>
      <c r="IW45" s="418"/>
      <c r="IX45" s="418"/>
      <c r="IY45" s="418"/>
      <c r="IZ45" s="418"/>
      <c r="JA45" s="418"/>
    </row>
    <row r="46" spans="1:261" ht="22.5" customHeight="1" x14ac:dyDescent="0.35">
      <c r="A46" s="773">
        <v>37</v>
      </c>
      <c r="B46" s="618"/>
      <c r="C46" s="464">
        <v>8</v>
      </c>
      <c r="D46" s="777" t="s">
        <v>932</v>
      </c>
      <c r="E46" s="430"/>
      <c r="F46" s="762"/>
      <c r="G46" s="431"/>
      <c r="H46" s="999" t="s">
        <v>24</v>
      </c>
      <c r="I46" s="1017"/>
      <c r="J46" s="1013"/>
      <c r="K46" s="1013"/>
      <c r="L46" s="1013"/>
      <c r="M46" s="1013"/>
      <c r="N46" s="1013"/>
      <c r="O46" s="767"/>
      <c r="P46" s="763"/>
    </row>
    <row r="47" spans="1:261" s="758" customFormat="1" ht="18" customHeight="1" x14ac:dyDescent="0.35">
      <c r="A47" s="773">
        <v>38</v>
      </c>
      <c r="B47" s="766"/>
      <c r="C47" s="464"/>
      <c r="D47" s="992" t="s">
        <v>308</v>
      </c>
      <c r="E47" s="430">
        <f>F47+G47+O50+P47</f>
        <v>3901162</v>
      </c>
      <c r="F47" s="762"/>
      <c r="G47" s="431"/>
      <c r="H47" s="999"/>
      <c r="I47" s="1017"/>
      <c r="J47" s="1013"/>
      <c r="K47" s="1013"/>
      <c r="L47" s="1013"/>
      <c r="M47" s="1013">
        <v>981338</v>
      </c>
      <c r="N47" s="1013"/>
      <c r="O47" s="982">
        <f>SUM(I47:N47)</f>
        <v>981338</v>
      </c>
      <c r="P47" s="763">
        <v>2919824</v>
      </c>
      <c r="Q47" s="418"/>
      <c r="R47" s="418"/>
      <c r="S47" s="418"/>
      <c r="T47" s="418"/>
      <c r="U47" s="418"/>
      <c r="V47" s="418"/>
      <c r="W47" s="418"/>
      <c r="X47" s="418"/>
      <c r="Y47" s="418"/>
      <c r="Z47" s="418"/>
      <c r="AA47" s="418"/>
      <c r="AB47" s="418"/>
      <c r="AC47" s="418"/>
      <c r="AD47" s="418"/>
      <c r="AE47" s="418"/>
      <c r="AF47" s="418"/>
      <c r="AG47" s="418"/>
      <c r="AH47" s="418"/>
      <c r="AI47" s="418"/>
      <c r="AJ47" s="418"/>
      <c r="AK47" s="418"/>
      <c r="AL47" s="418"/>
      <c r="AM47" s="418"/>
      <c r="AN47" s="418"/>
      <c r="AO47" s="418"/>
      <c r="AP47" s="418"/>
      <c r="AQ47" s="418"/>
      <c r="AR47" s="418"/>
      <c r="AS47" s="418"/>
      <c r="AT47" s="418"/>
      <c r="AU47" s="418"/>
      <c r="AV47" s="418"/>
      <c r="AW47" s="418"/>
      <c r="AX47" s="418"/>
      <c r="AY47" s="418"/>
      <c r="AZ47" s="418"/>
      <c r="BA47" s="418"/>
      <c r="BB47" s="418"/>
      <c r="BC47" s="418"/>
      <c r="BD47" s="418"/>
      <c r="BE47" s="418"/>
      <c r="BF47" s="418"/>
      <c r="BG47" s="418"/>
      <c r="BH47" s="418"/>
      <c r="BI47" s="418"/>
      <c r="BJ47" s="418"/>
      <c r="BK47" s="418"/>
      <c r="BL47" s="418"/>
      <c r="BM47" s="418"/>
      <c r="BN47" s="418"/>
      <c r="BO47" s="418"/>
      <c r="BP47" s="418"/>
      <c r="BQ47" s="418"/>
      <c r="BR47" s="418"/>
      <c r="BS47" s="418"/>
      <c r="BT47" s="418"/>
      <c r="BU47" s="418"/>
      <c r="BV47" s="418"/>
      <c r="BW47" s="418"/>
      <c r="BX47" s="418"/>
      <c r="BY47" s="418"/>
      <c r="BZ47" s="418"/>
      <c r="CA47" s="418"/>
      <c r="CB47" s="418"/>
      <c r="CC47" s="418"/>
      <c r="CD47" s="418"/>
      <c r="CE47" s="418"/>
      <c r="CF47" s="418"/>
      <c r="CG47" s="418"/>
      <c r="CH47" s="418"/>
      <c r="CI47" s="418"/>
      <c r="CJ47" s="418"/>
      <c r="CK47" s="418"/>
      <c r="CL47" s="418"/>
      <c r="CM47" s="418"/>
      <c r="CN47" s="418"/>
      <c r="CO47" s="418"/>
      <c r="CP47" s="418"/>
      <c r="CQ47" s="418"/>
      <c r="CR47" s="418"/>
      <c r="CS47" s="418"/>
      <c r="CT47" s="418"/>
      <c r="CU47" s="418"/>
      <c r="CV47" s="418"/>
      <c r="CW47" s="418"/>
      <c r="CX47" s="418"/>
      <c r="CY47" s="418"/>
      <c r="CZ47" s="418"/>
      <c r="DA47" s="418"/>
      <c r="DB47" s="418"/>
      <c r="DC47" s="418"/>
      <c r="DD47" s="418"/>
      <c r="DE47" s="418"/>
      <c r="DF47" s="418"/>
      <c r="DG47" s="418"/>
      <c r="DH47" s="418"/>
      <c r="DI47" s="418"/>
      <c r="DJ47" s="418"/>
      <c r="DK47" s="418"/>
      <c r="DL47" s="418"/>
      <c r="DM47" s="418"/>
      <c r="DN47" s="418"/>
      <c r="DO47" s="418"/>
      <c r="DP47" s="418"/>
      <c r="DQ47" s="418"/>
      <c r="DR47" s="418"/>
      <c r="DS47" s="418"/>
      <c r="DT47" s="418"/>
      <c r="DU47" s="418"/>
      <c r="DV47" s="418"/>
      <c r="DW47" s="418"/>
      <c r="DX47" s="418"/>
      <c r="DY47" s="418"/>
      <c r="DZ47" s="418"/>
      <c r="EA47" s="418"/>
      <c r="EB47" s="418"/>
      <c r="EC47" s="418"/>
      <c r="ED47" s="418"/>
      <c r="EE47" s="418"/>
      <c r="EF47" s="418"/>
      <c r="EG47" s="418"/>
      <c r="EH47" s="418"/>
      <c r="EI47" s="418"/>
      <c r="EJ47" s="418"/>
      <c r="EK47" s="418"/>
      <c r="EL47" s="418"/>
      <c r="EM47" s="418"/>
      <c r="EN47" s="418"/>
      <c r="EO47" s="418"/>
      <c r="EP47" s="418"/>
      <c r="EQ47" s="418"/>
      <c r="ER47" s="418"/>
      <c r="ES47" s="418"/>
      <c r="ET47" s="418"/>
      <c r="EU47" s="418"/>
      <c r="EV47" s="418"/>
      <c r="EW47" s="418"/>
      <c r="EX47" s="418"/>
      <c r="EY47" s="418"/>
      <c r="EZ47" s="418"/>
      <c r="FA47" s="418"/>
      <c r="FB47" s="418"/>
      <c r="FC47" s="418"/>
      <c r="FD47" s="418"/>
      <c r="FE47" s="418"/>
      <c r="FF47" s="418"/>
      <c r="FG47" s="418"/>
      <c r="FH47" s="418"/>
      <c r="FI47" s="418"/>
      <c r="FJ47" s="418"/>
      <c r="FK47" s="418"/>
      <c r="FL47" s="418"/>
      <c r="FM47" s="418"/>
      <c r="FN47" s="418"/>
      <c r="FO47" s="418"/>
      <c r="FP47" s="418"/>
      <c r="FQ47" s="418"/>
      <c r="FR47" s="418"/>
      <c r="FS47" s="418"/>
      <c r="FT47" s="418"/>
      <c r="FU47" s="418"/>
      <c r="FV47" s="418"/>
      <c r="FW47" s="418"/>
      <c r="FX47" s="418"/>
      <c r="FY47" s="418"/>
      <c r="FZ47" s="418"/>
      <c r="GA47" s="418"/>
      <c r="GB47" s="418"/>
      <c r="GC47" s="418"/>
      <c r="GD47" s="418"/>
      <c r="GE47" s="418"/>
      <c r="GF47" s="418"/>
      <c r="GG47" s="418"/>
      <c r="GH47" s="418"/>
      <c r="GI47" s="418"/>
      <c r="GJ47" s="418"/>
      <c r="GK47" s="418"/>
      <c r="GL47" s="418"/>
      <c r="GM47" s="418"/>
      <c r="GN47" s="418"/>
      <c r="GO47" s="418"/>
      <c r="GP47" s="418"/>
      <c r="GQ47" s="418"/>
      <c r="GR47" s="418"/>
      <c r="GS47" s="418"/>
      <c r="GT47" s="418"/>
      <c r="GU47" s="418"/>
      <c r="GV47" s="418"/>
      <c r="GW47" s="418"/>
      <c r="GX47" s="418"/>
      <c r="GY47" s="418"/>
      <c r="GZ47" s="418"/>
      <c r="HA47" s="418"/>
      <c r="HB47" s="418"/>
      <c r="HC47" s="418"/>
      <c r="HD47" s="418"/>
      <c r="HE47" s="418"/>
      <c r="HF47" s="418"/>
      <c r="HG47" s="418"/>
      <c r="HH47" s="418"/>
      <c r="HI47" s="418"/>
      <c r="HJ47" s="418"/>
      <c r="HK47" s="418"/>
      <c r="HL47" s="418"/>
      <c r="HM47" s="418"/>
      <c r="HN47" s="418"/>
      <c r="HO47" s="418"/>
      <c r="HP47" s="418"/>
      <c r="HQ47" s="418"/>
      <c r="HR47" s="418"/>
      <c r="HS47" s="418"/>
      <c r="HT47" s="418"/>
      <c r="HU47" s="418"/>
      <c r="HV47" s="418"/>
      <c r="HW47" s="418"/>
      <c r="HX47" s="418"/>
      <c r="HY47" s="418"/>
      <c r="HZ47" s="418"/>
      <c r="IA47" s="418"/>
      <c r="IB47" s="418"/>
      <c r="IC47" s="418"/>
      <c r="ID47" s="418"/>
      <c r="IE47" s="418"/>
      <c r="IF47" s="418"/>
      <c r="IG47" s="418"/>
      <c r="IH47" s="418"/>
      <c r="II47" s="418"/>
      <c r="IJ47" s="418"/>
      <c r="IK47" s="418"/>
      <c r="IL47" s="418"/>
      <c r="IM47" s="418"/>
      <c r="IN47" s="418"/>
      <c r="IO47" s="418"/>
      <c r="IP47" s="418"/>
      <c r="IQ47" s="418"/>
      <c r="IR47" s="418"/>
      <c r="IS47" s="418"/>
      <c r="IT47" s="418"/>
      <c r="IU47" s="418"/>
      <c r="IV47" s="418"/>
      <c r="IW47" s="418"/>
      <c r="IX47" s="418"/>
      <c r="IY47" s="418"/>
      <c r="IZ47" s="418"/>
      <c r="JA47" s="418"/>
    </row>
    <row r="48" spans="1:261" s="758" customFormat="1" ht="18" customHeight="1" x14ac:dyDescent="0.35">
      <c r="A48" s="773">
        <v>39</v>
      </c>
      <c r="B48" s="766"/>
      <c r="C48" s="464"/>
      <c r="D48" s="576" t="s">
        <v>1158</v>
      </c>
      <c r="E48" s="430"/>
      <c r="F48" s="762"/>
      <c r="G48" s="431"/>
      <c r="H48" s="999"/>
      <c r="I48" s="1017"/>
      <c r="J48" s="1013"/>
      <c r="K48" s="1013"/>
      <c r="L48" s="1013"/>
      <c r="M48" s="1524">
        <v>981338</v>
      </c>
      <c r="N48" s="759"/>
      <c r="O48" s="767">
        <f>SUM(I48:N48)</f>
        <v>981338</v>
      </c>
      <c r="P48" s="763"/>
      <c r="Q48" s="418"/>
      <c r="R48" s="418"/>
      <c r="S48" s="418"/>
      <c r="T48" s="418"/>
      <c r="U48" s="418"/>
      <c r="V48" s="418"/>
      <c r="W48" s="418"/>
      <c r="X48" s="418"/>
      <c r="Y48" s="418"/>
      <c r="Z48" s="418"/>
      <c r="AA48" s="418"/>
      <c r="AB48" s="418"/>
      <c r="AC48" s="418"/>
      <c r="AD48" s="418"/>
      <c r="AE48" s="418"/>
      <c r="AF48" s="418"/>
      <c r="AG48" s="418"/>
      <c r="AH48" s="418"/>
      <c r="AI48" s="418"/>
      <c r="AJ48" s="418"/>
      <c r="AK48" s="418"/>
      <c r="AL48" s="418"/>
      <c r="AM48" s="418"/>
      <c r="AN48" s="418"/>
      <c r="AO48" s="418"/>
      <c r="AP48" s="418"/>
      <c r="AQ48" s="418"/>
      <c r="AR48" s="418"/>
      <c r="AS48" s="418"/>
      <c r="AT48" s="418"/>
      <c r="AU48" s="418"/>
      <c r="AV48" s="418"/>
      <c r="AW48" s="418"/>
      <c r="AX48" s="418"/>
      <c r="AY48" s="418"/>
      <c r="AZ48" s="418"/>
      <c r="BA48" s="418"/>
      <c r="BB48" s="418"/>
      <c r="BC48" s="418"/>
      <c r="BD48" s="418"/>
      <c r="BE48" s="418"/>
      <c r="BF48" s="418"/>
      <c r="BG48" s="418"/>
      <c r="BH48" s="418"/>
      <c r="BI48" s="418"/>
      <c r="BJ48" s="418"/>
      <c r="BK48" s="418"/>
      <c r="BL48" s="418"/>
      <c r="BM48" s="418"/>
      <c r="BN48" s="418"/>
      <c r="BO48" s="418"/>
      <c r="BP48" s="418"/>
      <c r="BQ48" s="418"/>
      <c r="BR48" s="418"/>
      <c r="BS48" s="418"/>
      <c r="BT48" s="418"/>
      <c r="BU48" s="418"/>
      <c r="BV48" s="418"/>
      <c r="BW48" s="418"/>
      <c r="BX48" s="418"/>
      <c r="BY48" s="418"/>
      <c r="BZ48" s="418"/>
      <c r="CA48" s="418"/>
      <c r="CB48" s="418"/>
      <c r="CC48" s="418"/>
      <c r="CD48" s="418"/>
      <c r="CE48" s="418"/>
      <c r="CF48" s="418"/>
      <c r="CG48" s="418"/>
      <c r="CH48" s="418"/>
      <c r="CI48" s="418"/>
      <c r="CJ48" s="418"/>
      <c r="CK48" s="418"/>
      <c r="CL48" s="418"/>
      <c r="CM48" s="418"/>
      <c r="CN48" s="418"/>
      <c r="CO48" s="418"/>
      <c r="CP48" s="418"/>
      <c r="CQ48" s="418"/>
      <c r="CR48" s="418"/>
      <c r="CS48" s="418"/>
      <c r="CT48" s="418"/>
      <c r="CU48" s="418"/>
      <c r="CV48" s="418"/>
      <c r="CW48" s="418"/>
      <c r="CX48" s="418"/>
      <c r="CY48" s="418"/>
      <c r="CZ48" s="418"/>
      <c r="DA48" s="418"/>
      <c r="DB48" s="418"/>
      <c r="DC48" s="418"/>
      <c r="DD48" s="418"/>
      <c r="DE48" s="418"/>
      <c r="DF48" s="418"/>
      <c r="DG48" s="418"/>
      <c r="DH48" s="418"/>
      <c r="DI48" s="418"/>
      <c r="DJ48" s="418"/>
      <c r="DK48" s="418"/>
      <c r="DL48" s="418"/>
      <c r="DM48" s="418"/>
      <c r="DN48" s="418"/>
      <c r="DO48" s="418"/>
      <c r="DP48" s="418"/>
      <c r="DQ48" s="418"/>
      <c r="DR48" s="418"/>
      <c r="DS48" s="418"/>
      <c r="DT48" s="418"/>
      <c r="DU48" s="418"/>
      <c r="DV48" s="418"/>
      <c r="DW48" s="418"/>
      <c r="DX48" s="418"/>
      <c r="DY48" s="418"/>
      <c r="DZ48" s="418"/>
      <c r="EA48" s="418"/>
      <c r="EB48" s="418"/>
      <c r="EC48" s="418"/>
      <c r="ED48" s="418"/>
      <c r="EE48" s="418"/>
      <c r="EF48" s="418"/>
      <c r="EG48" s="418"/>
      <c r="EH48" s="418"/>
      <c r="EI48" s="418"/>
      <c r="EJ48" s="418"/>
      <c r="EK48" s="418"/>
      <c r="EL48" s="418"/>
      <c r="EM48" s="418"/>
      <c r="EN48" s="418"/>
      <c r="EO48" s="418"/>
      <c r="EP48" s="418"/>
      <c r="EQ48" s="418"/>
      <c r="ER48" s="418"/>
      <c r="ES48" s="418"/>
      <c r="ET48" s="418"/>
      <c r="EU48" s="418"/>
      <c r="EV48" s="418"/>
      <c r="EW48" s="418"/>
      <c r="EX48" s="418"/>
      <c r="EY48" s="418"/>
      <c r="EZ48" s="418"/>
      <c r="FA48" s="418"/>
      <c r="FB48" s="418"/>
      <c r="FC48" s="418"/>
      <c r="FD48" s="418"/>
      <c r="FE48" s="418"/>
      <c r="FF48" s="418"/>
      <c r="FG48" s="418"/>
      <c r="FH48" s="418"/>
      <c r="FI48" s="418"/>
      <c r="FJ48" s="418"/>
      <c r="FK48" s="418"/>
      <c r="FL48" s="418"/>
      <c r="FM48" s="418"/>
      <c r="FN48" s="418"/>
      <c r="FO48" s="418"/>
      <c r="FP48" s="418"/>
      <c r="FQ48" s="418"/>
      <c r="FR48" s="418"/>
      <c r="FS48" s="418"/>
      <c r="FT48" s="418"/>
      <c r="FU48" s="418"/>
      <c r="FV48" s="418"/>
      <c r="FW48" s="418"/>
      <c r="FX48" s="418"/>
      <c r="FY48" s="418"/>
      <c r="FZ48" s="418"/>
      <c r="GA48" s="418"/>
      <c r="GB48" s="418"/>
      <c r="GC48" s="418"/>
      <c r="GD48" s="418"/>
      <c r="GE48" s="418"/>
      <c r="GF48" s="418"/>
      <c r="GG48" s="418"/>
      <c r="GH48" s="418"/>
      <c r="GI48" s="418"/>
      <c r="GJ48" s="418"/>
      <c r="GK48" s="418"/>
      <c r="GL48" s="418"/>
      <c r="GM48" s="418"/>
      <c r="GN48" s="418"/>
      <c r="GO48" s="418"/>
      <c r="GP48" s="418"/>
      <c r="GQ48" s="418"/>
      <c r="GR48" s="418"/>
      <c r="GS48" s="418"/>
      <c r="GT48" s="418"/>
      <c r="GU48" s="418"/>
      <c r="GV48" s="418"/>
      <c r="GW48" s="418"/>
      <c r="GX48" s="418"/>
      <c r="GY48" s="418"/>
      <c r="GZ48" s="418"/>
      <c r="HA48" s="418"/>
      <c r="HB48" s="418"/>
      <c r="HC48" s="418"/>
      <c r="HD48" s="418"/>
      <c r="HE48" s="418"/>
      <c r="HF48" s="418"/>
      <c r="HG48" s="418"/>
      <c r="HH48" s="418"/>
      <c r="HI48" s="418"/>
      <c r="HJ48" s="418"/>
      <c r="HK48" s="418"/>
      <c r="HL48" s="418"/>
      <c r="HM48" s="418"/>
      <c r="HN48" s="418"/>
      <c r="HO48" s="418"/>
      <c r="HP48" s="418"/>
      <c r="HQ48" s="418"/>
      <c r="HR48" s="418"/>
      <c r="HS48" s="418"/>
      <c r="HT48" s="418"/>
      <c r="HU48" s="418"/>
      <c r="HV48" s="418"/>
      <c r="HW48" s="418"/>
      <c r="HX48" s="418"/>
      <c r="HY48" s="418"/>
      <c r="HZ48" s="418"/>
      <c r="IA48" s="418"/>
      <c r="IB48" s="418"/>
      <c r="IC48" s="418"/>
      <c r="ID48" s="418"/>
      <c r="IE48" s="418"/>
      <c r="IF48" s="418"/>
      <c r="IG48" s="418"/>
      <c r="IH48" s="418"/>
      <c r="II48" s="418"/>
      <c r="IJ48" s="418"/>
      <c r="IK48" s="418"/>
      <c r="IL48" s="418"/>
      <c r="IM48" s="418"/>
      <c r="IN48" s="418"/>
      <c r="IO48" s="418"/>
      <c r="IP48" s="418"/>
      <c r="IQ48" s="418"/>
      <c r="IR48" s="418"/>
      <c r="IS48" s="418"/>
      <c r="IT48" s="418"/>
      <c r="IU48" s="418"/>
      <c r="IV48" s="418"/>
      <c r="IW48" s="418"/>
      <c r="IX48" s="418"/>
      <c r="IY48" s="418"/>
      <c r="IZ48" s="418"/>
      <c r="JA48" s="418"/>
    </row>
    <row r="49" spans="1:261" s="758" customFormat="1" ht="18" customHeight="1" x14ac:dyDescent="0.35">
      <c r="A49" s="773">
        <v>40</v>
      </c>
      <c r="B49" s="766"/>
      <c r="C49" s="464"/>
      <c r="D49" s="1318" t="s">
        <v>947</v>
      </c>
      <c r="E49" s="430"/>
      <c r="F49" s="762"/>
      <c r="G49" s="431"/>
      <c r="H49" s="999"/>
      <c r="I49" s="995"/>
      <c r="J49" s="759"/>
      <c r="K49" s="759"/>
      <c r="L49" s="759"/>
      <c r="M49" s="759"/>
      <c r="N49" s="759"/>
      <c r="O49" s="767">
        <f>SUM(I49:N49)</f>
        <v>0</v>
      </c>
      <c r="P49" s="763"/>
      <c r="Q49" s="418"/>
      <c r="R49" s="418"/>
      <c r="S49" s="418"/>
      <c r="T49" s="418"/>
      <c r="U49" s="418"/>
      <c r="V49" s="418"/>
      <c r="W49" s="418"/>
      <c r="X49" s="418"/>
      <c r="Y49" s="418"/>
      <c r="Z49" s="418"/>
      <c r="AA49" s="418"/>
      <c r="AB49" s="418"/>
      <c r="AC49" s="418"/>
      <c r="AD49" s="418"/>
      <c r="AE49" s="418"/>
      <c r="AF49" s="418"/>
      <c r="AG49" s="418"/>
      <c r="AH49" s="418"/>
      <c r="AI49" s="418"/>
      <c r="AJ49" s="418"/>
      <c r="AK49" s="418"/>
      <c r="AL49" s="418"/>
      <c r="AM49" s="418"/>
      <c r="AN49" s="418"/>
      <c r="AO49" s="418"/>
      <c r="AP49" s="418"/>
      <c r="AQ49" s="418"/>
      <c r="AR49" s="418"/>
      <c r="AS49" s="418"/>
      <c r="AT49" s="418"/>
      <c r="AU49" s="418"/>
      <c r="AV49" s="418"/>
      <c r="AW49" s="418"/>
      <c r="AX49" s="418"/>
      <c r="AY49" s="418"/>
      <c r="AZ49" s="418"/>
      <c r="BA49" s="418"/>
      <c r="BB49" s="418"/>
      <c r="BC49" s="418"/>
      <c r="BD49" s="418"/>
      <c r="BE49" s="418"/>
      <c r="BF49" s="418"/>
      <c r="BG49" s="418"/>
      <c r="BH49" s="418"/>
      <c r="BI49" s="418"/>
      <c r="BJ49" s="418"/>
      <c r="BK49" s="418"/>
      <c r="BL49" s="418"/>
      <c r="BM49" s="418"/>
      <c r="BN49" s="418"/>
      <c r="BO49" s="418"/>
      <c r="BP49" s="418"/>
      <c r="BQ49" s="418"/>
      <c r="BR49" s="418"/>
      <c r="BS49" s="418"/>
      <c r="BT49" s="418"/>
      <c r="BU49" s="418"/>
      <c r="BV49" s="418"/>
      <c r="BW49" s="418"/>
      <c r="BX49" s="418"/>
      <c r="BY49" s="418"/>
      <c r="BZ49" s="418"/>
      <c r="CA49" s="418"/>
      <c r="CB49" s="418"/>
      <c r="CC49" s="418"/>
      <c r="CD49" s="418"/>
      <c r="CE49" s="418"/>
      <c r="CF49" s="418"/>
      <c r="CG49" s="418"/>
      <c r="CH49" s="418"/>
      <c r="CI49" s="418"/>
      <c r="CJ49" s="418"/>
      <c r="CK49" s="418"/>
      <c r="CL49" s="418"/>
      <c r="CM49" s="418"/>
      <c r="CN49" s="418"/>
      <c r="CO49" s="418"/>
      <c r="CP49" s="418"/>
      <c r="CQ49" s="418"/>
      <c r="CR49" s="418"/>
      <c r="CS49" s="418"/>
      <c r="CT49" s="418"/>
      <c r="CU49" s="418"/>
      <c r="CV49" s="418"/>
      <c r="CW49" s="418"/>
      <c r="CX49" s="418"/>
      <c r="CY49" s="418"/>
      <c r="CZ49" s="418"/>
      <c r="DA49" s="418"/>
      <c r="DB49" s="418"/>
      <c r="DC49" s="418"/>
      <c r="DD49" s="418"/>
      <c r="DE49" s="418"/>
      <c r="DF49" s="418"/>
      <c r="DG49" s="418"/>
      <c r="DH49" s="418"/>
      <c r="DI49" s="418"/>
      <c r="DJ49" s="418"/>
      <c r="DK49" s="418"/>
      <c r="DL49" s="418"/>
      <c r="DM49" s="418"/>
      <c r="DN49" s="418"/>
      <c r="DO49" s="418"/>
      <c r="DP49" s="418"/>
      <c r="DQ49" s="418"/>
      <c r="DR49" s="418"/>
      <c r="DS49" s="418"/>
      <c r="DT49" s="418"/>
      <c r="DU49" s="418"/>
      <c r="DV49" s="418"/>
      <c r="DW49" s="418"/>
      <c r="DX49" s="418"/>
      <c r="DY49" s="418"/>
      <c r="DZ49" s="418"/>
      <c r="EA49" s="418"/>
      <c r="EB49" s="418"/>
      <c r="EC49" s="418"/>
      <c r="ED49" s="418"/>
      <c r="EE49" s="418"/>
      <c r="EF49" s="418"/>
      <c r="EG49" s="418"/>
      <c r="EH49" s="418"/>
      <c r="EI49" s="418"/>
      <c r="EJ49" s="418"/>
      <c r="EK49" s="418"/>
      <c r="EL49" s="418"/>
      <c r="EM49" s="418"/>
      <c r="EN49" s="418"/>
      <c r="EO49" s="418"/>
      <c r="EP49" s="418"/>
      <c r="EQ49" s="418"/>
      <c r="ER49" s="418"/>
      <c r="ES49" s="418"/>
      <c r="ET49" s="418"/>
      <c r="EU49" s="418"/>
      <c r="EV49" s="418"/>
      <c r="EW49" s="418"/>
      <c r="EX49" s="418"/>
      <c r="EY49" s="418"/>
      <c r="EZ49" s="418"/>
      <c r="FA49" s="418"/>
      <c r="FB49" s="418"/>
      <c r="FC49" s="418"/>
      <c r="FD49" s="418"/>
      <c r="FE49" s="418"/>
      <c r="FF49" s="418"/>
      <c r="FG49" s="418"/>
      <c r="FH49" s="418"/>
      <c r="FI49" s="418"/>
      <c r="FJ49" s="418"/>
      <c r="FK49" s="418"/>
      <c r="FL49" s="418"/>
      <c r="FM49" s="418"/>
      <c r="FN49" s="418"/>
      <c r="FO49" s="418"/>
      <c r="FP49" s="418"/>
      <c r="FQ49" s="418"/>
      <c r="FR49" s="418"/>
      <c r="FS49" s="418"/>
      <c r="FT49" s="418"/>
      <c r="FU49" s="418"/>
      <c r="FV49" s="418"/>
      <c r="FW49" s="418"/>
      <c r="FX49" s="418"/>
      <c r="FY49" s="418"/>
      <c r="FZ49" s="418"/>
      <c r="GA49" s="418"/>
      <c r="GB49" s="418"/>
      <c r="GC49" s="418"/>
      <c r="GD49" s="418"/>
      <c r="GE49" s="418"/>
      <c r="GF49" s="418"/>
      <c r="GG49" s="418"/>
      <c r="GH49" s="418"/>
      <c r="GI49" s="418"/>
      <c r="GJ49" s="418"/>
      <c r="GK49" s="418"/>
      <c r="GL49" s="418"/>
      <c r="GM49" s="418"/>
      <c r="GN49" s="418"/>
      <c r="GO49" s="418"/>
      <c r="GP49" s="418"/>
      <c r="GQ49" s="418"/>
      <c r="GR49" s="418"/>
      <c r="GS49" s="418"/>
      <c r="GT49" s="418"/>
      <c r="GU49" s="418"/>
      <c r="GV49" s="418"/>
      <c r="GW49" s="418"/>
      <c r="GX49" s="418"/>
      <c r="GY49" s="418"/>
      <c r="GZ49" s="418"/>
      <c r="HA49" s="418"/>
      <c r="HB49" s="418"/>
      <c r="HC49" s="418"/>
      <c r="HD49" s="418"/>
      <c r="HE49" s="418"/>
      <c r="HF49" s="418"/>
      <c r="HG49" s="418"/>
      <c r="HH49" s="418"/>
      <c r="HI49" s="418"/>
      <c r="HJ49" s="418"/>
      <c r="HK49" s="418"/>
      <c r="HL49" s="418"/>
      <c r="HM49" s="418"/>
      <c r="HN49" s="418"/>
      <c r="HO49" s="418"/>
      <c r="HP49" s="418"/>
      <c r="HQ49" s="418"/>
      <c r="HR49" s="418"/>
      <c r="HS49" s="418"/>
      <c r="HT49" s="418"/>
      <c r="HU49" s="418"/>
      <c r="HV49" s="418"/>
      <c r="HW49" s="418"/>
      <c r="HX49" s="418"/>
      <c r="HY49" s="418"/>
      <c r="HZ49" s="418"/>
      <c r="IA49" s="418"/>
      <c r="IB49" s="418"/>
      <c r="IC49" s="418"/>
      <c r="ID49" s="418"/>
      <c r="IE49" s="418"/>
      <c r="IF49" s="418"/>
      <c r="IG49" s="418"/>
      <c r="IH49" s="418"/>
      <c r="II49" s="418"/>
      <c r="IJ49" s="418"/>
      <c r="IK49" s="418"/>
      <c r="IL49" s="418"/>
      <c r="IM49" s="418"/>
      <c r="IN49" s="418"/>
      <c r="IO49" s="418"/>
      <c r="IP49" s="418"/>
      <c r="IQ49" s="418"/>
      <c r="IR49" s="418"/>
      <c r="IS49" s="418"/>
      <c r="IT49" s="418"/>
      <c r="IU49" s="418"/>
      <c r="IV49" s="418"/>
      <c r="IW49" s="418"/>
      <c r="IX49" s="418"/>
      <c r="IY49" s="418"/>
      <c r="IZ49" s="418"/>
      <c r="JA49" s="418"/>
    </row>
    <row r="50" spans="1:261" s="758" customFormat="1" ht="18" customHeight="1" x14ac:dyDescent="0.35">
      <c r="A50" s="773">
        <v>41</v>
      </c>
      <c r="B50" s="766"/>
      <c r="C50" s="464"/>
      <c r="D50" s="576" t="s">
        <v>1250</v>
      </c>
      <c r="E50" s="430"/>
      <c r="F50" s="762"/>
      <c r="G50" s="431"/>
      <c r="H50" s="999"/>
      <c r="I50" s="995"/>
      <c r="J50" s="759"/>
      <c r="K50" s="759"/>
      <c r="L50" s="759"/>
      <c r="M50" s="1524">
        <f>SUM(M48:M49)</f>
        <v>981338</v>
      </c>
      <c r="N50" s="759"/>
      <c r="O50" s="767">
        <f>SUM(I50:N50)</f>
        <v>981338</v>
      </c>
      <c r="P50" s="763"/>
      <c r="Q50" s="418"/>
      <c r="R50" s="418"/>
      <c r="S50" s="418"/>
      <c r="T50" s="418"/>
      <c r="U50" s="418"/>
      <c r="V50" s="418"/>
      <c r="W50" s="418"/>
      <c r="X50" s="418"/>
      <c r="Y50" s="418"/>
      <c r="Z50" s="418"/>
      <c r="AA50" s="418"/>
      <c r="AB50" s="418"/>
      <c r="AC50" s="418"/>
      <c r="AD50" s="418"/>
      <c r="AE50" s="418"/>
      <c r="AF50" s="418"/>
      <c r="AG50" s="418"/>
      <c r="AH50" s="418"/>
      <c r="AI50" s="418"/>
      <c r="AJ50" s="418"/>
      <c r="AK50" s="418"/>
      <c r="AL50" s="418"/>
      <c r="AM50" s="418"/>
      <c r="AN50" s="418"/>
      <c r="AO50" s="418"/>
      <c r="AP50" s="418"/>
      <c r="AQ50" s="418"/>
      <c r="AR50" s="418"/>
      <c r="AS50" s="418"/>
      <c r="AT50" s="418"/>
      <c r="AU50" s="418"/>
      <c r="AV50" s="418"/>
      <c r="AW50" s="418"/>
      <c r="AX50" s="418"/>
      <c r="AY50" s="418"/>
      <c r="AZ50" s="418"/>
      <c r="BA50" s="418"/>
      <c r="BB50" s="418"/>
      <c r="BC50" s="418"/>
      <c r="BD50" s="418"/>
      <c r="BE50" s="418"/>
      <c r="BF50" s="418"/>
      <c r="BG50" s="418"/>
      <c r="BH50" s="418"/>
      <c r="BI50" s="418"/>
      <c r="BJ50" s="418"/>
      <c r="BK50" s="418"/>
      <c r="BL50" s="418"/>
      <c r="BM50" s="418"/>
      <c r="BN50" s="418"/>
      <c r="BO50" s="418"/>
      <c r="BP50" s="418"/>
      <c r="BQ50" s="418"/>
      <c r="BR50" s="418"/>
      <c r="BS50" s="418"/>
      <c r="BT50" s="418"/>
      <c r="BU50" s="418"/>
      <c r="BV50" s="418"/>
      <c r="BW50" s="418"/>
      <c r="BX50" s="418"/>
      <c r="BY50" s="418"/>
      <c r="BZ50" s="418"/>
      <c r="CA50" s="418"/>
      <c r="CB50" s="418"/>
      <c r="CC50" s="418"/>
      <c r="CD50" s="418"/>
      <c r="CE50" s="418"/>
      <c r="CF50" s="418"/>
      <c r="CG50" s="418"/>
      <c r="CH50" s="418"/>
      <c r="CI50" s="418"/>
      <c r="CJ50" s="418"/>
      <c r="CK50" s="418"/>
      <c r="CL50" s="418"/>
      <c r="CM50" s="418"/>
      <c r="CN50" s="418"/>
      <c r="CO50" s="418"/>
      <c r="CP50" s="418"/>
      <c r="CQ50" s="418"/>
      <c r="CR50" s="418"/>
      <c r="CS50" s="418"/>
      <c r="CT50" s="418"/>
      <c r="CU50" s="418"/>
      <c r="CV50" s="418"/>
      <c r="CW50" s="418"/>
      <c r="CX50" s="418"/>
      <c r="CY50" s="418"/>
      <c r="CZ50" s="418"/>
      <c r="DA50" s="418"/>
      <c r="DB50" s="418"/>
      <c r="DC50" s="418"/>
      <c r="DD50" s="418"/>
      <c r="DE50" s="418"/>
      <c r="DF50" s="418"/>
      <c r="DG50" s="418"/>
      <c r="DH50" s="418"/>
      <c r="DI50" s="418"/>
      <c r="DJ50" s="418"/>
      <c r="DK50" s="418"/>
      <c r="DL50" s="418"/>
      <c r="DM50" s="418"/>
      <c r="DN50" s="418"/>
      <c r="DO50" s="418"/>
      <c r="DP50" s="418"/>
      <c r="DQ50" s="418"/>
      <c r="DR50" s="418"/>
      <c r="DS50" s="418"/>
      <c r="DT50" s="418"/>
      <c r="DU50" s="418"/>
      <c r="DV50" s="418"/>
      <c r="DW50" s="418"/>
      <c r="DX50" s="418"/>
      <c r="DY50" s="418"/>
      <c r="DZ50" s="418"/>
      <c r="EA50" s="418"/>
      <c r="EB50" s="418"/>
      <c r="EC50" s="418"/>
      <c r="ED50" s="418"/>
      <c r="EE50" s="418"/>
      <c r="EF50" s="418"/>
      <c r="EG50" s="418"/>
      <c r="EH50" s="418"/>
      <c r="EI50" s="418"/>
      <c r="EJ50" s="418"/>
      <c r="EK50" s="418"/>
      <c r="EL50" s="418"/>
      <c r="EM50" s="418"/>
      <c r="EN50" s="418"/>
      <c r="EO50" s="418"/>
      <c r="EP50" s="418"/>
      <c r="EQ50" s="418"/>
      <c r="ER50" s="418"/>
      <c r="ES50" s="418"/>
      <c r="ET50" s="418"/>
      <c r="EU50" s="418"/>
      <c r="EV50" s="418"/>
      <c r="EW50" s="418"/>
      <c r="EX50" s="418"/>
      <c r="EY50" s="418"/>
      <c r="EZ50" s="418"/>
      <c r="FA50" s="418"/>
      <c r="FB50" s="418"/>
      <c r="FC50" s="418"/>
      <c r="FD50" s="418"/>
      <c r="FE50" s="418"/>
      <c r="FF50" s="418"/>
      <c r="FG50" s="418"/>
      <c r="FH50" s="418"/>
      <c r="FI50" s="418"/>
      <c r="FJ50" s="418"/>
      <c r="FK50" s="418"/>
      <c r="FL50" s="418"/>
      <c r="FM50" s="418"/>
      <c r="FN50" s="418"/>
      <c r="FO50" s="418"/>
      <c r="FP50" s="418"/>
      <c r="FQ50" s="418"/>
      <c r="FR50" s="418"/>
      <c r="FS50" s="418"/>
      <c r="FT50" s="418"/>
      <c r="FU50" s="418"/>
      <c r="FV50" s="418"/>
      <c r="FW50" s="418"/>
      <c r="FX50" s="418"/>
      <c r="FY50" s="418"/>
      <c r="FZ50" s="418"/>
      <c r="GA50" s="418"/>
      <c r="GB50" s="418"/>
      <c r="GC50" s="418"/>
      <c r="GD50" s="418"/>
      <c r="GE50" s="418"/>
      <c r="GF50" s="418"/>
      <c r="GG50" s="418"/>
      <c r="GH50" s="418"/>
      <c r="GI50" s="418"/>
      <c r="GJ50" s="418"/>
      <c r="GK50" s="418"/>
      <c r="GL50" s="418"/>
      <c r="GM50" s="418"/>
      <c r="GN50" s="418"/>
      <c r="GO50" s="418"/>
      <c r="GP50" s="418"/>
      <c r="GQ50" s="418"/>
      <c r="GR50" s="418"/>
      <c r="GS50" s="418"/>
      <c r="GT50" s="418"/>
      <c r="GU50" s="418"/>
      <c r="GV50" s="418"/>
      <c r="GW50" s="418"/>
      <c r="GX50" s="418"/>
      <c r="GY50" s="418"/>
      <c r="GZ50" s="418"/>
      <c r="HA50" s="418"/>
      <c r="HB50" s="418"/>
      <c r="HC50" s="418"/>
      <c r="HD50" s="418"/>
      <c r="HE50" s="418"/>
      <c r="HF50" s="418"/>
      <c r="HG50" s="418"/>
      <c r="HH50" s="418"/>
      <c r="HI50" s="418"/>
      <c r="HJ50" s="418"/>
      <c r="HK50" s="418"/>
      <c r="HL50" s="418"/>
      <c r="HM50" s="418"/>
      <c r="HN50" s="418"/>
      <c r="HO50" s="418"/>
      <c r="HP50" s="418"/>
      <c r="HQ50" s="418"/>
      <c r="HR50" s="418"/>
      <c r="HS50" s="418"/>
      <c r="HT50" s="418"/>
      <c r="HU50" s="418"/>
      <c r="HV50" s="418"/>
      <c r="HW50" s="418"/>
      <c r="HX50" s="418"/>
      <c r="HY50" s="418"/>
      <c r="HZ50" s="418"/>
      <c r="IA50" s="418"/>
      <c r="IB50" s="418"/>
      <c r="IC50" s="418"/>
      <c r="ID50" s="418"/>
      <c r="IE50" s="418"/>
      <c r="IF50" s="418"/>
      <c r="IG50" s="418"/>
      <c r="IH50" s="418"/>
      <c r="II50" s="418"/>
      <c r="IJ50" s="418"/>
      <c r="IK50" s="418"/>
      <c r="IL50" s="418"/>
      <c r="IM50" s="418"/>
      <c r="IN50" s="418"/>
      <c r="IO50" s="418"/>
      <c r="IP50" s="418"/>
      <c r="IQ50" s="418"/>
      <c r="IR50" s="418"/>
      <c r="IS50" s="418"/>
      <c r="IT50" s="418"/>
      <c r="IU50" s="418"/>
      <c r="IV50" s="418"/>
      <c r="IW50" s="418"/>
      <c r="IX50" s="418"/>
      <c r="IY50" s="418"/>
      <c r="IZ50" s="418"/>
      <c r="JA50" s="418"/>
    </row>
    <row r="51" spans="1:261" ht="22.5" customHeight="1" x14ac:dyDescent="0.35">
      <c r="A51" s="773">
        <v>42</v>
      </c>
      <c r="B51" s="618"/>
      <c r="C51" s="464">
        <v>9</v>
      </c>
      <c r="D51" s="770" t="s">
        <v>697</v>
      </c>
      <c r="E51" s="430"/>
      <c r="F51" s="762"/>
      <c r="G51" s="431"/>
      <c r="H51" s="999" t="s">
        <v>24</v>
      </c>
      <c r="I51" s="1017"/>
      <c r="J51" s="1013"/>
      <c r="K51" s="1013"/>
      <c r="L51" s="1013"/>
      <c r="M51" s="1013"/>
      <c r="N51" s="1013"/>
      <c r="O51" s="767"/>
      <c r="P51" s="763"/>
    </row>
    <row r="52" spans="1:261" s="758" customFormat="1" ht="18" customHeight="1" x14ac:dyDescent="0.35">
      <c r="A52" s="773">
        <v>43</v>
      </c>
      <c r="B52" s="766"/>
      <c r="C52" s="420"/>
      <c r="D52" s="992" t="s">
        <v>308</v>
      </c>
      <c r="E52" s="430">
        <f>F52+G52+O55+P52</f>
        <v>3095</v>
      </c>
      <c r="F52" s="762"/>
      <c r="G52" s="431"/>
      <c r="H52" s="999"/>
      <c r="I52" s="1017"/>
      <c r="J52" s="1013"/>
      <c r="K52" s="1013">
        <f>5000-1905</f>
        <v>3095</v>
      </c>
      <c r="L52" s="1013"/>
      <c r="M52" s="1013"/>
      <c r="N52" s="1013"/>
      <c r="O52" s="982">
        <f>SUM(I52:N52)</f>
        <v>3095</v>
      </c>
      <c r="P52" s="763"/>
      <c r="Q52" s="418"/>
      <c r="R52" s="418"/>
      <c r="S52" s="418"/>
      <c r="T52" s="418"/>
      <c r="U52" s="418"/>
      <c r="V52" s="418"/>
      <c r="W52" s="418"/>
      <c r="X52" s="418"/>
      <c r="Y52" s="418"/>
      <c r="Z52" s="418"/>
      <c r="AA52" s="418"/>
      <c r="AB52" s="418"/>
      <c r="AC52" s="418"/>
      <c r="AD52" s="418"/>
      <c r="AE52" s="418"/>
      <c r="AF52" s="418"/>
      <c r="AG52" s="418"/>
      <c r="AH52" s="418"/>
      <c r="AI52" s="418"/>
      <c r="AJ52" s="418"/>
      <c r="AK52" s="418"/>
      <c r="AL52" s="418"/>
      <c r="AM52" s="418"/>
      <c r="AN52" s="418"/>
      <c r="AO52" s="418"/>
      <c r="AP52" s="418"/>
      <c r="AQ52" s="418"/>
      <c r="AR52" s="418"/>
      <c r="AS52" s="418"/>
      <c r="AT52" s="418"/>
      <c r="AU52" s="418"/>
      <c r="AV52" s="418"/>
      <c r="AW52" s="418"/>
      <c r="AX52" s="418"/>
      <c r="AY52" s="418"/>
      <c r="AZ52" s="418"/>
      <c r="BA52" s="418"/>
      <c r="BB52" s="418"/>
      <c r="BC52" s="418"/>
      <c r="BD52" s="418"/>
      <c r="BE52" s="418"/>
      <c r="BF52" s="418"/>
      <c r="BG52" s="418"/>
      <c r="BH52" s="418"/>
      <c r="BI52" s="418"/>
      <c r="BJ52" s="418"/>
      <c r="BK52" s="418"/>
      <c r="BL52" s="418"/>
      <c r="BM52" s="418"/>
      <c r="BN52" s="418"/>
      <c r="BO52" s="418"/>
      <c r="BP52" s="418"/>
      <c r="BQ52" s="418"/>
      <c r="BR52" s="418"/>
      <c r="BS52" s="418"/>
      <c r="BT52" s="418"/>
      <c r="BU52" s="418"/>
      <c r="BV52" s="418"/>
      <c r="BW52" s="418"/>
      <c r="BX52" s="418"/>
      <c r="BY52" s="418"/>
      <c r="BZ52" s="418"/>
      <c r="CA52" s="418"/>
      <c r="CB52" s="418"/>
      <c r="CC52" s="418"/>
      <c r="CD52" s="418"/>
      <c r="CE52" s="418"/>
      <c r="CF52" s="418"/>
      <c r="CG52" s="418"/>
      <c r="CH52" s="418"/>
      <c r="CI52" s="418"/>
      <c r="CJ52" s="418"/>
      <c r="CK52" s="418"/>
      <c r="CL52" s="418"/>
      <c r="CM52" s="418"/>
      <c r="CN52" s="418"/>
      <c r="CO52" s="418"/>
      <c r="CP52" s="418"/>
      <c r="CQ52" s="418"/>
      <c r="CR52" s="418"/>
      <c r="CS52" s="418"/>
      <c r="CT52" s="418"/>
      <c r="CU52" s="418"/>
      <c r="CV52" s="418"/>
      <c r="CW52" s="418"/>
      <c r="CX52" s="418"/>
      <c r="CY52" s="418"/>
      <c r="CZ52" s="418"/>
      <c r="DA52" s="418"/>
      <c r="DB52" s="418"/>
      <c r="DC52" s="418"/>
      <c r="DD52" s="418"/>
      <c r="DE52" s="418"/>
      <c r="DF52" s="418"/>
      <c r="DG52" s="418"/>
      <c r="DH52" s="418"/>
      <c r="DI52" s="418"/>
      <c r="DJ52" s="418"/>
      <c r="DK52" s="418"/>
      <c r="DL52" s="418"/>
      <c r="DM52" s="418"/>
      <c r="DN52" s="418"/>
      <c r="DO52" s="418"/>
      <c r="DP52" s="418"/>
      <c r="DQ52" s="418"/>
      <c r="DR52" s="418"/>
      <c r="DS52" s="418"/>
      <c r="DT52" s="418"/>
      <c r="DU52" s="418"/>
      <c r="DV52" s="418"/>
      <c r="DW52" s="418"/>
      <c r="DX52" s="418"/>
      <c r="DY52" s="418"/>
      <c r="DZ52" s="418"/>
      <c r="EA52" s="418"/>
      <c r="EB52" s="418"/>
      <c r="EC52" s="418"/>
      <c r="ED52" s="418"/>
      <c r="EE52" s="418"/>
      <c r="EF52" s="418"/>
      <c r="EG52" s="418"/>
      <c r="EH52" s="418"/>
      <c r="EI52" s="418"/>
      <c r="EJ52" s="418"/>
      <c r="EK52" s="418"/>
      <c r="EL52" s="418"/>
      <c r="EM52" s="418"/>
      <c r="EN52" s="418"/>
      <c r="EO52" s="418"/>
      <c r="EP52" s="418"/>
      <c r="EQ52" s="418"/>
      <c r="ER52" s="418"/>
      <c r="ES52" s="418"/>
      <c r="ET52" s="418"/>
      <c r="EU52" s="418"/>
      <c r="EV52" s="418"/>
      <c r="EW52" s="418"/>
      <c r="EX52" s="418"/>
      <c r="EY52" s="418"/>
      <c r="EZ52" s="418"/>
      <c r="FA52" s="418"/>
      <c r="FB52" s="418"/>
      <c r="FC52" s="418"/>
      <c r="FD52" s="418"/>
      <c r="FE52" s="418"/>
      <c r="FF52" s="418"/>
      <c r="FG52" s="418"/>
      <c r="FH52" s="418"/>
      <c r="FI52" s="418"/>
      <c r="FJ52" s="418"/>
      <c r="FK52" s="418"/>
      <c r="FL52" s="418"/>
      <c r="FM52" s="418"/>
      <c r="FN52" s="418"/>
      <c r="FO52" s="418"/>
      <c r="FP52" s="418"/>
      <c r="FQ52" s="418"/>
      <c r="FR52" s="418"/>
      <c r="FS52" s="418"/>
      <c r="FT52" s="418"/>
      <c r="FU52" s="418"/>
      <c r="FV52" s="418"/>
      <c r="FW52" s="418"/>
      <c r="FX52" s="418"/>
      <c r="FY52" s="418"/>
      <c r="FZ52" s="418"/>
      <c r="GA52" s="418"/>
      <c r="GB52" s="418"/>
      <c r="GC52" s="418"/>
      <c r="GD52" s="418"/>
      <c r="GE52" s="418"/>
      <c r="GF52" s="418"/>
      <c r="GG52" s="418"/>
      <c r="GH52" s="418"/>
      <c r="GI52" s="418"/>
      <c r="GJ52" s="418"/>
      <c r="GK52" s="418"/>
      <c r="GL52" s="418"/>
      <c r="GM52" s="418"/>
      <c r="GN52" s="418"/>
      <c r="GO52" s="418"/>
      <c r="GP52" s="418"/>
      <c r="GQ52" s="418"/>
      <c r="GR52" s="418"/>
      <c r="GS52" s="418"/>
      <c r="GT52" s="418"/>
      <c r="GU52" s="418"/>
      <c r="GV52" s="418"/>
      <c r="GW52" s="418"/>
      <c r="GX52" s="418"/>
      <c r="GY52" s="418"/>
      <c r="GZ52" s="418"/>
      <c r="HA52" s="418"/>
      <c r="HB52" s="418"/>
      <c r="HC52" s="418"/>
      <c r="HD52" s="418"/>
      <c r="HE52" s="418"/>
      <c r="HF52" s="418"/>
      <c r="HG52" s="418"/>
      <c r="HH52" s="418"/>
      <c r="HI52" s="418"/>
      <c r="HJ52" s="418"/>
      <c r="HK52" s="418"/>
      <c r="HL52" s="418"/>
      <c r="HM52" s="418"/>
      <c r="HN52" s="418"/>
      <c r="HO52" s="418"/>
      <c r="HP52" s="418"/>
      <c r="HQ52" s="418"/>
      <c r="HR52" s="418"/>
      <c r="HS52" s="418"/>
      <c r="HT52" s="418"/>
      <c r="HU52" s="418"/>
      <c r="HV52" s="418"/>
      <c r="HW52" s="418"/>
      <c r="HX52" s="418"/>
      <c r="HY52" s="418"/>
      <c r="HZ52" s="418"/>
      <c r="IA52" s="418"/>
      <c r="IB52" s="418"/>
      <c r="IC52" s="418"/>
      <c r="ID52" s="418"/>
      <c r="IE52" s="418"/>
      <c r="IF52" s="418"/>
      <c r="IG52" s="418"/>
      <c r="IH52" s="418"/>
      <c r="II52" s="418"/>
      <c r="IJ52" s="418"/>
      <c r="IK52" s="418"/>
      <c r="IL52" s="418"/>
      <c r="IM52" s="418"/>
      <c r="IN52" s="418"/>
      <c r="IO52" s="418"/>
      <c r="IP52" s="418"/>
      <c r="IQ52" s="418"/>
      <c r="IR52" s="418"/>
      <c r="IS52" s="418"/>
      <c r="IT52" s="418"/>
      <c r="IU52" s="418"/>
      <c r="IV52" s="418"/>
      <c r="IW52" s="418"/>
      <c r="IX52" s="418"/>
      <c r="IY52" s="418"/>
      <c r="IZ52" s="418"/>
      <c r="JA52" s="418"/>
    </row>
    <row r="53" spans="1:261" s="758" customFormat="1" ht="18" customHeight="1" x14ac:dyDescent="0.35">
      <c r="A53" s="773">
        <v>44</v>
      </c>
      <c r="B53" s="766"/>
      <c r="C53" s="420"/>
      <c r="D53" s="576" t="s">
        <v>1158</v>
      </c>
      <c r="E53" s="430"/>
      <c r="F53" s="762"/>
      <c r="G53" s="431"/>
      <c r="H53" s="999"/>
      <c r="I53" s="1017"/>
      <c r="J53" s="1013"/>
      <c r="K53" s="1524">
        <v>3095</v>
      </c>
      <c r="L53" s="1524"/>
      <c r="M53" s="1524"/>
      <c r="N53" s="1524"/>
      <c r="O53" s="767">
        <f>SUM(I53:N53)</f>
        <v>3095</v>
      </c>
      <c r="P53" s="763"/>
      <c r="Q53" s="418"/>
      <c r="R53" s="418"/>
      <c r="S53" s="418"/>
      <c r="T53" s="418"/>
      <c r="U53" s="418"/>
      <c r="V53" s="418"/>
      <c r="W53" s="418"/>
      <c r="X53" s="418"/>
      <c r="Y53" s="418"/>
      <c r="Z53" s="418"/>
      <c r="AA53" s="418"/>
      <c r="AB53" s="418"/>
      <c r="AC53" s="418"/>
      <c r="AD53" s="418"/>
      <c r="AE53" s="418"/>
      <c r="AF53" s="418"/>
      <c r="AG53" s="418"/>
      <c r="AH53" s="418"/>
      <c r="AI53" s="418"/>
      <c r="AJ53" s="418"/>
      <c r="AK53" s="418"/>
      <c r="AL53" s="418"/>
      <c r="AM53" s="418"/>
      <c r="AN53" s="418"/>
      <c r="AO53" s="418"/>
      <c r="AP53" s="418"/>
      <c r="AQ53" s="418"/>
      <c r="AR53" s="418"/>
      <c r="AS53" s="418"/>
      <c r="AT53" s="418"/>
      <c r="AU53" s="418"/>
      <c r="AV53" s="418"/>
      <c r="AW53" s="418"/>
      <c r="AX53" s="418"/>
      <c r="AY53" s="418"/>
      <c r="AZ53" s="418"/>
      <c r="BA53" s="418"/>
      <c r="BB53" s="418"/>
      <c r="BC53" s="418"/>
      <c r="BD53" s="418"/>
      <c r="BE53" s="418"/>
      <c r="BF53" s="418"/>
      <c r="BG53" s="418"/>
      <c r="BH53" s="418"/>
      <c r="BI53" s="418"/>
      <c r="BJ53" s="418"/>
      <c r="BK53" s="418"/>
      <c r="BL53" s="418"/>
      <c r="BM53" s="418"/>
      <c r="BN53" s="418"/>
      <c r="BO53" s="418"/>
      <c r="BP53" s="418"/>
      <c r="BQ53" s="418"/>
      <c r="BR53" s="418"/>
      <c r="BS53" s="418"/>
      <c r="BT53" s="418"/>
      <c r="BU53" s="418"/>
      <c r="BV53" s="418"/>
      <c r="BW53" s="418"/>
      <c r="BX53" s="418"/>
      <c r="BY53" s="418"/>
      <c r="BZ53" s="418"/>
      <c r="CA53" s="418"/>
      <c r="CB53" s="418"/>
      <c r="CC53" s="418"/>
      <c r="CD53" s="418"/>
      <c r="CE53" s="418"/>
      <c r="CF53" s="418"/>
      <c r="CG53" s="418"/>
      <c r="CH53" s="418"/>
      <c r="CI53" s="418"/>
      <c r="CJ53" s="418"/>
      <c r="CK53" s="418"/>
      <c r="CL53" s="418"/>
      <c r="CM53" s="418"/>
      <c r="CN53" s="418"/>
      <c r="CO53" s="418"/>
      <c r="CP53" s="418"/>
      <c r="CQ53" s="418"/>
      <c r="CR53" s="418"/>
      <c r="CS53" s="418"/>
      <c r="CT53" s="418"/>
      <c r="CU53" s="418"/>
      <c r="CV53" s="418"/>
      <c r="CW53" s="418"/>
      <c r="CX53" s="418"/>
      <c r="CY53" s="418"/>
      <c r="CZ53" s="418"/>
      <c r="DA53" s="418"/>
      <c r="DB53" s="418"/>
      <c r="DC53" s="418"/>
      <c r="DD53" s="418"/>
      <c r="DE53" s="418"/>
      <c r="DF53" s="418"/>
      <c r="DG53" s="418"/>
      <c r="DH53" s="418"/>
      <c r="DI53" s="418"/>
      <c r="DJ53" s="418"/>
      <c r="DK53" s="418"/>
      <c r="DL53" s="418"/>
      <c r="DM53" s="418"/>
      <c r="DN53" s="418"/>
      <c r="DO53" s="418"/>
      <c r="DP53" s="418"/>
      <c r="DQ53" s="418"/>
      <c r="DR53" s="418"/>
      <c r="DS53" s="418"/>
      <c r="DT53" s="418"/>
      <c r="DU53" s="418"/>
      <c r="DV53" s="418"/>
      <c r="DW53" s="418"/>
      <c r="DX53" s="418"/>
      <c r="DY53" s="418"/>
      <c r="DZ53" s="418"/>
      <c r="EA53" s="418"/>
      <c r="EB53" s="418"/>
      <c r="EC53" s="418"/>
      <c r="ED53" s="418"/>
      <c r="EE53" s="418"/>
      <c r="EF53" s="418"/>
      <c r="EG53" s="418"/>
      <c r="EH53" s="418"/>
      <c r="EI53" s="418"/>
      <c r="EJ53" s="418"/>
      <c r="EK53" s="418"/>
      <c r="EL53" s="418"/>
      <c r="EM53" s="418"/>
      <c r="EN53" s="418"/>
      <c r="EO53" s="418"/>
      <c r="EP53" s="418"/>
      <c r="EQ53" s="418"/>
      <c r="ER53" s="418"/>
      <c r="ES53" s="418"/>
      <c r="ET53" s="418"/>
      <c r="EU53" s="418"/>
      <c r="EV53" s="418"/>
      <c r="EW53" s="418"/>
      <c r="EX53" s="418"/>
      <c r="EY53" s="418"/>
      <c r="EZ53" s="418"/>
      <c r="FA53" s="418"/>
      <c r="FB53" s="418"/>
      <c r="FC53" s="418"/>
      <c r="FD53" s="418"/>
      <c r="FE53" s="418"/>
      <c r="FF53" s="418"/>
      <c r="FG53" s="418"/>
      <c r="FH53" s="418"/>
      <c r="FI53" s="418"/>
      <c r="FJ53" s="418"/>
      <c r="FK53" s="418"/>
      <c r="FL53" s="418"/>
      <c r="FM53" s="418"/>
      <c r="FN53" s="418"/>
      <c r="FO53" s="418"/>
      <c r="FP53" s="418"/>
      <c r="FQ53" s="418"/>
      <c r="FR53" s="418"/>
      <c r="FS53" s="418"/>
      <c r="FT53" s="418"/>
      <c r="FU53" s="418"/>
      <c r="FV53" s="418"/>
      <c r="FW53" s="418"/>
      <c r="FX53" s="418"/>
      <c r="FY53" s="418"/>
      <c r="FZ53" s="418"/>
      <c r="GA53" s="418"/>
      <c r="GB53" s="418"/>
      <c r="GC53" s="418"/>
      <c r="GD53" s="418"/>
      <c r="GE53" s="418"/>
      <c r="GF53" s="418"/>
      <c r="GG53" s="418"/>
      <c r="GH53" s="418"/>
      <c r="GI53" s="418"/>
      <c r="GJ53" s="418"/>
      <c r="GK53" s="418"/>
      <c r="GL53" s="418"/>
      <c r="GM53" s="418"/>
      <c r="GN53" s="418"/>
      <c r="GO53" s="418"/>
      <c r="GP53" s="418"/>
      <c r="GQ53" s="418"/>
      <c r="GR53" s="418"/>
      <c r="GS53" s="418"/>
      <c r="GT53" s="418"/>
      <c r="GU53" s="418"/>
      <c r="GV53" s="418"/>
      <c r="GW53" s="418"/>
      <c r="GX53" s="418"/>
      <c r="GY53" s="418"/>
      <c r="GZ53" s="418"/>
      <c r="HA53" s="418"/>
      <c r="HB53" s="418"/>
      <c r="HC53" s="418"/>
      <c r="HD53" s="418"/>
      <c r="HE53" s="418"/>
      <c r="HF53" s="418"/>
      <c r="HG53" s="418"/>
      <c r="HH53" s="418"/>
      <c r="HI53" s="418"/>
      <c r="HJ53" s="418"/>
      <c r="HK53" s="418"/>
      <c r="HL53" s="418"/>
      <c r="HM53" s="418"/>
      <c r="HN53" s="418"/>
      <c r="HO53" s="418"/>
      <c r="HP53" s="418"/>
      <c r="HQ53" s="418"/>
      <c r="HR53" s="418"/>
      <c r="HS53" s="418"/>
      <c r="HT53" s="418"/>
      <c r="HU53" s="418"/>
      <c r="HV53" s="418"/>
      <c r="HW53" s="418"/>
      <c r="HX53" s="418"/>
      <c r="HY53" s="418"/>
      <c r="HZ53" s="418"/>
      <c r="IA53" s="418"/>
      <c r="IB53" s="418"/>
      <c r="IC53" s="418"/>
      <c r="ID53" s="418"/>
      <c r="IE53" s="418"/>
      <c r="IF53" s="418"/>
      <c r="IG53" s="418"/>
      <c r="IH53" s="418"/>
      <c r="II53" s="418"/>
      <c r="IJ53" s="418"/>
      <c r="IK53" s="418"/>
      <c r="IL53" s="418"/>
      <c r="IM53" s="418"/>
      <c r="IN53" s="418"/>
      <c r="IO53" s="418"/>
      <c r="IP53" s="418"/>
      <c r="IQ53" s="418"/>
      <c r="IR53" s="418"/>
      <c r="IS53" s="418"/>
      <c r="IT53" s="418"/>
      <c r="IU53" s="418"/>
      <c r="IV53" s="418"/>
      <c r="IW53" s="418"/>
      <c r="IX53" s="418"/>
      <c r="IY53" s="418"/>
      <c r="IZ53" s="418"/>
      <c r="JA53" s="418"/>
    </row>
    <row r="54" spans="1:261" s="758" customFormat="1" ht="18" customHeight="1" x14ac:dyDescent="0.35">
      <c r="A54" s="773">
        <v>45</v>
      </c>
      <c r="B54" s="766"/>
      <c r="C54" s="420"/>
      <c r="D54" s="1318" t="s">
        <v>947</v>
      </c>
      <c r="E54" s="430"/>
      <c r="F54" s="762"/>
      <c r="G54" s="431"/>
      <c r="H54" s="999"/>
      <c r="I54" s="995"/>
      <c r="J54" s="759"/>
      <c r="K54" s="759"/>
      <c r="L54" s="759"/>
      <c r="M54" s="759"/>
      <c r="N54" s="759"/>
      <c r="O54" s="767">
        <f>SUM(I54:N54)</f>
        <v>0</v>
      </c>
      <c r="P54" s="763"/>
      <c r="Q54" s="418"/>
      <c r="R54" s="418"/>
      <c r="S54" s="418"/>
      <c r="T54" s="418"/>
      <c r="U54" s="418"/>
      <c r="V54" s="418"/>
      <c r="W54" s="418"/>
      <c r="X54" s="418"/>
      <c r="Y54" s="418"/>
      <c r="Z54" s="418"/>
      <c r="AA54" s="418"/>
      <c r="AB54" s="418"/>
      <c r="AC54" s="418"/>
      <c r="AD54" s="418"/>
      <c r="AE54" s="418"/>
      <c r="AF54" s="418"/>
      <c r="AG54" s="418"/>
      <c r="AH54" s="418"/>
      <c r="AI54" s="418"/>
      <c r="AJ54" s="418"/>
      <c r="AK54" s="418"/>
      <c r="AL54" s="418"/>
      <c r="AM54" s="418"/>
      <c r="AN54" s="418"/>
      <c r="AO54" s="418"/>
      <c r="AP54" s="418"/>
      <c r="AQ54" s="418"/>
      <c r="AR54" s="418"/>
      <c r="AS54" s="418"/>
      <c r="AT54" s="418"/>
      <c r="AU54" s="418"/>
      <c r="AV54" s="418"/>
      <c r="AW54" s="418"/>
      <c r="AX54" s="418"/>
      <c r="AY54" s="418"/>
      <c r="AZ54" s="418"/>
      <c r="BA54" s="418"/>
      <c r="BB54" s="418"/>
      <c r="BC54" s="418"/>
      <c r="BD54" s="418"/>
      <c r="BE54" s="418"/>
      <c r="BF54" s="418"/>
      <c r="BG54" s="418"/>
      <c r="BH54" s="418"/>
      <c r="BI54" s="418"/>
      <c r="BJ54" s="418"/>
      <c r="BK54" s="418"/>
      <c r="BL54" s="418"/>
      <c r="BM54" s="418"/>
      <c r="BN54" s="418"/>
      <c r="BO54" s="418"/>
      <c r="BP54" s="418"/>
      <c r="BQ54" s="418"/>
      <c r="BR54" s="418"/>
      <c r="BS54" s="418"/>
      <c r="BT54" s="418"/>
      <c r="BU54" s="418"/>
      <c r="BV54" s="418"/>
      <c r="BW54" s="418"/>
      <c r="BX54" s="418"/>
      <c r="BY54" s="418"/>
      <c r="BZ54" s="418"/>
      <c r="CA54" s="418"/>
      <c r="CB54" s="418"/>
      <c r="CC54" s="418"/>
      <c r="CD54" s="418"/>
      <c r="CE54" s="418"/>
      <c r="CF54" s="418"/>
      <c r="CG54" s="418"/>
      <c r="CH54" s="418"/>
      <c r="CI54" s="418"/>
      <c r="CJ54" s="418"/>
      <c r="CK54" s="418"/>
      <c r="CL54" s="418"/>
      <c r="CM54" s="418"/>
      <c r="CN54" s="418"/>
      <c r="CO54" s="418"/>
      <c r="CP54" s="418"/>
      <c r="CQ54" s="418"/>
      <c r="CR54" s="418"/>
      <c r="CS54" s="418"/>
      <c r="CT54" s="418"/>
      <c r="CU54" s="418"/>
      <c r="CV54" s="418"/>
      <c r="CW54" s="418"/>
      <c r="CX54" s="418"/>
      <c r="CY54" s="418"/>
      <c r="CZ54" s="418"/>
      <c r="DA54" s="418"/>
      <c r="DB54" s="418"/>
      <c r="DC54" s="418"/>
      <c r="DD54" s="418"/>
      <c r="DE54" s="418"/>
      <c r="DF54" s="418"/>
      <c r="DG54" s="418"/>
      <c r="DH54" s="418"/>
      <c r="DI54" s="418"/>
      <c r="DJ54" s="418"/>
      <c r="DK54" s="418"/>
      <c r="DL54" s="418"/>
      <c r="DM54" s="418"/>
      <c r="DN54" s="418"/>
      <c r="DO54" s="418"/>
      <c r="DP54" s="418"/>
      <c r="DQ54" s="418"/>
      <c r="DR54" s="418"/>
      <c r="DS54" s="418"/>
      <c r="DT54" s="418"/>
      <c r="DU54" s="418"/>
      <c r="DV54" s="418"/>
      <c r="DW54" s="418"/>
      <c r="DX54" s="418"/>
      <c r="DY54" s="418"/>
      <c r="DZ54" s="418"/>
      <c r="EA54" s="418"/>
      <c r="EB54" s="418"/>
      <c r="EC54" s="418"/>
      <c r="ED54" s="418"/>
      <c r="EE54" s="418"/>
      <c r="EF54" s="418"/>
      <c r="EG54" s="418"/>
      <c r="EH54" s="418"/>
      <c r="EI54" s="418"/>
      <c r="EJ54" s="418"/>
      <c r="EK54" s="418"/>
      <c r="EL54" s="418"/>
      <c r="EM54" s="418"/>
      <c r="EN54" s="418"/>
      <c r="EO54" s="418"/>
      <c r="EP54" s="418"/>
      <c r="EQ54" s="418"/>
      <c r="ER54" s="418"/>
      <c r="ES54" s="418"/>
      <c r="ET54" s="418"/>
      <c r="EU54" s="418"/>
      <c r="EV54" s="418"/>
      <c r="EW54" s="418"/>
      <c r="EX54" s="418"/>
      <c r="EY54" s="418"/>
      <c r="EZ54" s="418"/>
      <c r="FA54" s="418"/>
      <c r="FB54" s="418"/>
      <c r="FC54" s="418"/>
      <c r="FD54" s="418"/>
      <c r="FE54" s="418"/>
      <c r="FF54" s="418"/>
      <c r="FG54" s="418"/>
      <c r="FH54" s="418"/>
      <c r="FI54" s="418"/>
      <c r="FJ54" s="418"/>
      <c r="FK54" s="418"/>
      <c r="FL54" s="418"/>
      <c r="FM54" s="418"/>
      <c r="FN54" s="418"/>
      <c r="FO54" s="418"/>
      <c r="FP54" s="418"/>
      <c r="FQ54" s="418"/>
      <c r="FR54" s="418"/>
      <c r="FS54" s="418"/>
      <c r="FT54" s="418"/>
      <c r="FU54" s="418"/>
      <c r="FV54" s="418"/>
      <c r="FW54" s="418"/>
      <c r="FX54" s="418"/>
      <c r="FY54" s="418"/>
      <c r="FZ54" s="418"/>
      <c r="GA54" s="418"/>
      <c r="GB54" s="418"/>
      <c r="GC54" s="418"/>
      <c r="GD54" s="418"/>
      <c r="GE54" s="418"/>
      <c r="GF54" s="418"/>
      <c r="GG54" s="418"/>
      <c r="GH54" s="418"/>
      <c r="GI54" s="418"/>
      <c r="GJ54" s="418"/>
      <c r="GK54" s="418"/>
      <c r="GL54" s="418"/>
      <c r="GM54" s="418"/>
      <c r="GN54" s="418"/>
      <c r="GO54" s="418"/>
      <c r="GP54" s="418"/>
      <c r="GQ54" s="418"/>
      <c r="GR54" s="418"/>
      <c r="GS54" s="418"/>
      <c r="GT54" s="418"/>
      <c r="GU54" s="418"/>
      <c r="GV54" s="418"/>
      <c r="GW54" s="418"/>
      <c r="GX54" s="418"/>
      <c r="GY54" s="418"/>
      <c r="GZ54" s="418"/>
      <c r="HA54" s="418"/>
      <c r="HB54" s="418"/>
      <c r="HC54" s="418"/>
      <c r="HD54" s="418"/>
      <c r="HE54" s="418"/>
      <c r="HF54" s="418"/>
      <c r="HG54" s="418"/>
      <c r="HH54" s="418"/>
      <c r="HI54" s="418"/>
      <c r="HJ54" s="418"/>
      <c r="HK54" s="418"/>
      <c r="HL54" s="418"/>
      <c r="HM54" s="418"/>
      <c r="HN54" s="418"/>
      <c r="HO54" s="418"/>
      <c r="HP54" s="418"/>
      <c r="HQ54" s="418"/>
      <c r="HR54" s="418"/>
      <c r="HS54" s="418"/>
      <c r="HT54" s="418"/>
      <c r="HU54" s="418"/>
      <c r="HV54" s="418"/>
      <c r="HW54" s="418"/>
      <c r="HX54" s="418"/>
      <c r="HY54" s="418"/>
      <c r="HZ54" s="418"/>
      <c r="IA54" s="418"/>
      <c r="IB54" s="418"/>
      <c r="IC54" s="418"/>
      <c r="ID54" s="418"/>
      <c r="IE54" s="418"/>
      <c r="IF54" s="418"/>
      <c r="IG54" s="418"/>
      <c r="IH54" s="418"/>
      <c r="II54" s="418"/>
      <c r="IJ54" s="418"/>
      <c r="IK54" s="418"/>
      <c r="IL54" s="418"/>
      <c r="IM54" s="418"/>
      <c r="IN54" s="418"/>
      <c r="IO54" s="418"/>
      <c r="IP54" s="418"/>
      <c r="IQ54" s="418"/>
      <c r="IR54" s="418"/>
      <c r="IS54" s="418"/>
      <c r="IT54" s="418"/>
      <c r="IU54" s="418"/>
      <c r="IV54" s="418"/>
      <c r="IW54" s="418"/>
      <c r="IX54" s="418"/>
      <c r="IY54" s="418"/>
      <c r="IZ54" s="418"/>
      <c r="JA54" s="418"/>
    </row>
    <row r="55" spans="1:261" s="758" customFormat="1" ht="18" customHeight="1" x14ac:dyDescent="0.35">
      <c r="A55" s="773">
        <v>46</v>
      </c>
      <c r="B55" s="766"/>
      <c r="C55" s="420"/>
      <c r="D55" s="576" t="s">
        <v>1250</v>
      </c>
      <c r="E55" s="430"/>
      <c r="F55" s="762"/>
      <c r="G55" s="431"/>
      <c r="H55" s="999"/>
      <c r="I55" s="995"/>
      <c r="J55" s="759"/>
      <c r="K55" s="1524">
        <f>SUM(K53:K54)</f>
        <v>3095</v>
      </c>
      <c r="L55" s="759"/>
      <c r="M55" s="759"/>
      <c r="N55" s="759"/>
      <c r="O55" s="767">
        <f>SUM(I55:N55)</f>
        <v>3095</v>
      </c>
      <c r="P55" s="763"/>
      <c r="Q55" s="418"/>
      <c r="R55" s="418"/>
      <c r="S55" s="418"/>
      <c r="T55" s="418"/>
      <c r="U55" s="418"/>
      <c r="V55" s="418"/>
      <c r="W55" s="418"/>
      <c r="X55" s="418"/>
      <c r="Y55" s="418"/>
      <c r="Z55" s="418"/>
      <c r="AA55" s="418"/>
      <c r="AB55" s="418"/>
      <c r="AC55" s="418"/>
      <c r="AD55" s="418"/>
      <c r="AE55" s="418"/>
      <c r="AF55" s="418"/>
      <c r="AG55" s="418"/>
      <c r="AH55" s="418"/>
      <c r="AI55" s="418"/>
      <c r="AJ55" s="418"/>
      <c r="AK55" s="418"/>
      <c r="AL55" s="418"/>
      <c r="AM55" s="418"/>
      <c r="AN55" s="418"/>
      <c r="AO55" s="418"/>
      <c r="AP55" s="418"/>
      <c r="AQ55" s="418"/>
      <c r="AR55" s="418"/>
      <c r="AS55" s="418"/>
      <c r="AT55" s="418"/>
      <c r="AU55" s="418"/>
      <c r="AV55" s="418"/>
      <c r="AW55" s="418"/>
      <c r="AX55" s="418"/>
      <c r="AY55" s="418"/>
      <c r="AZ55" s="418"/>
      <c r="BA55" s="418"/>
      <c r="BB55" s="418"/>
      <c r="BC55" s="418"/>
      <c r="BD55" s="418"/>
      <c r="BE55" s="418"/>
      <c r="BF55" s="418"/>
      <c r="BG55" s="418"/>
      <c r="BH55" s="418"/>
      <c r="BI55" s="418"/>
      <c r="BJ55" s="418"/>
      <c r="BK55" s="418"/>
      <c r="BL55" s="418"/>
      <c r="BM55" s="418"/>
      <c r="BN55" s="418"/>
      <c r="BO55" s="418"/>
      <c r="BP55" s="418"/>
      <c r="BQ55" s="418"/>
      <c r="BR55" s="418"/>
      <c r="BS55" s="418"/>
      <c r="BT55" s="418"/>
      <c r="BU55" s="418"/>
      <c r="BV55" s="418"/>
      <c r="BW55" s="418"/>
      <c r="BX55" s="418"/>
      <c r="BY55" s="418"/>
      <c r="BZ55" s="418"/>
      <c r="CA55" s="418"/>
      <c r="CB55" s="418"/>
      <c r="CC55" s="418"/>
      <c r="CD55" s="418"/>
      <c r="CE55" s="418"/>
      <c r="CF55" s="418"/>
      <c r="CG55" s="418"/>
      <c r="CH55" s="418"/>
      <c r="CI55" s="418"/>
      <c r="CJ55" s="418"/>
      <c r="CK55" s="418"/>
      <c r="CL55" s="418"/>
      <c r="CM55" s="418"/>
      <c r="CN55" s="418"/>
      <c r="CO55" s="418"/>
      <c r="CP55" s="418"/>
      <c r="CQ55" s="418"/>
      <c r="CR55" s="418"/>
      <c r="CS55" s="418"/>
      <c r="CT55" s="418"/>
      <c r="CU55" s="418"/>
      <c r="CV55" s="418"/>
      <c r="CW55" s="418"/>
      <c r="CX55" s="418"/>
      <c r="CY55" s="418"/>
      <c r="CZ55" s="418"/>
      <c r="DA55" s="418"/>
      <c r="DB55" s="418"/>
      <c r="DC55" s="418"/>
      <c r="DD55" s="418"/>
      <c r="DE55" s="418"/>
      <c r="DF55" s="418"/>
      <c r="DG55" s="418"/>
      <c r="DH55" s="418"/>
      <c r="DI55" s="418"/>
      <c r="DJ55" s="418"/>
      <c r="DK55" s="418"/>
      <c r="DL55" s="418"/>
      <c r="DM55" s="418"/>
      <c r="DN55" s="418"/>
      <c r="DO55" s="418"/>
      <c r="DP55" s="418"/>
      <c r="DQ55" s="418"/>
      <c r="DR55" s="418"/>
      <c r="DS55" s="418"/>
      <c r="DT55" s="418"/>
      <c r="DU55" s="418"/>
      <c r="DV55" s="418"/>
      <c r="DW55" s="418"/>
      <c r="DX55" s="418"/>
      <c r="DY55" s="418"/>
      <c r="DZ55" s="418"/>
      <c r="EA55" s="418"/>
      <c r="EB55" s="418"/>
      <c r="EC55" s="418"/>
      <c r="ED55" s="418"/>
      <c r="EE55" s="418"/>
      <c r="EF55" s="418"/>
      <c r="EG55" s="418"/>
      <c r="EH55" s="418"/>
      <c r="EI55" s="418"/>
      <c r="EJ55" s="418"/>
      <c r="EK55" s="418"/>
      <c r="EL55" s="418"/>
      <c r="EM55" s="418"/>
      <c r="EN55" s="418"/>
      <c r="EO55" s="418"/>
      <c r="EP55" s="418"/>
      <c r="EQ55" s="418"/>
      <c r="ER55" s="418"/>
      <c r="ES55" s="418"/>
      <c r="ET55" s="418"/>
      <c r="EU55" s="418"/>
      <c r="EV55" s="418"/>
      <c r="EW55" s="418"/>
      <c r="EX55" s="418"/>
      <c r="EY55" s="418"/>
      <c r="EZ55" s="418"/>
      <c r="FA55" s="418"/>
      <c r="FB55" s="418"/>
      <c r="FC55" s="418"/>
      <c r="FD55" s="418"/>
      <c r="FE55" s="418"/>
      <c r="FF55" s="418"/>
      <c r="FG55" s="418"/>
      <c r="FH55" s="418"/>
      <c r="FI55" s="418"/>
      <c r="FJ55" s="418"/>
      <c r="FK55" s="418"/>
      <c r="FL55" s="418"/>
      <c r="FM55" s="418"/>
      <c r="FN55" s="418"/>
      <c r="FO55" s="418"/>
      <c r="FP55" s="418"/>
      <c r="FQ55" s="418"/>
      <c r="FR55" s="418"/>
      <c r="FS55" s="418"/>
      <c r="FT55" s="418"/>
      <c r="FU55" s="418"/>
      <c r="FV55" s="418"/>
      <c r="FW55" s="418"/>
      <c r="FX55" s="418"/>
      <c r="FY55" s="418"/>
      <c r="FZ55" s="418"/>
      <c r="GA55" s="418"/>
      <c r="GB55" s="418"/>
      <c r="GC55" s="418"/>
      <c r="GD55" s="418"/>
      <c r="GE55" s="418"/>
      <c r="GF55" s="418"/>
      <c r="GG55" s="418"/>
      <c r="GH55" s="418"/>
      <c r="GI55" s="418"/>
      <c r="GJ55" s="418"/>
      <c r="GK55" s="418"/>
      <c r="GL55" s="418"/>
      <c r="GM55" s="418"/>
      <c r="GN55" s="418"/>
      <c r="GO55" s="418"/>
      <c r="GP55" s="418"/>
      <c r="GQ55" s="418"/>
      <c r="GR55" s="418"/>
      <c r="GS55" s="418"/>
      <c r="GT55" s="418"/>
      <c r="GU55" s="418"/>
      <c r="GV55" s="418"/>
      <c r="GW55" s="418"/>
      <c r="GX55" s="418"/>
      <c r="GY55" s="418"/>
      <c r="GZ55" s="418"/>
      <c r="HA55" s="418"/>
      <c r="HB55" s="418"/>
      <c r="HC55" s="418"/>
      <c r="HD55" s="418"/>
      <c r="HE55" s="418"/>
      <c r="HF55" s="418"/>
      <c r="HG55" s="418"/>
      <c r="HH55" s="418"/>
      <c r="HI55" s="418"/>
      <c r="HJ55" s="418"/>
      <c r="HK55" s="418"/>
      <c r="HL55" s="418"/>
      <c r="HM55" s="418"/>
      <c r="HN55" s="418"/>
      <c r="HO55" s="418"/>
      <c r="HP55" s="418"/>
      <c r="HQ55" s="418"/>
      <c r="HR55" s="418"/>
      <c r="HS55" s="418"/>
      <c r="HT55" s="418"/>
      <c r="HU55" s="418"/>
      <c r="HV55" s="418"/>
      <c r="HW55" s="418"/>
      <c r="HX55" s="418"/>
      <c r="HY55" s="418"/>
      <c r="HZ55" s="418"/>
      <c r="IA55" s="418"/>
      <c r="IB55" s="418"/>
      <c r="IC55" s="418"/>
      <c r="ID55" s="418"/>
      <c r="IE55" s="418"/>
      <c r="IF55" s="418"/>
      <c r="IG55" s="418"/>
      <c r="IH55" s="418"/>
      <c r="II55" s="418"/>
      <c r="IJ55" s="418"/>
      <c r="IK55" s="418"/>
      <c r="IL55" s="418"/>
      <c r="IM55" s="418"/>
      <c r="IN55" s="418"/>
      <c r="IO55" s="418"/>
      <c r="IP55" s="418"/>
      <c r="IQ55" s="418"/>
      <c r="IR55" s="418"/>
      <c r="IS55" s="418"/>
      <c r="IT55" s="418"/>
      <c r="IU55" s="418"/>
      <c r="IV55" s="418"/>
      <c r="IW55" s="418"/>
      <c r="IX55" s="418"/>
      <c r="IY55" s="418"/>
      <c r="IZ55" s="418"/>
      <c r="JA55" s="418"/>
    </row>
    <row r="56" spans="1:261" s="758" customFormat="1" ht="22.5" customHeight="1" x14ac:dyDescent="0.35">
      <c r="A56" s="773">
        <v>47</v>
      </c>
      <c r="B56" s="766"/>
      <c r="C56" s="464">
        <v>10</v>
      </c>
      <c r="D56" s="770" t="s">
        <v>827</v>
      </c>
      <c r="E56" s="430"/>
      <c r="F56" s="762"/>
      <c r="G56" s="431"/>
      <c r="H56" s="999" t="s">
        <v>24</v>
      </c>
      <c r="I56" s="1017"/>
      <c r="J56" s="1013"/>
      <c r="K56" s="1013"/>
      <c r="L56" s="1013"/>
      <c r="M56" s="1013"/>
      <c r="N56" s="1013"/>
      <c r="O56" s="982"/>
      <c r="P56" s="763"/>
      <c r="Q56" s="418"/>
      <c r="R56" s="418"/>
      <c r="S56" s="418"/>
      <c r="T56" s="418"/>
      <c r="U56" s="418"/>
      <c r="V56" s="418"/>
      <c r="W56" s="418"/>
      <c r="X56" s="418"/>
      <c r="Y56" s="418"/>
      <c r="Z56" s="418"/>
      <c r="AA56" s="418"/>
      <c r="AB56" s="418"/>
      <c r="AC56" s="418"/>
      <c r="AD56" s="418"/>
      <c r="AE56" s="418"/>
      <c r="AF56" s="418"/>
      <c r="AG56" s="418"/>
      <c r="AH56" s="418"/>
      <c r="AI56" s="418"/>
      <c r="AJ56" s="418"/>
      <c r="AK56" s="418"/>
      <c r="AL56" s="418"/>
      <c r="AM56" s="418"/>
      <c r="AN56" s="418"/>
      <c r="AO56" s="418"/>
      <c r="AP56" s="418"/>
      <c r="AQ56" s="418"/>
      <c r="AR56" s="418"/>
      <c r="AS56" s="418"/>
      <c r="AT56" s="418"/>
      <c r="AU56" s="418"/>
      <c r="AV56" s="418"/>
      <c r="AW56" s="418"/>
      <c r="AX56" s="418"/>
      <c r="AY56" s="418"/>
      <c r="AZ56" s="418"/>
      <c r="BA56" s="418"/>
      <c r="BB56" s="418"/>
      <c r="BC56" s="418"/>
      <c r="BD56" s="418"/>
      <c r="BE56" s="418"/>
      <c r="BF56" s="418"/>
      <c r="BG56" s="418"/>
      <c r="BH56" s="418"/>
      <c r="BI56" s="418"/>
      <c r="BJ56" s="418"/>
      <c r="BK56" s="418"/>
      <c r="BL56" s="418"/>
      <c r="BM56" s="418"/>
      <c r="BN56" s="418"/>
      <c r="BO56" s="418"/>
      <c r="BP56" s="418"/>
      <c r="BQ56" s="418"/>
      <c r="BR56" s="418"/>
      <c r="BS56" s="418"/>
      <c r="BT56" s="418"/>
      <c r="BU56" s="418"/>
      <c r="BV56" s="418"/>
      <c r="BW56" s="418"/>
      <c r="BX56" s="418"/>
      <c r="BY56" s="418"/>
      <c r="BZ56" s="418"/>
      <c r="CA56" s="418"/>
      <c r="CB56" s="418"/>
      <c r="CC56" s="418"/>
      <c r="CD56" s="418"/>
      <c r="CE56" s="418"/>
      <c r="CF56" s="418"/>
      <c r="CG56" s="418"/>
      <c r="CH56" s="418"/>
      <c r="CI56" s="418"/>
      <c r="CJ56" s="418"/>
      <c r="CK56" s="418"/>
      <c r="CL56" s="418"/>
      <c r="CM56" s="418"/>
      <c r="CN56" s="418"/>
      <c r="CO56" s="418"/>
      <c r="CP56" s="418"/>
      <c r="CQ56" s="418"/>
      <c r="CR56" s="418"/>
      <c r="CS56" s="418"/>
      <c r="CT56" s="418"/>
      <c r="CU56" s="418"/>
      <c r="CV56" s="418"/>
      <c r="CW56" s="418"/>
      <c r="CX56" s="418"/>
      <c r="CY56" s="418"/>
      <c r="CZ56" s="418"/>
      <c r="DA56" s="418"/>
      <c r="DB56" s="418"/>
      <c r="DC56" s="418"/>
      <c r="DD56" s="418"/>
      <c r="DE56" s="418"/>
      <c r="DF56" s="418"/>
      <c r="DG56" s="418"/>
      <c r="DH56" s="418"/>
      <c r="DI56" s="418"/>
      <c r="DJ56" s="418"/>
      <c r="DK56" s="418"/>
      <c r="DL56" s="418"/>
      <c r="DM56" s="418"/>
      <c r="DN56" s="418"/>
      <c r="DO56" s="418"/>
      <c r="DP56" s="418"/>
      <c r="DQ56" s="418"/>
      <c r="DR56" s="418"/>
      <c r="DS56" s="418"/>
      <c r="DT56" s="418"/>
      <c r="DU56" s="418"/>
      <c r="DV56" s="418"/>
      <c r="DW56" s="418"/>
      <c r="DX56" s="418"/>
      <c r="DY56" s="418"/>
      <c r="DZ56" s="418"/>
      <c r="EA56" s="418"/>
      <c r="EB56" s="418"/>
      <c r="EC56" s="418"/>
      <c r="ED56" s="418"/>
      <c r="EE56" s="418"/>
      <c r="EF56" s="418"/>
      <c r="EG56" s="418"/>
      <c r="EH56" s="418"/>
      <c r="EI56" s="418"/>
      <c r="EJ56" s="418"/>
      <c r="EK56" s="418"/>
      <c r="EL56" s="418"/>
      <c r="EM56" s="418"/>
      <c r="EN56" s="418"/>
      <c r="EO56" s="418"/>
      <c r="EP56" s="418"/>
      <c r="EQ56" s="418"/>
      <c r="ER56" s="418"/>
      <c r="ES56" s="418"/>
      <c r="ET56" s="418"/>
      <c r="EU56" s="418"/>
      <c r="EV56" s="418"/>
      <c r="EW56" s="418"/>
      <c r="EX56" s="418"/>
      <c r="EY56" s="418"/>
      <c r="EZ56" s="418"/>
      <c r="FA56" s="418"/>
      <c r="FB56" s="418"/>
      <c r="FC56" s="418"/>
      <c r="FD56" s="418"/>
      <c r="FE56" s="418"/>
      <c r="FF56" s="418"/>
      <c r="FG56" s="418"/>
      <c r="FH56" s="418"/>
      <c r="FI56" s="418"/>
      <c r="FJ56" s="418"/>
      <c r="FK56" s="418"/>
      <c r="FL56" s="418"/>
      <c r="FM56" s="418"/>
      <c r="FN56" s="418"/>
      <c r="FO56" s="418"/>
      <c r="FP56" s="418"/>
      <c r="FQ56" s="418"/>
      <c r="FR56" s="418"/>
      <c r="FS56" s="418"/>
      <c r="FT56" s="418"/>
      <c r="FU56" s="418"/>
      <c r="FV56" s="418"/>
      <c r="FW56" s="418"/>
      <c r="FX56" s="418"/>
      <c r="FY56" s="418"/>
      <c r="FZ56" s="418"/>
      <c r="GA56" s="418"/>
      <c r="GB56" s="418"/>
      <c r="GC56" s="418"/>
      <c r="GD56" s="418"/>
      <c r="GE56" s="418"/>
      <c r="GF56" s="418"/>
      <c r="GG56" s="418"/>
      <c r="GH56" s="418"/>
      <c r="GI56" s="418"/>
      <c r="GJ56" s="418"/>
      <c r="GK56" s="418"/>
      <c r="GL56" s="418"/>
      <c r="GM56" s="418"/>
      <c r="GN56" s="418"/>
      <c r="GO56" s="418"/>
      <c r="GP56" s="418"/>
      <c r="GQ56" s="418"/>
      <c r="GR56" s="418"/>
      <c r="GS56" s="418"/>
      <c r="GT56" s="418"/>
      <c r="GU56" s="418"/>
      <c r="GV56" s="418"/>
      <c r="GW56" s="418"/>
      <c r="GX56" s="418"/>
      <c r="GY56" s="418"/>
      <c r="GZ56" s="418"/>
      <c r="HA56" s="418"/>
      <c r="HB56" s="418"/>
      <c r="HC56" s="418"/>
      <c r="HD56" s="418"/>
      <c r="HE56" s="418"/>
      <c r="HF56" s="418"/>
      <c r="HG56" s="418"/>
      <c r="HH56" s="418"/>
      <c r="HI56" s="418"/>
      <c r="HJ56" s="418"/>
      <c r="HK56" s="418"/>
      <c r="HL56" s="418"/>
      <c r="HM56" s="418"/>
      <c r="HN56" s="418"/>
      <c r="HO56" s="418"/>
      <c r="HP56" s="418"/>
      <c r="HQ56" s="418"/>
      <c r="HR56" s="418"/>
      <c r="HS56" s="418"/>
      <c r="HT56" s="418"/>
      <c r="HU56" s="418"/>
      <c r="HV56" s="418"/>
      <c r="HW56" s="418"/>
      <c r="HX56" s="418"/>
      <c r="HY56" s="418"/>
      <c r="HZ56" s="418"/>
      <c r="IA56" s="418"/>
      <c r="IB56" s="418"/>
      <c r="IC56" s="418"/>
      <c r="ID56" s="418"/>
      <c r="IE56" s="418"/>
      <c r="IF56" s="418"/>
      <c r="IG56" s="418"/>
      <c r="IH56" s="418"/>
      <c r="II56" s="418"/>
      <c r="IJ56" s="418"/>
      <c r="IK56" s="418"/>
      <c r="IL56" s="418"/>
      <c r="IM56" s="418"/>
      <c r="IN56" s="418"/>
      <c r="IO56" s="418"/>
      <c r="IP56" s="418"/>
      <c r="IQ56" s="418"/>
      <c r="IR56" s="418"/>
      <c r="IS56" s="418"/>
      <c r="IT56" s="418"/>
      <c r="IU56" s="418"/>
      <c r="IV56" s="418"/>
      <c r="IW56" s="418"/>
      <c r="IX56" s="418"/>
      <c r="IY56" s="418"/>
      <c r="IZ56" s="418"/>
      <c r="JA56" s="418"/>
    </row>
    <row r="57" spans="1:261" s="758" customFormat="1" ht="18" customHeight="1" x14ac:dyDescent="0.35">
      <c r="A57" s="773">
        <v>48</v>
      </c>
      <c r="B57" s="766"/>
      <c r="C57" s="420"/>
      <c r="D57" s="992" t="s">
        <v>308</v>
      </c>
      <c r="E57" s="430">
        <f>F57+G57+O60+P57</f>
        <v>1905</v>
      </c>
      <c r="F57" s="762"/>
      <c r="G57" s="431"/>
      <c r="H57" s="999"/>
      <c r="I57" s="1017"/>
      <c r="J57" s="1013"/>
      <c r="K57" s="1013"/>
      <c r="L57" s="1013"/>
      <c r="M57" s="1013">
        <v>1905</v>
      </c>
      <c r="N57" s="1013"/>
      <c r="O57" s="982">
        <f>SUM(I57:N57)</f>
        <v>1905</v>
      </c>
      <c r="P57" s="763"/>
      <c r="Q57" s="418"/>
      <c r="R57" s="418"/>
      <c r="S57" s="418"/>
      <c r="T57" s="418"/>
      <c r="U57" s="418"/>
      <c r="V57" s="418"/>
      <c r="W57" s="418"/>
      <c r="X57" s="418"/>
      <c r="Y57" s="418"/>
      <c r="Z57" s="418"/>
      <c r="AA57" s="418"/>
      <c r="AB57" s="418"/>
      <c r="AC57" s="418"/>
      <c r="AD57" s="418"/>
      <c r="AE57" s="418"/>
      <c r="AF57" s="418"/>
      <c r="AG57" s="418"/>
      <c r="AH57" s="418"/>
      <c r="AI57" s="418"/>
      <c r="AJ57" s="418"/>
      <c r="AK57" s="418"/>
      <c r="AL57" s="418"/>
      <c r="AM57" s="418"/>
      <c r="AN57" s="418"/>
      <c r="AO57" s="418"/>
      <c r="AP57" s="418"/>
      <c r="AQ57" s="418"/>
      <c r="AR57" s="418"/>
      <c r="AS57" s="418"/>
      <c r="AT57" s="418"/>
      <c r="AU57" s="418"/>
      <c r="AV57" s="418"/>
      <c r="AW57" s="418"/>
      <c r="AX57" s="418"/>
      <c r="AY57" s="418"/>
      <c r="AZ57" s="418"/>
      <c r="BA57" s="418"/>
      <c r="BB57" s="418"/>
      <c r="BC57" s="418"/>
      <c r="BD57" s="418"/>
      <c r="BE57" s="418"/>
      <c r="BF57" s="418"/>
      <c r="BG57" s="418"/>
      <c r="BH57" s="418"/>
      <c r="BI57" s="418"/>
      <c r="BJ57" s="418"/>
      <c r="BK57" s="418"/>
      <c r="BL57" s="418"/>
      <c r="BM57" s="418"/>
      <c r="BN57" s="418"/>
      <c r="BO57" s="418"/>
      <c r="BP57" s="418"/>
      <c r="BQ57" s="418"/>
      <c r="BR57" s="418"/>
      <c r="BS57" s="418"/>
      <c r="BT57" s="418"/>
      <c r="BU57" s="418"/>
      <c r="BV57" s="418"/>
      <c r="BW57" s="418"/>
      <c r="BX57" s="418"/>
      <c r="BY57" s="418"/>
      <c r="BZ57" s="418"/>
      <c r="CA57" s="418"/>
      <c r="CB57" s="418"/>
      <c r="CC57" s="418"/>
      <c r="CD57" s="418"/>
      <c r="CE57" s="418"/>
      <c r="CF57" s="418"/>
      <c r="CG57" s="418"/>
      <c r="CH57" s="418"/>
      <c r="CI57" s="418"/>
      <c r="CJ57" s="418"/>
      <c r="CK57" s="418"/>
      <c r="CL57" s="418"/>
      <c r="CM57" s="418"/>
      <c r="CN57" s="418"/>
      <c r="CO57" s="418"/>
      <c r="CP57" s="418"/>
      <c r="CQ57" s="418"/>
      <c r="CR57" s="418"/>
      <c r="CS57" s="418"/>
      <c r="CT57" s="418"/>
      <c r="CU57" s="418"/>
      <c r="CV57" s="418"/>
      <c r="CW57" s="418"/>
      <c r="CX57" s="418"/>
      <c r="CY57" s="418"/>
      <c r="CZ57" s="418"/>
      <c r="DA57" s="418"/>
      <c r="DB57" s="418"/>
      <c r="DC57" s="418"/>
      <c r="DD57" s="418"/>
      <c r="DE57" s="418"/>
      <c r="DF57" s="418"/>
      <c r="DG57" s="418"/>
      <c r="DH57" s="418"/>
      <c r="DI57" s="418"/>
      <c r="DJ57" s="418"/>
      <c r="DK57" s="418"/>
      <c r="DL57" s="418"/>
      <c r="DM57" s="418"/>
      <c r="DN57" s="418"/>
      <c r="DO57" s="418"/>
      <c r="DP57" s="418"/>
      <c r="DQ57" s="418"/>
      <c r="DR57" s="418"/>
      <c r="DS57" s="418"/>
      <c r="DT57" s="418"/>
      <c r="DU57" s="418"/>
      <c r="DV57" s="418"/>
      <c r="DW57" s="418"/>
      <c r="DX57" s="418"/>
      <c r="DY57" s="418"/>
      <c r="DZ57" s="418"/>
      <c r="EA57" s="418"/>
      <c r="EB57" s="418"/>
      <c r="EC57" s="418"/>
      <c r="ED57" s="418"/>
      <c r="EE57" s="418"/>
      <c r="EF57" s="418"/>
      <c r="EG57" s="418"/>
      <c r="EH57" s="418"/>
      <c r="EI57" s="418"/>
      <c r="EJ57" s="418"/>
      <c r="EK57" s="418"/>
      <c r="EL57" s="418"/>
      <c r="EM57" s="418"/>
      <c r="EN57" s="418"/>
      <c r="EO57" s="418"/>
      <c r="EP57" s="418"/>
      <c r="EQ57" s="418"/>
      <c r="ER57" s="418"/>
      <c r="ES57" s="418"/>
      <c r="ET57" s="418"/>
      <c r="EU57" s="418"/>
      <c r="EV57" s="418"/>
      <c r="EW57" s="418"/>
      <c r="EX57" s="418"/>
      <c r="EY57" s="418"/>
      <c r="EZ57" s="418"/>
      <c r="FA57" s="418"/>
      <c r="FB57" s="418"/>
      <c r="FC57" s="418"/>
      <c r="FD57" s="418"/>
      <c r="FE57" s="418"/>
      <c r="FF57" s="418"/>
      <c r="FG57" s="418"/>
      <c r="FH57" s="418"/>
      <c r="FI57" s="418"/>
      <c r="FJ57" s="418"/>
      <c r="FK57" s="418"/>
      <c r="FL57" s="418"/>
      <c r="FM57" s="418"/>
      <c r="FN57" s="418"/>
      <c r="FO57" s="418"/>
      <c r="FP57" s="418"/>
      <c r="FQ57" s="418"/>
      <c r="FR57" s="418"/>
      <c r="FS57" s="418"/>
      <c r="FT57" s="418"/>
      <c r="FU57" s="418"/>
      <c r="FV57" s="418"/>
      <c r="FW57" s="418"/>
      <c r="FX57" s="418"/>
      <c r="FY57" s="418"/>
      <c r="FZ57" s="418"/>
      <c r="GA57" s="418"/>
      <c r="GB57" s="418"/>
      <c r="GC57" s="418"/>
      <c r="GD57" s="418"/>
      <c r="GE57" s="418"/>
      <c r="GF57" s="418"/>
      <c r="GG57" s="418"/>
      <c r="GH57" s="418"/>
      <c r="GI57" s="418"/>
      <c r="GJ57" s="418"/>
      <c r="GK57" s="418"/>
      <c r="GL57" s="418"/>
      <c r="GM57" s="418"/>
      <c r="GN57" s="418"/>
      <c r="GO57" s="418"/>
      <c r="GP57" s="418"/>
      <c r="GQ57" s="418"/>
      <c r="GR57" s="418"/>
      <c r="GS57" s="418"/>
      <c r="GT57" s="418"/>
      <c r="GU57" s="418"/>
      <c r="GV57" s="418"/>
      <c r="GW57" s="418"/>
      <c r="GX57" s="418"/>
      <c r="GY57" s="418"/>
      <c r="GZ57" s="418"/>
      <c r="HA57" s="418"/>
      <c r="HB57" s="418"/>
      <c r="HC57" s="418"/>
      <c r="HD57" s="418"/>
      <c r="HE57" s="418"/>
      <c r="HF57" s="418"/>
      <c r="HG57" s="418"/>
      <c r="HH57" s="418"/>
      <c r="HI57" s="418"/>
      <c r="HJ57" s="418"/>
      <c r="HK57" s="418"/>
      <c r="HL57" s="418"/>
      <c r="HM57" s="418"/>
      <c r="HN57" s="418"/>
      <c r="HO57" s="418"/>
      <c r="HP57" s="418"/>
      <c r="HQ57" s="418"/>
      <c r="HR57" s="418"/>
      <c r="HS57" s="418"/>
      <c r="HT57" s="418"/>
      <c r="HU57" s="418"/>
      <c r="HV57" s="418"/>
      <c r="HW57" s="418"/>
      <c r="HX57" s="418"/>
      <c r="HY57" s="418"/>
      <c r="HZ57" s="418"/>
      <c r="IA57" s="418"/>
      <c r="IB57" s="418"/>
      <c r="IC57" s="418"/>
      <c r="ID57" s="418"/>
      <c r="IE57" s="418"/>
      <c r="IF57" s="418"/>
      <c r="IG57" s="418"/>
      <c r="IH57" s="418"/>
      <c r="II57" s="418"/>
      <c r="IJ57" s="418"/>
      <c r="IK57" s="418"/>
      <c r="IL57" s="418"/>
      <c r="IM57" s="418"/>
      <c r="IN57" s="418"/>
      <c r="IO57" s="418"/>
      <c r="IP57" s="418"/>
      <c r="IQ57" s="418"/>
      <c r="IR57" s="418"/>
      <c r="IS57" s="418"/>
      <c r="IT57" s="418"/>
      <c r="IU57" s="418"/>
      <c r="IV57" s="418"/>
      <c r="IW57" s="418"/>
      <c r="IX57" s="418"/>
      <c r="IY57" s="418"/>
      <c r="IZ57" s="418"/>
      <c r="JA57" s="418"/>
    </row>
    <row r="58" spans="1:261" s="758" customFormat="1" ht="18" customHeight="1" x14ac:dyDescent="0.35">
      <c r="A58" s="773">
        <v>49</v>
      </c>
      <c r="B58" s="766"/>
      <c r="C58" s="420"/>
      <c r="D58" s="576" t="s">
        <v>1158</v>
      </c>
      <c r="E58" s="430"/>
      <c r="F58" s="762"/>
      <c r="G58" s="431"/>
      <c r="H58" s="999"/>
      <c r="I58" s="1017"/>
      <c r="J58" s="1013"/>
      <c r="K58" s="1013"/>
      <c r="L58" s="1013"/>
      <c r="M58" s="1524">
        <v>1905</v>
      </c>
      <c r="N58" s="1524"/>
      <c r="O58" s="767">
        <f>SUM(I58:N58)</f>
        <v>1905</v>
      </c>
      <c r="P58" s="763"/>
      <c r="Q58" s="418"/>
      <c r="R58" s="418"/>
      <c r="S58" s="418"/>
      <c r="T58" s="418"/>
      <c r="U58" s="418"/>
      <c r="V58" s="418"/>
      <c r="W58" s="418"/>
      <c r="X58" s="418"/>
      <c r="Y58" s="418"/>
      <c r="Z58" s="418"/>
      <c r="AA58" s="418"/>
      <c r="AB58" s="418"/>
      <c r="AC58" s="418"/>
      <c r="AD58" s="418"/>
      <c r="AE58" s="418"/>
      <c r="AF58" s="418"/>
      <c r="AG58" s="418"/>
      <c r="AH58" s="418"/>
      <c r="AI58" s="418"/>
      <c r="AJ58" s="418"/>
      <c r="AK58" s="418"/>
      <c r="AL58" s="418"/>
      <c r="AM58" s="418"/>
      <c r="AN58" s="418"/>
      <c r="AO58" s="418"/>
      <c r="AP58" s="418"/>
      <c r="AQ58" s="418"/>
      <c r="AR58" s="418"/>
      <c r="AS58" s="418"/>
      <c r="AT58" s="418"/>
      <c r="AU58" s="418"/>
      <c r="AV58" s="418"/>
      <c r="AW58" s="418"/>
      <c r="AX58" s="418"/>
      <c r="AY58" s="418"/>
      <c r="AZ58" s="418"/>
      <c r="BA58" s="418"/>
      <c r="BB58" s="418"/>
      <c r="BC58" s="418"/>
      <c r="BD58" s="418"/>
      <c r="BE58" s="418"/>
      <c r="BF58" s="418"/>
      <c r="BG58" s="418"/>
      <c r="BH58" s="418"/>
      <c r="BI58" s="418"/>
      <c r="BJ58" s="418"/>
      <c r="BK58" s="418"/>
      <c r="BL58" s="418"/>
      <c r="BM58" s="418"/>
      <c r="BN58" s="418"/>
      <c r="BO58" s="418"/>
      <c r="BP58" s="418"/>
      <c r="BQ58" s="418"/>
      <c r="BR58" s="418"/>
      <c r="BS58" s="418"/>
      <c r="BT58" s="418"/>
      <c r="BU58" s="418"/>
      <c r="BV58" s="418"/>
      <c r="BW58" s="418"/>
      <c r="BX58" s="418"/>
      <c r="BY58" s="418"/>
      <c r="BZ58" s="418"/>
      <c r="CA58" s="418"/>
      <c r="CB58" s="418"/>
      <c r="CC58" s="418"/>
      <c r="CD58" s="418"/>
      <c r="CE58" s="418"/>
      <c r="CF58" s="418"/>
      <c r="CG58" s="418"/>
      <c r="CH58" s="418"/>
      <c r="CI58" s="418"/>
      <c r="CJ58" s="418"/>
      <c r="CK58" s="418"/>
      <c r="CL58" s="418"/>
      <c r="CM58" s="418"/>
      <c r="CN58" s="418"/>
      <c r="CO58" s="418"/>
      <c r="CP58" s="418"/>
      <c r="CQ58" s="418"/>
      <c r="CR58" s="418"/>
      <c r="CS58" s="418"/>
      <c r="CT58" s="418"/>
      <c r="CU58" s="418"/>
      <c r="CV58" s="418"/>
      <c r="CW58" s="418"/>
      <c r="CX58" s="418"/>
      <c r="CY58" s="418"/>
      <c r="CZ58" s="418"/>
      <c r="DA58" s="418"/>
      <c r="DB58" s="418"/>
      <c r="DC58" s="418"/>
      <c r="DD58" s="418"/>
      <c r="DE58" s="418"/>
      <c r="DF58" s="418"/>
      <c r="DG58" s="418"/>
      <c r="DH58" s="418"/>
      <c r="DI58" s="418"/>
      <c r="DJ58" s="418"/>
      <c r="DK58" s="418"/>
      <c r="DL58" s="418"/>
      <c r="DM58" s="418"/>
      <c r="DN58" s="418"/>
      <c r="DO58" s="418"/>
      <c r="DP58" s="418"/>
      <c r="DQ58" s="418"/>
      <c r="DR58" s="418"/>
      <c r="DS58" s="418"/>
      <c r="DT58" s="418"/>
      <c r="DU58" s="418"/>
      <c r="DV58" s="418"/>
      <c r="DW58" s="418"/>
      <c r="DX58" s="418"/>
      <c r="DY58" s="418"/>
      <c r="DZ58" s="418"/>
      <c r="EA58" s="418"/>
      <c r="EB58" s="418"/>
      <c r="EC58" s="418"/>
      <c r="ED58" s="418"/>
      <c r="EE58" s="418"/>
      <c r="EF58" s="418"/>
      <c r="EG58" s="418"/>
      <c r="EH58" s="418"/>
      <c r="EI58" s="418"/>
      <c r="EJ58" s="418"/>
      <c r="EK58" s="418"/>
      <c r="EL58" s="418"/>
      <c r="EM58" s="418"/>
      <c r="EN58" s="418"/>
      <c r="EO58" s="418"/>
      <c r="EP58" s="418"/>
      <c r="EQ58" s="418"/>
      <c r="ER58" s="418"/>
      <c r="ES58" s="418"/>
      <c r="ET58" s="418"/>
      <c r="EU58" s="418"/>
      <c r="EV58" s="418"/>
      <c r="EW58" s="418"/>
      <c r="EX58" s="418"/>
      <c r="EY58" s="418"/>
      <c r="EZ58" s="418"/>
      <c r="FA58" s="418"/>
      <c r="FB58" s="418"/>
      <c r="FC58" s="418"/>
      <c r="FD58" s="418"/>
      <c r="FE58" s="418"/>
      <c r="FF58" s="418"/>
      <c r="FG58" s="418"/>
      <c r="FH58" s="418"/>
      <c r="FI58" s="418"/>
      <c r="FJ58" s="418"/>
      <c r="FK58" s="418"/>
      <c r="FL58" s="418"/>
      <c r="FM58" s="418"/>
      <c r="FN58" s="418"/>
      <c r="FO58" s="418"/>
      <c r="FP58" s="418"/>
      <c r="FQ58" s="418"/>
      <c r="FR58" s="418"/>
      <c r="FS58" s="418"/>
      <c r="FT58" s="418"/>
      <c r="FU58" s="418"/>
      <c r="FV58" s="418"/>
      <c r="FW58" s="418"/>
      <c r="FX58" s="418"/>
      <c r="FY58" s="418"/>
      <c r="FZ58" s="418"/>
      <c r="GA58" s="418"/>
      <c r="GB58" s="418"/>
      <c r="GC58" s="418"/>
      <c r="GD58" s="418"/>
      <c r="GE58" s="418"/>
      <c r="GF58" s="418"/>
      <c r="GG58" s="418"/>
      <c r="GH58" s="418"/>
      <c r="GI58" s="418"/>
      <c r="GJ58" s="418"/>
      <c r="GK58" s="418"/>
      <c r="GL58" s="418"/>
      <c r="GM58" s="418"/>
      <c r="GN58" s="418"/>
      <c r="GO58" s="418"/>
      <c r="GP58" s="418"/>
      <c r="GQ58" s="418"/>
      <c r="GR58" s="418"/>
      <c r="GS58" s="418"/>
      <c r="GT58" s="418"/>
      <c r="GU58" s="418"/>
      <c r="GV58" s="418"/>
      <c r="GW58" s="418"/>
      <c r="GX58" s="418"/>
      <c r="GY58" s="418"/>
      <c r="GZ58" s="418"/>
      <c r="HA58" s="418"/>
      <c r="HB58" s="418"/>
      <c r="HC58" s="418"/>
      <c r="HD58" s="418"/>
      <c r="HE58" s="418"/>
      <c r="HF58" s="418"/>
      <c r="HG58" s="418"/>
      <c r="HH58" s="418"/>
      <c r="HI58" s="418"/>
      <c r="HJ58" s="418"/>
      <c r="HK58" s="418"/>
      <c r="HL58" s="418"/>
      <c r="HM58" s="418"/>
      <c r="HN58" s="418"/>
      <c r="HO58" s="418"/>
      <c r="HP58" s="418"/>
      <c r="HQ58" s="418"/>
      <c r="HR58" s="418"/>
      <c r="HS58" s="418"/>
      <c r="HT58" s="418"/>
      <c r="HU58" s="418"/>
      <c r="HV58" s="418"/>
      <c r="HW58" s="418"/>
      <c r="HX58" s="418"/>
      <c r="HY58" s="418"/>
      <c r="HZ58" s="418"/>
      <c r="IA58" s="418"/>
      <c r="IB58" s="418"/>
      <c r="IC58" s="418"/>
      <c r="ID58" s="418"/>
      <c r="IE58" s="418"/>
      <c r="IF58" s="418"/>
      <c r="IG58" s="418"/>
      <c r="IH58" s="418"/>
      <c r="II58" s="418"/>
      <c r="IJ58" s="418"/>
      <c r="IK58" s="418"/>
      <c r="IL58" s="418"/>
      <c r="IM58" s="418"/>
      <c r="IN58" s="418"/>
      <c r="IO58" s="418"/>
      <c r="IP58" s="418"/>
      <c r="IQ58" s="418"/>
      <c r="IR58" s="418"/>
      <c r="IS58" s="418"/>
      <c r="IT58" s="418"/>
      <c r="IU58" s="418"/>
      <c r="IV58" s="418"/>
      <c r="IW58" s="418"/>
      <c r="IX58" s="418"/>
      <c r="IY58" s="418"/>
      <c r="IZ58" s="418"/>
      <c r="JA58" s="418"/>
    </row>
    <row r="59" spans="1:261" s="758" customFormat="1" ht="18" customHeight="1" x14ac:dyDescent="0.35">
      <c r="A59" s="773">
        <v>50</v>
      </c>
      <c r="B59" s="766"/>
      <c r="C59" s="420"/>
      <c r="D59" s="1318" t="s">
        <v>947</v>
      </c>
      <c r="E59" s="430"/>
      <c r="F59" s="762"/>
      <c r="G59" s="431"/>
      <c r="H59" s="999"/>
      <c r="I59" s="995"/>
      <c r="J59" s="759"/>
      <c r="K59" s="759"/>
      <c r="L59" s="759"/>
      <c r="M59" s="759"/>
      <c r="N59" s="759"/>
      <c r="O59" s="767">
        <f>SUM(I59:N59)</f>
        <v>0</v>
      </c>
      <c r="P59" s="763"/>
      <c r="Q59" s="418"/>
      <c r="R59" s="418"/>
      <c r="S59" s="418"/>
      <c r="T59" s="418"/>
      <c r="U59" s="418"/>
      <c r="V59" s="418"/>
      <c r="W59" s="418"/>
      <c r="X59" s="418"/>
      <c r="Y59" s="418"/>
      <c r="Z59" s="418"/>
      <c r="AA59" s="418"/>
      <c r="AB59" s="418"/>
      <c r="AC59" s="418"/>
      <c r="AD59" s="418"/>
      <c r="AE59" s="418"/>
      <c r="AF59" s="418"/>
      <c r="AG59" s="418"/>
      <c r="AH59" s="418"/>
      <c r="AI59" s="418"/>
      <c r="AJ59" s="418"/>
      <c r="AK59" s="418"/>
      <c r="AL59" s="418"/>
      <c r="AM59" s="418"/>
      <c r="AN59" s="418"/>
      <c r="AO59" s="418"/>
      <c r="AP59" s="418"/>
      <c r="AQ59" s="418"/>
      <c r="AR59" s="418"/>
      <c r="AS59" s="418"/>
      <c r="AT59" s="418"/>
      <c r="AU59" s="418"/>
      <c r="AV59" s="418"/>
      <c r="AW59" s="418"/>
      <c r="AX59" s="418"/>
      <c r="AY59" s="418"/>
      <c r="AZ59" s="418"/>
      <c r="BA59" s="418"/>
      <c r="BB59" s="418"/>
      <c r="BC59" s="418"/>
      <c r="BD59" s="418"/>
      <c r="BE59" s="418"/>
      <c r="BF59" s="418"/>
      <c r="BG59" s="418"/>
      <c r="BH59" s="418"/>
      <c r="BI59" s="418"/>
      <c r="BJ59" s="418"/>
      <c r="BK59" s="418"/>
      <c r="BL59" s="418"/>
      <c r="BM59" s="418"/>
      <c r="BN59" s="418"/>
      <c r="BO59" s="418"/>
      <c r="BP59" s="418"/>
      <c r="BQ59" s="418"/>
      <c r="BR59" s="418"/>
      <c r="BS59" s="418"/>
      <c r="BT59" s="418"/>
      <c r="BU59" s="418"/>
      <c r="BV59" s="418"/>
      <c r="BW59" s="418"/>
      <c r="BX59" s="418"/>
      <c r="BY59" s="418"/>
      <c r="BZ59" s="418"/>
      <c r="CA59" s="418"/>
      <c r="CB59" s="418"/>
      <c r="CC59" s="418"/>
      <c r="CD59" s="418"/>
      <c r="CE59" s="418"/>
      <c r="CF59" s="418"/>
      <c r="CG59" s="418"/>
      <c r="CH59" s="418"/>
      <c r="CI59" s="418"/>
      <c r="CJ59" s="418"/>
      <c r="CK59" s="418"/>
      <c r="CL59" s="418"/>
      <c r="CM59" s="418"/>
      <c r="CN59" s="418"/>
      <c r="CO59" s="418"/>
      <c r="CP59" s="418"/>
      <c r="CQ59" s="418"/>
      <c r="CR59" s="418"/>
      <c r="CS59" s="418"/>
      <c r="CT59" s="418"/>
      <c r="CU59" s="418"/>
      <c r="CV59" s="418"/>
      <c r="CW59" s="418"/>
      <c r="CX59" s="418"/>
      <c r="CY59" s="418"/>
      <c r="CZ59" s="418"/>
      <c r="DA59" s="418"/>
      <c r="DB59" s="418"/>
      <c r="DC59" s="418"/>
      <c r="DD59" s="418"/>
      <c r="DE59" s="418"/>
      <c r="DF59" s="418"/>
      <c r="DG59" s="418"/>
      <c r="DH59" s="418"/>
      <c r="DI59" s="418"/>
      <c r="DJ59" s="418"/>
      <c r="DK59" s="418"/>
      <c r="DL59" s="418"/>
      <c r="DM59" s="418"/>
      <c r="DN59" s="418"/>
      <c r="DO59" s="418"/>
      <c r="DP59" s="418"/>
      <c r="DQ59" s="418"/>
      <c r="DR59" s="418"/>
      <c r="DS59" s="418"/>
      <c r="DT59" s="418"/>
      <c r="DU59" s="418"/>
      <c r="DV59" s="418"/>
      <c r="DW59" s="418"/>
      <c r="DX59" s="418"/>
      <c r="DY59" s="418"/>
      <c r="DZ59" s="418"/>
      <c r="EA59" s="418"/>
      <c r="EB59" s="418"/>
      <c r="EC59" s="418"/>
      <c r="ED59" s="418"/>
      <c r="EE59" s="418"/>
      <c r="EF59" s="418"/>
      <c r="EG59" s="418"/>
      <c r="EH59" s="418"/>
      <c r="EI59" s="418"/>
      <c r="EJ59" s="418"/>
      <c r="EK59" s="418"/>
      <c r="EL59" s="418"/>
      <c r="EM59" s="418"/>
      <c r="EN59" s="418"/>
      <c r="EO59" s="418"/>
      <c r="EP59" s="418"/>
      <c r="EQ59" s="418"/>
      <c r="ER59" s="418"/>
      <c r="ES59" s="418"/>
      <c r="ET59" s="418"/>
      <c r="EU59" s="418"/>
      <c r="EV59" s="418"/>
      <c r="EW59" s="418"/>
      <c r="EX59" s="418"/>
      <c r="EY59" s="418"/>
      <c r="EZ59" s="418"/>
      <c r="FA59" s="418"/>
      <c r="FB59" s="418"/>
      <c r="FC59" s="418"/>
      <c r="FD59" s="418"/>
      <c r="FE59" s="418"/>
      <c r="FF59" s="418"/>
      <c r="FG59" s="418"/>
      <c r="FH59" s="418"/>
      <c r="FI59" s="418"/>
      <c r="FJ59" s="418"/>
      <c r="FK59" s="418"/>
      <c r="FL59" s="418"/>
      <c r="FM59" s="418"/>
      <c r="FN59" s="418"/>
      <c r="FO59" s="418"/>
      <c r="FP59" s="418"/>
      <c r="FQ59" s="418"/>
      <c r="FR59" s="418"/>
      <c r="FS59" s="418"/>
      <c r="FT59" s="418"/>
      <c r="FU59" s="418"/>
      <c r="FV59" s="418"/>
      <c r="FW59" s="418"/>
      <c r="FX59" s="418"/>
      <c r="FY59" s="418"/>
      <c r="FZ59" s="418"/>
      <c r="GA59" s="418"/>
      <c r="GB59" s="418"/>
      <c r="GC59" s="418"/>
      <c r="GD59" s="418"/>
      <c r="GE59" s="418"/>
      <c r="GF59" s="418"/>
      <c r="GG59" s="418"/>
      <c r="GH59" s="418"/>
      <c r="GI59" s="418"/>
      <c r="GJ59" s="418"/>
      <c r="GK59" s="418"/>
      <c r="GL59" s="418"/>
      <c r="GM59" s="418"/>
      <c r="GN59" s="418"/>
      <c r="GO59" s="418"/>
      <c r="GP59" s="418"/>
      <c r="GQ59" s="418"/>
      <c r="GR59" s="418"/>
      <c r="GS59" s="418"/>
      <c r="GT59" s="418"/>
      <c r="GU59" s="418"/>
      <c r="GV59" s="418"/>
      <c r="GW59" s="418"/>
      <c r="GX59" s="418"/>
      <c r="GY59" s="418"/>
      <c r="GZ59" s="418"/>
      <c r="HA59" s="418"/>
      <c r="HB59" s="418"/>
      <c r="HC59" s="418"/>
      <c r="HD59" s="418"/>
      <c r="HE59" s="418"/>
      <c r="HF59" s="418"/>
      <c r="HG59" s="418"/>
      <c r="HH59" s="418"/>
      <c r="HI59" s="418"/>
      <c r="HJ59" s="418"/>
      <c r="HK59" s="418"/>
      <c r="HL59" s="418"/>
      <c r="HM59" s="418"/>
      <c r="HN59" s="418"/>
      <c r="HO59" s="418"/>
      <c r="HP59" s="418"/>
      <c r="HQ59" s="418"/>
      <c r="HR59" s="418"/>
      <c r="HS59" s="418"/>
      <c r="HT59" s="418"/>
      <c r="HU59" s="418"/>
      <c r="HV59" s="418"/>
      <c r="HW59" s="418"/>
      <c r="HX59" s="418"/>
      <c r="HY59" s="418"/>
      <c r="HZ59" s="418"/>
      <c r="IA59" s="418"/>
      <c r="IB59" s="418"/>
      <c r="IC59" s="418"/>
      <c r="ID59" s="418"/>
      <c r="IE59" s="418"/>
      <c r="IF59" s="418"/>
      <c r="IG59" s="418"/>
      <c r="IH59" s="418"/>
      <c r="II59" s="418"/>
      <c r="IJ59" s="418"/>
      <c r="IK59" s="418"/>
      <c r="IL59" s="418"/>
      <c r="IM59" s="418"/>
      <c r="IN59" s="418"/>
      <c r="IO59" s="418"/>
      <c r="IP59" s="418"/>
      <c r="IQ59" s="418"/>
      <c r="IR59" s="418"/>
      <c r="IS59" s="418"/>
      <c r="IT59" s="418"/>
      <c r="IU59" s="418"/>
      <c r="IV59" s="418"/>
      <c r="IW59" s="418"/>
      <c r="IX59" s="418"/>
      <c r="IY59" s="418"/>
      <c r="IZ59" s="418"/>
      <c r="JA59" s="418"/>
    </row>
    <row r="60" spans="1:261" s="758" customFormat="1" ht="18" customHeight="1" x14ac:dyDescent="0.35">
      <c r="A60" s="773">
        <v>51</v>
      </c>
      <c r="B60" s="766"/>
      <c r="C60" s="420"/>
      <c r="D60" s="576" t="s">
        <v>1250</v>
      </c>
      <c r="E60" s="430"/>
      <c r="F60" s="762"/>
      <c r="G60" s="431"/>
      <c r="H60" s="999"/>
      <c r="I60" s="995"/>
      <c r="J60" s="759"/>
      <c r="K60" s="759"/>
      <c r="L60" s="759"/>
      <c r="M60" s="1524">
        <f>SUM(M58:M59)</f>
        <v>1905</v>
      </c>
      <c r="N60" s="759"/>
      <c r="O60" s="767">
        <f>SUM(I60:N60)</f>
        <v>1905</v>
      </c>
      <c r="P60" s="763"/>
      <c r="Q60" s="418"/>
      <c r="R60" s="418"/>
      <c r="S60" s="418"/>
      <c r="T60" s="418"/>
      <c r="U60" s="418"/>
      <c r="V60" s="418"/>
      <c r="W60" s="418"/>
      <c r="X60" s="418"/>
      <c r="Y60" s="418"/>
      <c r="Z60" s="418"/>
      <c r="AA60" s="418"/>
      <c r="AB60" s="418"/>
      <c r="AC60" s="418"/>
      <c r="AD60" s="418"/>
      <c r="AE60" s="418"/>
      <c r="AF60" s="418"/>
      <c r="AG60" s="418"/>
      <c r="AH60" s="418"/>
      <c r="AI60" s="418"/>
      <c r="AJ60" s="418"/>
      <c r="AK60" s="418"/>
      <c r="AL60" s="418"/>
      <c r="AM60" s="418"/>
      <c r="AN60" s="418"/>
      <c r="AO60" s="418"/>
      <c r="AP60" s="418"/>
      <c r="AQ60" s="418"/>
      <c r="AR60" s="418"/>
      <c r="AS60" s="418"/>
      <c r="AT60" s="418"/>
      <c r="AU60" s="418"/>
      <c r="AV60" s="418"/>
      <c r="AW60" s="418"/>
      <c r="AX60" s="418"/>
      <c r="AY60" s="418"/>
      <c r="AZ60" s="418"/>
      <c r="BA60" s="418"/>
      <c r="BB60" s="418"/>
      <c r="BC60" s="418"/>
      <c r="BD60" s="418"/>
      <c r="BE60" s="418"/>
      <c r="BF60" s="418"/>
      <c r="BG60" s="418"/>
      <c r="BH60" s="418"/>
      <c r="BI60" s="418"/>
      <c r="BJ60" s="418"/>
      <c r="BK60" s="418"/>
      <c r="BL60" s="418"/>
      <c r="BM60" s="418"/>
      <c r="BN60" s="418"/>
      <c r="BO60" s="418"/>
      <c r="BP60" s="418"/>
      <c r="BQ60" s="418"/>
      <c r="BR60" s="418"/>
      <c r="BS60" s="418"/>
      <c r="BT60" s="418"/>
      <c r="BU60" s="418"/>
      <c r="BV60" s="418"/>
      <c r="BW60" s="418"/>
      <c r="BX60" s="418"/>
      <c r="BY60" s="418"/>
      <c r="BZ60" s="418"/>
      <c r="CA60" s="418"/>
      <c r="CB60" s="418"/>
      <c r="CC60" s="418"/>
      <c r="CD60" s="418"/>
      <c r="CE60" s="418"/>
      <c r="CF60" s="418"/>
      <c r="CG60" s="418"/>
      <c r="CH60" s="418"/>
      <c r="CI60" s="418"/>
      <c r="CJ60" s="418"/>
      <c r="CK60" s="418"/>
      <c r="CL60" s="418"/>
      <c r="CM60" s="418"/>
      <c r="CN60" s="418"/>
      <c r="CO60" s="418"/>
      <c r="CP60" s="418"/>
      <c r="CQ60" s="418"/>
      <c r="CR60" s="418"/>
      <c r="CS60" s="418"/>
      <c r="CT60" s="418"/>
      <c r="CU60" s="418"/>
      <c r="CV60" s="418"/>
      <c r="CW60" s="418"/>
      <c r="CX60" s="418"/>
      <c r="CY60" s="418"/>
      <c r="CZ60" s="418"/>
      <c r="DA60" s="418"/>
      <c r="DB60" s="418"/>
      <c r="DC60" s="418"/>
      <c r="DD60" s="418"/>
      <c r="DE60" s="418"/>
      <c r="DF60" s="418"/>
      <c r="DG60" s="418"/>
      <c r="DH60" s="418"/>
      <c r="DI60" s="418"/>
      <c r="DJ60" s="418"/>
      <c r="DK60" s="418"/>
      <c r="DL60" s="418"/>
      <c r="DM60" s="418"/>
      <c r="DN60" s="418"/>
      <c r="DO60" s="418"/>
      <c r="DP60" s="418"/>
      <c r="DQ60" s="418"/>
      <c r="DR60" s="418"/>
      <c r="DS60" s="418"/>
      <c r="DT60" s="418"/>
      <c r="DU60" s="418"/>
      <c r="DV60" s="418"/>
      <c r="DW60" s="418"/>
      <c r="DX60" s="418"/>
      <c r="DY60" s="418"/>
      <c r="DZ60" s="418"/>
      <c r="EA60" s="418"/>
      <c r="EB60" s="418"/>
      <c r="EC60" s="418"/>
      <c r="ED60" s="418"/>
      <c r="EE60" s="418"/>
      <c r="EF60" s="418"/>
      <c r="EG60" s="418"/>
      <c r="EH60" s="418"/>
      <c r="EI60" s="418"/>
      <c r="EJ60" s="418"/>
      <c r="EK60" s="418"/>
      <c r="EL60" s="418"/>
      <c r="EM60" s="418"/>
      <c r="EN60" s="418"/>
      <c r="EO60" s="418"/>
      <c r="EP60" s="418"/>
      <c r="EQ60" s="418"/>
      <c r="ER60" s="418"/>
      <c r="ES60" s="418"/>
      <c r="ET60" s="418"/>
      <c r="EU60" s="418"/>
      <c r="EV60" s="418"/>
      <c r="EW60" s="418"/>
      <c r="EX60" s="418"/>
      <c r="EY60" s="418"/>
      <c r="EZ60" s="418"/>
      <c r="FA60" s="418"/>
      <c r="FB60" s="418"/>
      <c r="FC60" s="418"/>
      <c r="FD60" s="418"/>
      <c r="FE60" s="418"/>
      <c r="FF60" s="418"/>
      <c r="FG60" s="418"/>
      <c r="FH60" s="418"/>
      <c r="FI60" s="418"/>
      <c r="FJ60" s="418"/>
      <c r="FK60" s="418"/>
      <c r="FL60" s="418"/>
      <c r="FM60" s="418"/>
      <c r="FN60" s="418"/>
      <c r="FO60" s="418"/>
      <c r="FP60" s="418"/>
      <c r="FQ60" s="418"/>
      <c r="FR60" s="418"/>
      <c r="FS60" s="418"/>
      <c r="FT60" s="418"/>
      <c r="FU60" s="418"/>
      <c r="FV60" s="418"/>
      <c r="FW60" s="418"/>
      <c r="FX60" s="418"/>
      <c r="FY60" s="418"/>
      <c r="FZ60" s="418"/>
      <c r="GA60" s="418"/>
      <c r="GB60" s="418"/>
      <c r="GC60" s="418"/>
      <c r="GD60" s="418"/>
      <c r="GE60" s="418"/>
      <c r="GF60" s="418"/>
      <c r="GG60" s="418"/>
      <c r="GH60" s="418"/>
      <c r="GI60" s="418"/>
      <c r="GJ60" s="418"/>
      <c r="GK60" s="418"/>
      <c r="GL60" s="418"/>
      <c r="GM60" s="418"/>
      <c r="GN60" s="418"/>
      <c r="GO60" s="418"/>
      <c r="GP60" s="418"/>
      <c r="GQ60" s="418"/>
      <c r="GR60" s="418"/>
      <c r="GS60" s="418"/>
      <c r="GT60" s="418"/>
      <c r="GU60" s="418"/>
      <c r="GV60" s="418"/>
      <c r="GW60" s="418"/>
      <c r="GX60" s="418"/>
      <c r="GY60" s="418"/>
      <c r="GZ60" s="418"/>
      <c r="HA60" s="418"/>
      <c r="HB60" s="418"/>
      <c r="HC60" s="418"/>
      <c r="HD60" s="418"/>
      <c r="HE60" s="418"/>
      <c r="HF60" s="418"/>
      <c r="HG60" s="418"/>
      <c r="HH60" s="418"/>
      <c r="HI60" s="418"/>
      <c r="HJ60" s="418"/>
      <c r="HK60" s="418"/>
      <c r="HL60" s="418"/>
      <c r="HM60" s="418"/>
      <c r="HN60" s="418"/>
      <c r="HO60" s="418"/>
      <c r="HP60" s="418"/>
      <c r="HQ60" s="418"/>
      <c r="HR60" s="418"/>
      <c r="HS60" s="418"/>
      <c r="HT60" s="418"/>
      <c r="HU60" s="418"/>
      <c r="HV60" s="418"/>
      <c r="HW60" s="418"/>
      <c r="HX60" s="418"/>
      <c r="HY60" s="418"/>
      <c r="HZ60" s="418"/>
      <c r="IA60" s="418"/>
      <c r="IB60" s="418"/>
      <c r="IC60" s="418"/>
      <c r="ID60" s="418"/>
      <c r="IE60" s="418"/>
      <c r="IF60" s="418"/>
      <c r="IG60" s="418"/>
      <c r="IH60" s="418"/>
      <c r="II60" s="418"/>
      <c r="IJ60" s="418"/>
      <c r="IK60" s="418"/>
      <c r="IL60" s="418"/>
      <c r="IM60" s="418"/>
      <c r="IN60" s="418"/>
      <c r="IO60" s="418"/>
      <c r="IP60" s="418"/>
      <c r="IQ60" s="418"/>
      <c r="IR60" s="418"/>
      <c r="IS60" s="418"/>
      <c r="IT60" s="418"/>
      <c r="IU60" s="418"/>
      <c r="IV60" s="418"/>
      <c r="IW60" s="418"/>
      <c r="IX60" s="418"/>
      <c r="IY60" s="418"/>
      <c r="IZ60" s="418"/>
      <c r="JA60" s="418"/>
    </row>
    <row r="61" spans="1:261" s="758" customFormat="1" ht="22.5" customHeight="1" x14ac:dyDescent="0.35">
      <c r="A61" s="773">
        <v>52</v>
      </c>
      <c r="B61" s="766"/>
      <c r="C61" s="1255">
        <v>11</v>
      </c>
      <c r="D61" s="1254" t="s">
        <v>823</v>
      </c>
      <c r="E61" s="430"/>
      <c r="F61" s="762"/>
      <c r="G61" s="431"/>
      <c r="H61" s="999" t="s">
        <v>24</v>
      </c>
      <c r="I61" s="1017"/>
      <c r="J61" s="1013"/>
      <c r="K61" s="1013"/>
      <c r="L61" s="1013"/>
      <c r="M61" s="1013"/>
      <c r="N61" s="1013"/>
      <c r="O61" s="982"/>
      <c r="P61" s="763"/>
      <c r="Q61" s="418"/>
      <c r="R61" s="418"/>
      <c r="S61" s="418"/>
      <c r="T61" s="418"/>
      <c r="U61" s="418"/>
      <c r="V61" s="418"/>
      <c r="W61" s="418"/>
      <c r="X61" s="418"/>
      <c r="Y61" s="418"/>
      <c r="Z61" s="418"/>
      <c r="AA61" s="418"/>
      <c r="AB61" s="418"/>
      <c r="AC61" s="418"/>
      <c r="AD61" s="418"/>
      <c r="AE61" s="418"/>
      <c r="AF61" s="418"/>
      <c r="AG61" s="418"/>
      <c r="AH61" s="418"/>
      <c r="AI61" s="418"/>
      <c r="AJ61" s="418"/>
      <c r="AK61" s="418"/>
      <c r="AL61" s="418"/>
      <c r="AM61" s="418"/>
      <c r="AN61" s="418"/>
      <c r="AO61" s="418"/>
      <c r="AP61" s="418"/>
      <c r="AQ61" s="418"/>
      <c r="AR61" s="418"/>
      <c r="AS61" s="418"/>
      <c r="AT61" s="418"/>
      <c r="AU61" s="418"/>
      <c r="AV61" s="418"/>
      <c r="AW61" s="418"/>
      <c r="AX61" s="418"/>
      <c r="AY61" s="418"/>
      <c r="AZ61" s="418"/>
      <c r="BA61" s="418"/>
      <c r="BB61" s="418"/>
      <c r="BC61" s="418"/>
      <c r="BD61" s="418"/>
      <c r="BE61" s="418"/>
      <c r="BF61" s="418"/>
      <c r="BG61" s="418"/>
      <c r="BH61" s="418"/>
      <c r="BI61" s="418"/>
      <c r="BJ61" s="418"/>
      <c r="BK61" s="418"/>
      <c r="BL61" s="418"/>
      <c r="BM61" s="418"/>
      <c r="BN61" s="418"/>
      <c r="BO61" s="418"/>
      <c r="BP61" s="418"/>
      <c r="BQ61" s="418"/>
      <c r="BR61" s="418"/>
      <c r="BS61" s="418"/>
      <c r="BT61" s="418"/>
      <c r="BU61" s="418"/>
      <c r="BV61" s="418"/>
      <c r="BW61" s="418"/>
      <c r="BX61" s="418"/>
      <c r="BY61" s="418"/>
      <c r="BZ61" s="418"/>
      <c r="CA61" s="418"/>
      <c r="CB61" s="418"/>
      <c r="CC61" s="418"/>
      <c r="CD61" s="418"/>
      <c r="CE61" s="418"/>
      <c r="CF61" s="418"/>
      <c r="CG61" s="418"/>
      <c r="CH61" s="418"/>
      <c r="CI61" s="418"/>
      <c r="CJ61" s="418"/>
      <c r="CK61" s="418"/>
      <c r="CL61" s="418"/>
      <c r="CM61" s="418"/>
      <c r="CN61" s="418"/>
      <c r="CO61" s="418"/>
      <c r="CP61" s="418"/>
      <c r="CQ61" s="418"/>
      <c r="CR61" s="418"/>
      <c r="CS61" s="418"/>
      <c r="CT61" s="418"/>
      <c r="CU61" s="418"/>
      <c r="CV61" s="418"/>
      <c r="CW61" s="418"/>
      <c r="CX61" s="418"/>
      <c r="CY61" s="418"/>
      <c r="CZ61" s="418"/>
      <c r="DA61" s="418"/>
      <c r="DB61" s="418"/>
      <c r="DC61" s="418"/>
      <c r="DD61" s="418"/>
      <c r="DE61" s="418"/>
      <c r="DF61" s="418"/>
      <c r="DG61" s="418"/>
      <c r="DH61" s="418"/>
      <c r="DI61" s="418"/>
      <c r="DJ61" s="418"/>
      <c r="DK61" s="418"/>
      <c r="DL61" s="418"/>
      <c r="DM61" s="418"/>
      <c r="DN61" s="418"/>
      <c r="DO61" s="418"/>
      <c r="DP61" s="418"/>
      <c r="DQ61" s="418"/>
      <c r="DR61" s="418"/>
      <c r="DS61" s="418"/>
      <c r="DT61" s="418"/>
      <c r="DU61" s="418"/>
      <c r="DV61" s="418"/>
      <c r="DW61" s="418"/>
      <c r="DX61" s="418"/>
      <c r="DY61" s="418"/>
      <c r="DZ61" s="418"/>
      <c r="EA61" s="418"/>
      <c r="EB61" s="418"/>
      <c r="EC61" s="418"/>
      <c r="ED61" s="418"/>
      <c r="EE61" s="418"/>
      <c r="EF61" s="418"/>
      <c r="EG61" s="418"/>
      <c r="EH61" s="418"/>
      <c r="EI61" s="418"/>
      <c r="EJ61" s="418"/>
      <c r="EK61" s="418"/>
      <c r="EL61" s="418"/>
      <c r="EM61" s="418"/>
      <c r="EN61" s="418"/>
      <c r="EO61" s="418"/>
      <c r="EP61" s="418"/>
      <c r="EQ61" s="418"/>
      <c r="ER61" s="418"/>
      <c r="ES61" s="418"/>
      <c r="ET61" s="418"/>
      <c r="EU61" s="418"/>
      <c r="EV61" s="418"/>
      <c r="EW61" s="418"/>
      <c r="EX61" s="418"/>
      <c r="EY61" s="418"/>
      <c r="EZ61" s="418"/>
      <c r="FA61" s="418"/>
      <c r="FB61" s="418"/>
      <c r="FC61" s="418"/>
      <c r="FD61" s="418"/>
      <c r="FE61" s="418"/>
      <c r="FF61" s="418"/>
      <c r="FG61" s="418"/>
      <c r="FH61" s="418"/>
      <c r="FI61" s="418"/>
      <c r="FJ61" s="418"/>
      <c r="FK61" s="418"/>
      <c r="FL61" s="418"/>
      <c r="FM61" s="418"/>
      <c r="FN61" s="418"/>
      <c r="FO61" s="418"/>
      <c r="FP61" s="418"/>
      <c r="FQ61" s="418"/>
      <c r="FR61" s="418"/>
      <c r="FS61" s="418"/>
      <c r="FT61" s="418"/>
      <c r="FU61" s="418"/>
      <c r="FV61" s="418"/>
      <c r="FW61" s="418"/>
      <c r="FX61" s="418"/>
      <c r="FY61" s="418"/>
      <c r="FZ61" s="418"/>
      <c r="GA61" s="418"/>
      <c r="GB61" s="418"/>
      <c r="GC61" s="418"/>
      <c r="GD61" s="418"/>
      <c r="GE61" s="418"/>
      <c r="GF61" s="418"/>
      <c r="GG61" s="418"/>
      <c r="GH61" s="418"/>
      <c r="GI61" s="418"/>
      <c r="GJ61" s="418"/>
      <c r="GK61" s="418"/>
      <c r="GL61" s="418"/>
      <c r="GM61" s="418"/>
      <c r="GN61" s="418"/>
      <c r="GO61" s="418"/>
      <c r="GP61" s="418"/>
      <c r="GQ61" s="418"/>
      <c r="GR61" s="418"/>
      <c r="GS61" s="418"/>
      <c r="GT61" s="418"/>
      <c r="GU61" s="418"/>
      <c r="GV61" s="418"/>
      <c r="GW61" s="418"/>
      <c r="GX61" s="418"/>
      <c r="GY61" s="418"/>
      <c r="GZ61" s="418"/>
      <c r="HA61" s="418"/>
      <c r="HB61" s="418"/>
      <c r="HC61" s="418"/>
      <c r="HD61" s="418"/>
      <c r="HE61" s="418"/>
      <c r="HF61" s="418"/>
      <c r="HG61" s="418"/>
      <c r="HH61" s="418"/>
      <c r="HI61" s="418"/>
      <c r="HJ61" s="418"/>
      <c r="HK61" s="418"/>
      <c r="HL61" s="418"/>
      <c r="HM61" s="418"/>
      <c r="HN61" s="418"/>
      <c r="HO61" s="418"/>
      <c r="HP61" s="418"/>
      <c r="HQ61" s="418"/>
      <c r="HR61" s="418"/>
      <c r="HS61" s="418"/>
      <c r="HT61" s="418"/>
      <c r="HU61" s="418"/>
      <c r="HV61" s="418"/>
      <c r="HW61" s="418"/>
      <c r="HX61" s="418"/>
      <c r="HY61" s="418"/>
      <c r="HZ61" s="418"/>
      <c r="IA61" s="418"/>
      <c r="IB61" s="418"/>
      <c r="IC61" s="418"/>
      <c r="ID61" s="418"/>
      <c r="IE61" s="418"/>
      <c r="IF61" s="418"/>
      <c r="IG61" s="418"/>
      <c r="IH61" s="418"/>
      <c r="II61" s="418"/>
      <c r="IJ61" s="418"/>
      <c r="IK61" s="418"/>
      <c r="IL61" s="418"/>
      <c r="IM61" s="418"/>
      <c r="IN61" s="418"/>
      <c r="IO61" s="418"/>
      <c r="IP61" s="418"/>
      <c r="IQ61" s="418"/>
      <c r="IR61" s="418"/>
      <c r="IS61" s="418"/>
      <c r="IT61" s="418"/>
      <c r="IU61" s="418"/>
      <c r="IV61" s="418"/>
      <c r="IW61" s="418"/>
      <c r="IX61" s="418"/>
      <c r="IY61" s="418"/>
      <c r="IZ61" s="418"/>
      <c r="JA61" s="418"/>
    </row>
    <row r="62" spans="1:261" s="758" customFormat="1" ht="18" customHeight="1" x14ac:dyDescent="0.35">
      <c r="A62" s="773">
        <v>53</v>
      </c>
      <c r="B62" s="766"/>
      <c r="C62" s="420"/>
      <c r="D62" s="992" t="s">
        <v>308</v>
      </c>
      <c r="E62" s="430">
        <f>F62+G62+O65+P62</f>
        <v>3755</v>
      </c>
      <c r="F62" s="762"/>
      <c r="G62" s="431"/>
      <c r="H62" s="999"/>
      <c r="I62" s="1017"/>
      <c r="J62" s="1013"/>
      <c r="K62" s="1013"/>
      <c r="L62" s="1013"/>
      <c r="M62" s="1013">
        <v>3755</v>
      </c>
      <c r="N62" s="1013"/>
      <c r="O62" s="982">
        <f>SUM(I62:N62)</f>
        <v>3755</v>
      </c>
      <c r="P62" s="763"/>
      <c r="Q62" s="418"/>
      <c r="R62" s="418"/>
      <c r="S62" s="418"/>
      <c r="T62" s="418"/>
      <c r="U62" s="418"/>
      <c r="V62" s="418"/>
      <c r="W62" s="418"/>
      <c r="X62" s="418"/>
      <c r="Y62" s="418"/>
      <c r="Z62" s="418"/>
      <c r="AA62" s="418"/>
      <c r="AB62" s="418"/>
      <c r="AC62" s="418"/>
      <c r="AD62" s="418"/>
      <c r="AE62" s="418"/>
      <c r="AF62" s="418"/>
      <c r="AG62" s="418"/>
      <c r="AH62" s="418"/>
      <c r="AI62" s="418"/>
      <c r="AJ62" s="418"/>
      <c r="AK62" s="418"/>
      <c r="AL62" s="418"/>
      <c r="AM62" s="418"/>
      <c r="AN62" s="418"/>
      <c r="AO62" s="418"/>
      <c r="AP62" s="418"/>
      <c r="AQ62" s="418"/>
      <c r="AR62" s="418"/>
      <c r="AS62" s="418"/>
      <c r="AT62" s="418"/>
      <c r="AU62" s="418"/>
      <c r="AV62" s="418"/>
      <c r="AW62" s="418"/>
      <c r="AX62" s="418"/>
      <c r="AY62" s="418"/>
      <c r="AZ62" s="418"/>
      <c r="BA62" s="418"/>
      <c r="BB62" s="418"/>
      <c r="BC62" s="418"/>
      <c r="BD62" s="418"/>
      <c r="BE62" s="418"/>
      <c r="BF62" s="418"/>
      <c r="BG62" s="418"/>
      <c r="BH62" s="418"/>
      <c r="BI62" s="418"/>
      <c r="BJ62" s="418"/>
      <c r="BK62" s="418"/>
      <c r="BL62" s="418"/>
      <c r="BM62" s="418"/>
      <c r="BN62" s="418"/>
      <c r="BO62" s="418"/>
      <c r="BP62" s="418"/>
      <c r="BQ62" s="418"/>
      <c r="BR62" s="418"/>
      <c r="BS62" s="418"/>
      <c r="BT62" s="418"/>
      <c r="BU62" s="418"/>
      <c r="BV62" s="418"/>
      <c r="BW62" s="418"/>
      <c r="BX62" s="418"/>
      <c r="BY62" s="418"/>
      <c r="BZ62" s="418"/>
      <c r="CA62" s="418"/>
      <c r="CB62" s="418"/>
      <c r="CC62" s="418"/>
      <c r="CD62" s="418"/>
      <c r="CE62" s="418"/>
      <c r="CF62" s="418"/>
      <c r="CG62" s="418"/>
      <c r="CH62" s="418"/>
      <c r="CI62" s="418"/>
      <c r="CJ62" s="418"/>
      <c r="CK62" s="418"/>
      <c r="CL62" s="418"/>
      <c r="CM62" s="418"/>
      <c r="CN62" s="418"/>
      <c r="CO62" s="418"/>
      <c r="CP62" s="418"/>
      <c r="CQ62" s="418"/>
      <c r="CR62" s="418"/>
      <c r="CS62" s="418"/>
      <c r="CT62" s="418"/>
      <c r="CU62" s="418"/>
      <c r="CV62" s="418"/>
      <c r="CW62" s="418"/>
      <c r="CX62" s="418"/>
      <c r="CY62" s="418"/>
      <c r="CZ62" s="418"/>
      <c r="DA62" s="418"/>
      <c r="DB62" s="418"/>
      <c r="DC62" s="418"/>
      <c r="DD62" s="418"/>
      <c r="DE62" s="418"/>
      <c r="DF62" s="418"/>
      <c r="DG62" s="418"/>
      <c r="DH62" s="418"/>
      <c r="DI62" s="418"/>
      <c r="DJ62" s="418"/>
      <c r="DK62" s="418"/>
      <c r="DL62" s="418"/>
      <c r="DM62" s="418"/>
      <c r="DN62" s="418"/>
      <c r="DO62" s="418"/>
      <c r="DP62" s="418"/>
      <c r="DQ62" s="418"/>
      <c r="DR62" s="418"/>
      <c r="DS62" s="418"/>
      <c r="DT62" s="418"/>
      <c r="DU62" s="418"/>
      <c r="DV62" s="418"/>
      <c r="DW62" s="418"/>
      <c r="DX62" s="418"/>
      <c r="DY62" s="418"/>
      <c r="DZ62" s="418"/>
      <c r="EA62" s="418"/>
      <c r="EB62" s="418"/>
      <c r="EC62" s="418"/>
      <c r="ED62" s="418"/>
      <c r="EE62" s="418"/>
      <c r="EF62" s="418"/>
      <c r="EG62" s="418"/>
      <c r="EH62" s="418"/>
      <c r="EI62" s="418"/>
      <c r="EJ62" s="418"/>
      <c r="EK62" s="418"/>
      <c r="EL62" s="418"/>
      <c r="EM62" s="418"/>
      <c r="EN62" s="418"/>
      <c r="EO62" s="418"/>
      <c r="EP62" s="418"/>
      <c r="EQ62" s="418"/>
      <c r="ER62" s="418"/>
      <c r="ES62" s="418"/>
      <c r="ET62" s="418"/>
      <c r="EU62" s="418"/>
      <c r="EV62" s="418"/>
      <c r="EW62" s="418"/>
      <c r="EX62" s="418"/>
      <c r="EY62" s="418"/>
      <c r="EZ62" s="418"/>
      <c r="FA62" s="418"/>
      <c r="FB62" s="418"/>
      <c r="FC62" s="418"/>
      <c r="FD62" s="418"/>
      <c r="FE62" s="418"/>
      <c r="FF62" s="418"/>
      <c r="FG62" s="418"/>
      <c r="FH62" s="418"/>
      <c r="FI62" s="418"/>
      <c r="FJ62" s="418"/>
      <c r="FK62" s="418"/>
      <c r="FL62" s="418"/>
      <c r="FM62" s="418"/>
      <c r="FN62" s="418"/>
      <c r="FO62" s="418"/>
      <c r="FP62" s="418"/>
      <c r="FQ62" s="418"/>
      <c r="FR62" s="418"/>
      <c r="FS62" s="418"/>
      <c r="FT62" s="418"/>
      <c r="FU62" s="418"/>
      <c r="FV62" s="418"/>
      <c r="FW62" s="418"/>
      <c r="FX62" s="418"/>
      <c r="FY62" s="418"/>
      <c r="FZ62" s="418"/>
      <c r="GA62" s="418"/>
      <c r="GB62" s="418"/>
      <c r="GC62" s="418"/>
      <c r="GD62" s="418"/>
      <c r="GE62" s="418"/>
      <c r="GF62" s="418"/>
      <c r="GG62" s="418"/>
      <c r="GH62" s="418"/>
      <c r="GI62" s="418"/>
      <c r="GJ62" s="418"/>
      <c r="GK62" s="418"/>
      <c r="GL62" s="418"/>
      <c r="GM62" s="418"/>
      <c r="GN62" s="418"/>
      <c r="GO62" s="418"/>
      <c r="GP62" s="418"/>
      <c r="GQ62" s="418"/>
      <c r="GR62" s="418"/>
      <c r="GS62" s="418"/>
      <c r="GT62" s="418"/>
      <c r="GU62" s="418"/>
      <c r="GV62" s="418"/>
      <c r="GW62" s="418"/>
      <c r="GX62" s="418"/>
      <c r="GY62" s="418"/>
      <c r="GZ62" s="418"/>
      <c r="HA62" s="418"/>
      <c r="HB62" s="418"/>
      <c r="HC62" s="418"/>
      <c r="HD62" s="418"/>
      <c r="HE62" s="418"/>
      <c r="HF62" s="418"/>
      <c r="HG62" s="418"/>
      <c r="HH62" s="418"/>
      <c r="HI62" s="418"/>
      <c r="HJ62" s="418"/>
      <c r="HK62" s="418"/>
      <c r="HL62" s="418"/>
      <c r="HM62" s="418"/>
      <c r="HN62" s="418"/>
      <c r="HO62" s="418"/>
      <c r="HP62" s="418"/>
      <c r="HQ62" s="418"/>
      <c r="HR62" s="418"/>
      <c r="HS62" s="418"/>
      <c r="HT62" s="418"/>
      <c r="HU62" s="418"/>
      <c r="HV62" s="418"/>
      <c r="HW62" s="418"/>
      <c r="HX62" s="418"/>
      <c r="HY62" s="418"/>
      <c r="HZ62" s="418"/>
      <c r="IA62" s="418"/>
      <c r="IB62" s="418"/>
      <c r="IC62" s="418"/>
      <c r="ID62" s="418"/>
      <c r="IE62" s="418"/>
      <c r="IF62" s="418"/>
      <c r="IG62" s="418"/>
      <c r="IH62" s="418"/>
      <c r="II62" s="418"/>
      <c r="IJ62" s="418"/>
      <c r="IK62" s="418"/>
      <c r="IL62" s="418"/>
      <c r="IM62" s="418"/>
      <c r="IN62" s="418"/>
      <c r="IO62" s="418"/>
      <c r="IP62" s="418"/>
      <c r="IQ62" s="418"/>
      <c r="IR62" s="418"/>
      <c r="IS62" s="418"/>
      <c r="IT62" s="418"/>
      <c r="IU62" s="418"/>
      <c r="IV62" s="418"/>
      <c r="IW62" s="418"/>
      <c r="IX62" s="418"/>
      <c r="IY62" s="418"/>
      <c r="IZ62" s="418"/>
      <c r="JA62" s="418"/>
    </row>
    <row r="63" spans="1:261" s="758" customFormat="1" ht="18" customHeight="1" x14ac:dyDescent="0.35">
      <c r="A63" s="773">
        <v>54</v>
      </c>
      <c r="B63" s="766"/>
      <c r="C63" s="420"/>
      <c r="D63" s="576" t="s">
        <v>1158</v>
      </c>
      <c r="E63" s="430"/>
      <c r="F63" s="762"/>
      <c r="G63" s="431"/>
      <c r="H63" s="999"/>
      <c r="I63" s="1017"/>
      <c r="J63" s="1013"/>
      <c r="K63" s="1013"/>
      <c r="L63" s="1013"/>
      <c r="M63" s="1524">
        <v>3755</v>
      </c>
      <c r="N63" s="759"/>
      <c r="O63" s="767">
        <f>SUM(I63:N63)</f>
        <v>3755</v>
      </c>
      <c r="P63" s="763"/>
      <c r="Q63" s="418"/>
      <c r="R63" s="418"/>
      <c r="S63" s="418"/>
      <c r="T63" s="418"/>
      <c r="U63" s="418"/>
      <c r="V63" s="418"/>
      <c r="W63" s="418"/>
      <c r="X63" s="418"/>
      <c r="Y63" s="418"/>
      <c r="Z63" s="418"/>
      <c r="AA63" s="418"/>
      <c r="AB63" s="418"/>
      <c r="AC63" s="418"/>
      <c r="AD63" s="418"/>
      <c r="AE63" s="418"/>
      <c r="AF63" s="418"/>
      <c r="AG63" s="418"/>
      <c r="AH63" s="418"/>
      <c r="AI63" s="418"/>
      <c r="AJ63" s="418"/>
      <c r="AK63" s="418"/>
      <c r="AL63" s="418"/>
      <c r="AM63" s="418"/>
      <c r="AN63" s="418"/>
      <c r="AO63" s="418"/>
      <c r="AP63" s="418"/>
      <c r="AQ63" s="418"/>
      <c r="AR63" s="418"/>
      <c r="AS63" s="418"/>
      <c r="AT63" s="418"/>
      <c r="AU63" s="418"/>
      <c r="AV63" s="418"/>
      <c r="AW63" s="418"/>
      <c r="AX63" s="418"/>
      <c r="AY63" s="418"/>
      <c r="AZ63" s="418"/>
      <c r="BA63" s="418"/>
      <c r="BB63" s="418"/>
      <c r="BC63" s="418"/>
      <c r="BD63" s="418"/>
      <c r="BE63" s="418"/>
      <c r="BF63" s="418"/>
      <c r="BG63" s="418"/>
      <c r="BH63" s="418"/>
      <c r="BI63" s="418"/>
      <c r="BJ63" s="418"/>
      <c r="BK63" s="418"/>
      <c r="BL63" s="418"/>
      <c r="BM63" s="418"/>
      <c r="BN63" s="418"/>
      <c r="BO63" s="418"/>
      <c r="BP63" s="418"/>
      <c r="BQ63" s="418"/>
      <c r="BR63" s="418"/>
      <c r="BS63" s="418"/>
      <c r="BT63" s="418"/>
      <c r="BU63" s="418"/>
      <c r="BV63" s="418"/>
      <c r="BW63" s="418"/>
      <c r="BX63" s="418"/>
      <c r="BY63" s="418"/>
      <c r="BZ63" s="418"/>
      <c r="CA63" s="418"/>
      <c r="CB63" s="418"/>
      <c r="CC63" s="418"/>
      <c r="CD63" s="418"/>
      <c r="CE63" s="418"/>
      <c r="CF63" s="418"/>
      <c r="CG63" s="418"/>
      <c r="CH63" s="418"/>
      <c r="CI63" s="418"/>
      <c r="CJ63" s="418"/>
      <c r="CK63" s="418"/>
      <c r="CL63" s="418"/>
      <c r="CM63" s="418"/>
      <c r="CN63" s="418"/>
      <c r="CO63" s="418"/>
      <c r="CP63" s="418"/>
      <c r="CQ63" s="418"/>
      <c r="CR63" s="418"/>
      <c r="CS63" s="418"/>
      <c r="CT63" s="418"/>
      <c r="CU63" s="418"/>
      <c r="CV63" s="418"/>
      <c r="CW63" s="418"/>
      <c r="CX63" s="418"/>
      <c r="CY63" s="418"/>
      <c r="CZ63" s="418"/>
      <c r="DA63" s="418"/>
      <c r="DB63" s="418"/>
      <c r="DC63" s="418"/>
      <c r="DD63" s="418"/>
      <c r="DE63" s="418"/>
      <c r="DF63" s="418"/>
      <c r="DG63" s="418"/>
      <c r="DH63" s="418"/>
      <c r="DI63" s="418"/>
      <c r="DJ63" s="418"/>
      <c r="DK63" s="418"/>
      <c r="DL63" s="418"/>
      <c r="DM63" s="418"/>
      <c r="DN63" s="418"/>
      <c r="DO63" s="418"/>
      <c r="DP63" s="418"/>
      <c r="DQ63" s="418"/>
      <c r="DR63" s="418"/>
      <c r="DS63" s="418"/>
      <c r="DT63" s="418"/>
      <c r="DU63" s="418"/>
      <c r="DV63" s="418"/>
      <c r="DW63" s="418"/>
      <c r="DX63" s="418"/>
      <c r="DY63" s="418"/>
      <c r="DZ63" s="418"/>
      <c r="EA63" s="418"/>
      <c r="EB63" s="418"/>
      <c r="EC63" s="418"/>
      <c r="ED63" s="418"/>
      <c r="EE63" s="418"/>
      <c r="EF63" s="418"/>
      <c r="EG63" s="418"/>
      <c r="EH63" s="418"/>
      <c r="EI63" s="418"/>
      <c r="EJ63" s="418"/>
      <c r="EK63" s="418"/>
      <c r="EL63" s="418"/>
      <c r="EM63" s="418"/>
      <c r="EN63" s="418"/>
      <c r="EO63" s="418"/>
      <c r="EP63" s="418"/>
      <c r="EQ63" s="418"/>
      <c r="ER63" s="418"/>
      <c r="ES63" s="418"/>
      <c r="ET63" s="418"/>
      <c r="EU63" s="418"/>
      <c r="EV63" s="418"/>
      <c r="EW63" s="418"/>
      <c r="EX63" s="418"/>
      <c r="EY63" s="418"/>
      <c r="EZ63" s="418"/>
      <c r="FA63" s="418"/>
      <c r="FB63" s="418"/>
      <c r="FC63" s="418"/>
      <c r="FD63" s="418"/>
      <c r="FE63" s="418"/>
      <c r="FF63" s="418"/>
      <c r="FG63" s="418"/>
      <c r="FH63" s="418"/>
      <c r="FI63" s="418"/>
      <c r="FJ63" s="418"/>
      <c r="FK63" s="418"/>
      <c r="FL63" s="418"/>
      <c r="FM63" s="418"/>
      <c r="FN63" s="418"/>
      <c r="FO63" s="418"/>
      <c r="FP63" s="418"/>
      <c r="FQ63" s="418"/>
      <c r="FR63" s="418"/>
      <c r="FS63" s="418"/>
      <c r="FT63" s="418"/>
      <c r="FU63" s="418"/>
      <c r="FV63" s="418"/>
      <c r="FW63" s="418"/>
      <c r="FX63" s="418"/>
      <c r="FY63" s="418"/>
      <c r="FZ63" s="418"/>
      <c r="GA63" s="418"/>
      <c r="GB63" s="418"/>
      <c r="GC63" s="418"/>
      <c r="GD63" s="418"/>
      <c r="GE63" s="418"/>
      <c r="GF63" s="418"/>
      <c r="GG63" s="418"/>
      <c r="GH63" s="418"/>
      <c r="GI63" s="418"/>
      <c r="GJ63" s="418"/>
      <c r="GK63" s="418"/>
      <c r="GL63" s="418"/>
      <c r="GM63" s="418"/>
      <c r="GN63" s="418"/>
      <c r="GO63" s="418"/>
      <c r="GP63" s="418"/>
      <c r="GQ63" s="418"/>
      <c r="GR63" s="418"/>
      <c r="GS63" s="418"/>
      <c r="GT63" s="418"/>
      <c r="GU63" s="418"/>
      <c r="GV63" s="418"/>
      <c r="GW63" s="418"/>
      <c r="GX63" s="418"/>
      <c r="GY63" s="418"/>
      <c r="GZ63" s="418"/>
      <c r="HA63" s="418"/>
      <c r="HB63" s="418"/>
      <c r="HC63" s="418"/>
      <c r="HD63" s="418"/>
      <c r="HE63" s="418"/>
      <c r="HF63" s="418"/>
      <c r="HG63" s="418"/>
      <c r="HH63" s="418"/>
      <c r="HI63" s="418"/>
      <c r="HJ63" s="418"/>
      <c r="HK63" s="418"/>
      <c r="HL63" s="418"/>
      <c r="HM63" s="418"/>
      <c r="HN63" s="418"/>
      <c r="HO63" s="418"/>
      <c r="HP63" s="418"/>
      <c r="HQ63" s="418"/>
      <c r="HR63" s="418"/>
      <c r="HS63" s="418"/>
      <c r="HT63" s="418"/>
      <c r="HU63" s="418"/>
      <c r="HV63" s="418"/>
      <c r="HW63" s="418"/>
      <c r="HX63" s="418"/>
      <c r="HY63" s="418"/>
      <c r="HZ63" s="418"/>
      <c r="IA63" s="418"/>
      <c r="IB63" s="418"/>
      <c r="IC63" s="418"/>
      <c r="ID63" s="418"/>
      <c r="IE63" s="418"/>
      <c r="IF63" s="418"/>
      <c r="IG63" s="418"/>
      <c r="IH63" s="418"/>
      <c r="II63" s="418"/>
      <c r="IJ63" s="418"/>
      <c r="IK63" s="418"/>
      <c r="IL63" s="418"/>
      <c r="IM63" s="418"/>
      <c r="IN63" s="418"/>
      <c r="IO63" s="418"/>
      <c r="IP63" s="418"/>
      <c r="IQ63" s="418"/>
      <c r="IR63" s="418"/>
      <c r="IS63" s="418"/>
      <c r="IT63" s="418"/>
      <c r="IU63" s="418"/>
      <c r="IV63" s="418"/>
      <c r="IW63" s="418"/>
      <c r="IX63" s="418"/>
      <c r="IY63" s="418"/>
      <c r="IZ63" s="418"/>
      <c r="JA63" s="418"/>
    </row>
    <row r="64" spans="1:261" s="758" customFormat="1" ht="18" customHeight="1" x14ac:dyDescent="0.35">
      <c r="A64" s="773">
        <v>55</v>
      </c>
      <c r="B64" s="766"/>
      <c r="C64" s="420"/>
      <c r="D64" s="1318" t="s">
        <v>947</v>
      </c>
      <c r="E64" s="430"/>
      <c r="F64" s="762"/>
      <c r="G64" s="431"/>
      <c r="H64" s="999"/>
      <c r="I64" s="995"/>
      <c r="J64" s="759"/>
      <c r="K64" s="759"/>
      <c r="L64" s="759"/>
      <c r="M64" s="759"/>
      <c r="N64" s="759"/>
      <c r="O64" s="767">
        <f>SUM(I64:N64)</f>
        <v>0</v>
      </c>
      <c r="P64" s="763"/>
      <c r="Q64" s="418"/>
      <c r="R64" s="418"/>
      <c r="S64" s="418"/>
      <c r="T64" s="418"/>
      <c r="U64" s="418"/>
      <c r="V64" s="418"/>
      <c r="W64" s="418"/>
      <c r="X64" s="418"/>
      <c r="Y64" s="418"/>
      <c r="Z64" s="418"/>
      <c r="AA64" s="418"/>
      <c r="AB64" s="418"/>
      <c r="AC64" s="418"/>
      <c r="AD64" s="418"/>
      <c r="AE64" s="418"/>
      <c r="AF64" s="418"/>
      <c r="AG64" s="418"/>
      <c r="AH64" s="418"/>
      <c r="AI64" s="418"/>
      <c r="AJ64" s="418"/>
      <c r="AK64" s="418"/>
      <c r="AL64" s="418"/>
      <c r="AM64" s="418"/>
      <c r="AN64" s="418"/>
      <c r="AO64" s="418"/>
      <c r="AP64" s="418"/>
      <c r="AQ64" s="418"/>
      <c r="AR64" s="418"/>
      <c r="AS64" s="418"/>
      <c r="AT64" s="418"/>
      <c r="AU64" s="418"/>
      <c r="AV64" s="418"/>
      <c r="AW64" s="418"/>
      <c r="AX64" s="418"/>
      <c r="AY64" s="418"/>
      <c r="AZ64" s="418"/>
      <c r="BA64" s="418"/>
      <c r="BB64" s="418"/>
      <c r="BC64" s="418"/>
      <c r="BD64" s="418"/>
      <c r="BE64" s="418"/>
      <c r="BF64" s="418"/>
      <c r="BG64" s="418"/>
      <c r="BH64" s="418"/>
      <c r="BI64" s="418"/>
      <c r="BJ64" s="418"/>
      <c r="BK64" s="418"/>
      <c r="BL64" s="418"/>
      <c r="BM64" s="418"/>
      <c r="BN64" s="418"/>
      <c r="BO64" s="418"/>
      <c r="BP64" s="418"/>
      <c r="BQ64" s="418"/>
      <c r="BR64" s="418"/>
      <c r="BS64" s="418"/>
      <c r="BT64" s="418"/>
      <c r="BU64" s="418"/>
      <c r="BV64" s="418"/>
      <c r="BW64" s="418"/>
      <c r="BX64" s="418"/>
      <c r="BY64" s="418"/>
      <c r="BZ64" s="418"/>
      <c r="CA64" s="418"/>
      <c r="CB64" s="418"/>
      <c r="CC64" s="418"/>
      <c r="CD64" s="418"/>
      <c r="CE64" s="418"/>
      <c r="CF64" s="418"/>
      <c r="CG64" s="418"/>
      <c r="CH64" s="418"/>
      <c r="CI64" s="418"/>
      <c r="CJ64" s="418"/>
      <c r="CK64" s="418"/>
      <c r="CL64" s="418"/>
      <c r="CM64" s="418"/>
      <c r="CN64" s="418"/>
      <c r="CO64" s="418"/>
      <c r="CP64" s="418"/>
      <c r="CQ64" s="418"/>
      <c r="CR64" s="418"/>
      <c r="CS64" s="418"/>
      <c r="CT64" s="418"/>
      <c r="CU64" s="418"/>
      <c r="CV64" s="418"/>
      <c r="CW64" s="418"/>
      <c r="CX64" s="418"/>
      <c r="CY64" s="418"/>
      <c r="CZ64" s="418"/>
      <c r="DA64" s="418"/>
      <c r="DB64" s="418"/>
      <c r="DC64" s="418"/>
      <c r="DD64" s="418"/>
      <c r="DE64" s="418"/>
      <c r="DF64" s="418"/>
      <c r="DG64" s="418"/>
      <c r="DH64" s="418"/>
      <c r="DI64" s="418"/>
      <c r="DJ64" s="418"/>
      <c r="DK64" s="418"/>
      <c r="DL64" s="418"/>
      <c r="DM64" s="418"/>
      <c r="DN64" s="418"/>
      <c r="DO64" s="418"/>
      <c r="DP64" s="418"/>
      <c r="DQ64" s="418"/>
      <c r="DR64" s="418"/>
      <c r="DS64" s="418"/>
      <c r="DT64" s="418"/>
      <c r="DU64" s="418"/>
      <c r="DV64" s="418"/>
      <c r="DW64" s="418"/>
      <c r="DX64" s="418"/>
      <c r="DY64" s="418"/>
      <c r="DZ64" s="418"/>
      <c r="EA64" s="418"/>
      <c r="EB64" s="418"/>
      <c r="EC64" s="418"/>
      <c r="ED64" s="418"/>
      <c r="EE64" s="418"/>
      <c r="EF64" s="418"/>
      <c r="EG64" s="418"/>
      <c r="EH64" s="418"/>
      <c r="EI64" s="418"/>
      <c r="EJ64" s="418"/>
      <c r="EK64" s="418"/>
      <c r="EL64" s="418"/>
      <c r="EM64" s="418"/>
      <c r="EN64" s="418"/>
      <c r="EO64" s="418"/>
      <c r="EP64" s="418"/>
      <c r="EQ64" s="418"/>
      <c r="ER64" s="418"/>
      <c r="ES64" s="418"/>
      <c r="ET64" s="418"/>
      <c r="EU64" s="418"/>
      <c r="EV64" s="418"/>
      <c r="EW64" s="418"/>
      <c r="EX64" s="418"/>
      <c r="EY64" s="418"/>
      <c r="EZ64" s="418"/>
      <c r="FA64" s="418"/>
      <c r="FB64" s="418"/>
      <c r="FC64" s="418"/>
      <c r="FD64" s="418"/>
      <c r="FE64" s="418"/>
      <c r="FF64" s="418"/>
      <c r="FG64" s="418"/>
      <c r="FH64" s="418"/>
      <c r="FI64" s="418"/>
      <c r="FJ64" s="418"/>
      <c r="FK64" s="418"/>
      <c r="FL64" s="418"/>
      <c r="FM64" s="418"/>
      <c r="FN64" s="418"/>
      <c r="FO64" s="418"/>
      <c r="FP64" s="418"/>
      <c r="FQ64" s="418"/>
      <c r="FR64" s="418"/>
      <c r="FS64" s="418"/>
      <c r="FT64" s="418"/>
      <c r="FU64" s="418"/>
      <c r="FV64" s="418"/>
      <c r="FW64" s="418"/>
      <c r="FX64" s="418"/>
      <c r="FY64" s="418"/>
      <c r="FZ64" s="418"/>
      <c r="GA64" s="418"/>
      <c r="GB64" s="418"/>
      <c r="GC64" s="418"/>
      <c r="GD64" s="418"/>
      <c r="GE64" s="418"/>
      <c r="GF64" s="418"/>
      <c r="GG64" s="418"/>
      <c r="GH64" s="418"/>
      <c r="GI64" s="418"/>
      <c r="GJ64" s="418"/>
      <c r="GK64" s="418"/>
      <c r="GL64" s="418"/>
      <c r="GM64" s="418"/>
      <c r="GN64" s="418"/>
      <c r="GO64" s="418"/>
      <c r="GP64" s="418"/>
      <c r="GQ64" s="418"/>
      <c r="GR64" s="418"/>
      <c r="GS64" s="418"/>
      <c r="GT64" s="418"/>
      <c r="GU64" s="418"/>
      <c r="GV64" s="418"/>
      <c r="GW64" s="418"/>
      <c r="GX64" s="418"/>
      <c r="GY64" s="418"/>
      <c r="GZ64" s="418"/>
      <c r="HA64" s="418"/>
      <c r="HB64" s="418"/>
      <c r="HC64" s="418"/>
      <c r="HD64" s="418"/>
      <c r="HE64" s="418"/>
      <c r="HF64" s="418"/>
      <c r="HG64" s="418"/>
      <c r="HH64" s="418"/>
      <c r="HI64" s="418"/>
      <c r="HJ64" s="418"/>
      <c r="HK64" s="418"/>
      <c r="HL64" s="418"/>
      <c r="HM64" s="418"/>
      <c r="HN64" s="418"/>
      <c r="HO64" s="418"/>
      <c r="HP64" s="418"/>
      <c r="HQ64" s="418"/>
      <c r="HR64" s="418"/>
      <c r="HS64" s="418"/>
      <c r="HT64" s="418"/>
      <c r="HU64" s="418"/>
      <c r="HV64" s="418"/>
      <c r="HW64" s="418"/>
      <c r="HX64" s="418"/>
      <c r="HY64" s="418"/>
      <c r="HZ64" s="418"/>
      <c r="IA64" s="418"/>
      <c r="IB64" s="418"/>
      <c r="IC64" s="418"/>
      <c r="ID64" s="418"/>
      <c r="IE64" s="418"/>
      <c r="IF64" s="418"/>
      <c r="IG64" s="418"/>
      <c r="IH64" s="418"/>
      <c r="II64" s="418"/>
      <c r="IJ64" s="418"/>
      <c r="IK64" s="418"/>
      <c r="IL64" s="418"/>
      <c r="IM64" s="418"/>
      <c r="IN64" s="418"/>
      <c r="IO64" s="418"/>
      <c r="IP64" s="418"/>
      <c r="IQ64" s="418"/>
      <c r="IR64" s="418"/>
      <c r="IS64" s="418"/>
      <c r="IT64" s="418"/>
      <c r="IU64" s="418"/>
      <c r="IV64" s="418"/>
      <c r="IW64" s="418"/>
      <c r="IX64" s="418"/>
      <c r="IY64" s="418"/>
      <c r="IZ64" s="418"/>
      <c r="JA64" s="418"/>
    </row>
    <row r="65" spans="1:261" s="758" customFormat="1" ht="18" customHeight="1" x14ac:dyDescent="0.35">
      <c r="A65" s="773">
        <v>56</v>
      </c>
      <c r="B65" s="766"/>
      <c r="C65" s="420"/>
      <c r="D65" s="576" t="s">
        <v>1250</v>
      </c>
      <c r="E65" s="430"/>
      <c r="F65" s="762"/>
      <c r="G65" s="431"/>
      <c r="H65" s="999"/>
      <c r="I65" s="995"/>
      <c r="J65" s="759"/>
      <c r="K65" s="759"/>
      <c r="L65" s="759"/>
      <c r="M65" s="1524">
        <f>SUM(M63:M64)</f>
        <v>3755</v>
      </c>
      <c r="N65" s="759"/>
      <c r="O65" s="767">
        <f>SUM(I65:N65)</f>
        <v>3755</v>
      </c>
      <c r="P65" s="763"/>
      <c r="Q65" s="418"/>
      <c r="R65" s="418"/>
      <c r="S65" s="418"/>
      <c r="T65" s="418"/>
      <c r="U65" s="418"/>
      <c r="V65" s="418"/>
      <c r="W65" s="418"/>
      <c r="X65" s="418"/>
      <c r="Y65" s="418"/>
      <c r="Z65" s="418"/>
      <c r="AA65" s="418"/>
      <c r="AB65" s="418"/>
      <c r="AC65" s="418"/>
      <c r="AD65" s="418"/>
      <c r="AE65" s="418"/>
      <c r="AF65" s="418"/>
      <c r="AG65" s="418"/>
      <c r="AH65" s="418"/>
      <c r="AI65" s="418"/>
      <c r="AJ65" s="418"/>
      <c r="AK65" s="418"/>
      <c r="AL65" s="418"/>
      <c r="AM65" s="418"/>
      <c r="AN65" s="418"/>
      <c r="AO65" s="418"/>
      <c r="AP65" s="418"/>
      <c r="AQ65" s="418"/>
      <c r="AR65" s="418"/>
      <c r="AS65" s="418"/>
      <c r="AT65" s="418"/>
      <c r="AU65" s="418"/>
      <c r="AV65" s="418"/>
      <c r="AW65" s="418"/>
      <c r="AX65" s="418"/>
      <c r="AY65" s="418"/>
      <c r="AZ65" s="418"/>
      <c r="BA65" s="418"/>
      <c r="BB65" s="418"/>
      <c r="BC65" s="418"/>
      <c r="BD65" s="418"/>
      <c r="BE65" s="418"/>
      <c r="BF65" s="418"/>
      <c r="BG65" s="418"/>
      <c r="BH65" s="418"/>
      <c r="BI65" s="418"/>
      <c r="BJ65" s="418"/>
      <c r="BK65" s="418"/>
      <c r="BL65" s="418"/>
      <c r="BM65" s="418"/>
      <c r="BN65" s="418"/>
      <c r="BO65" s="418"/>
      <c r="BP65" s="418"/>
      <c r="BQ65" s="418"/>
      <c r="BR65" s="418"/>
      <c r="BS65" s="418"/>
      <c r="BT65" s="418"/>
      <c r="BU65" s="418"/>
      <c r="BV65" s="418"/>
      <c r="BW65" s="418"/>
      <c r="BX65" s="418"/>
      <c r="BY65" s="418"/>
      <c r="BZ65" s="418"/>
      <c r="CA65" s="418"/>
      <c r="CB65" s="418"/>
      <c r="CC65" s="418"/>
      <c r="CD65" s="418"/>
      <c r="CE65" s="418"/>
      <c r="CF65" s="418"/>
      <c r="CG65" s="418"/>
      <c r="CH65" s="418"/>
      <c r="CI65" s="418"/>
      <c r="CJ65" s="418"/>
      <c r="CK65" s="418"/>
      <c r="CL65" s="418"/>
      <c r="CM65" s="418"/>
      <c r="CN65" s="418"/>
      <c r="CO65" s="418"/>
      <c r="CP65" s="418"/>
      <c r="CQ65" s="418"/>
      <c r="CR65" s="418"/>
      <c r="CS65" s="418"/>
      <c r="CT65" s="418"/>
      <c r="CU65" s="418"/>
      <c r="CV65" s="418"/>
      <c r="CW65" s="418"/>
      <c r="CX65" s="418"/>
      <c r="CY65" s="418"/>
      <c r="CZ65" s="418"/>
      <c r="DA65" s="418"/>
      <c r="DB65" s="418"/>
      <c r="DC65" s="418"/>
      <c r="DD65" s="418"/>
      <c r="DE65" s="418"/>
      <c r="DF65" s="418"/>
      <c r="DG65" s="418"/>
      <c r="DH65" s="418"/>
      <c r="DI65" s="418"/>
      <c r="DJ65" s="418"/>
      <c r="DK65" s="418"/>
      <c r="DL65" s="418"/>
      <c r="DM65" s="418"/>
      <c r="DN65" s="418"/>
      <c r="DO65" s="418"/>
      <c r="DP65" s="418"/>
      <c r="DQ65" s="418"/>
      <c r="DR65" s="418"/>
      <c r="DS65" s="418"/>
      <c r="DT65" s="418"/>
      <c r="DU65" s="418"/>
      <c r="DV65" s="418"/>
      <c r="DW65" s="418"/>
      <c r="DX65" s="418"/>
      <c r="DY65" s="418"/>
      <c r="DZ65" s="418"/>
      <c r="EA65" s="418"/>
      <c r="EB65" s="418"/>
      <c r="EC65" s="418"/>
      <c r="ED65" s="418"/>
      <c r="EE65" s="418"/>
      <c r="EF65" s="418"/>
      <c r="EG65" s="418"/>
      <c r="EH65" s="418"/>
      <c r="EI65" s="418"/>
      <c r="EJ65" s="418"/>
      <c r="EK65" s="418"/>
      <c r="EL65" s="418"/>
      <c r="EM65" s="418"/>
      <c r="EN65" s="418"/>
      <c r="EO65" s="418"/>
      <c r="EP65" s="418"/>
      <c r="EQ65" s="418"/>
      <c r="ER65" s="418"/>
      <c r="ES65" s="418"/>
      <c r="ET65" s="418"/>
      <c r="EU65" s="418"/>
      <c r="EV65" s="418"/>
      <c r="EW65" s="418"/>
      <c r="EX65" s="418"/>
      <c r="EY65" s="418"/>
      <c r="EZ65" s="418"/>
      <c r="FA65" s="418"/>
      <c r="FB65" s="418"/>
      <c r="FC65" s="418"/>
      <c r="FD65" s="418"/>
      <c r="FE65" s="418"/>
      <c r="FF65" s="418"/>
      <c r="FG65" s="418"/>
      <c r="FH65" s="418"/>
      <c r="FI65" s="418"/>
      <c r="FJ65" s="418"/>
      <c r="FK65" s="418"/>
      <c r="FL65" s="418"/>
      <c r="FM65" s="418"/>
      <c r="FN65" s="418"/>
      <c r="FO65" s="418"/>
      <c r="FP65" s="418"/>
      <c r="FQ65" s="418"/>
      <c r="FR65" s="418"/>
      <c r="FS65" s="418"/>
      <c r="FT65" s="418"/>
      <c r="FU65" s="418"/>
      <c r="FV65" s="418"/>
      <c r="FW65" s="418"/>
      <c r="FX65" s="418"/>
      <c r="FY65" s="418"/>
      <c r="FZ65" s="418"/>
      <c r="GA65" s="418"/>
      <c r="GB65" s="418"/>
      <c r="GC65" s="418"/>
      <c r="GD65" s="418"/>
      <c r="GE65" s="418"/>
      <c r="GF65" s="418"/>
      <c r="GG65" s="418"/>
      <c r="GH65" s="418"/>
      <c r="GI65" s="418"/>
      <c r="GJ65" s="418"/>
      <c r="GK65" s="418"/>
      <c r="GL65" s="418"/>
      <c r="GM65" s="418"/>
      <c r="GN65" s="418"/>
      <c r="GO65" s="418"/>
      <c r="GP65" s="418"/>
      <c r="GQ65" s="418"/>
      <c r="GR65" s="418"/>
      <c r="GS65" s="418"/>
      <c r="GT65" s="418"/>
      <c r="GU65" s="418"/>
      <c r="GV65" s="418"/>
      <c r="GW65" s="418"/>
      <c r="GX65" s="418"/>
      <c r="GY65" s="418"/>
      <c r="GZ65" s="418"/>
      <c r="HA65" s="418"/>
      <c r="HB65" s="418"/>
      <c r="HC65" s="418"/>
      <c r="HD65" s="418"/>
      <c r="HE65" s="418"/>
      <c r="HF65" s="418"/>
      <c r="HG65" s="418"/>
      <c r="HH65" s="418"/>
      <c r="HI65" s="418"/>
      <c r="HJ65" s="418"/>
      <c r="HK65" s="418"/>
      <c r="HL65" s="418"/>
      <c r="HM65" s="418"/>
      <c r="HN65" s="418"/>
      <c r="HO65" s="418"/>
      <c r="HP65" s="418"/>
      <c r="HQ65" s="418"/>
      <c r="HR65" s="418"/>
      <c r="HS65" s="418"/>
      <c r="HT65" s="418"/>
      <c r="HU65" s="418"/>
      <c r="HV65" s="418"/>
      <c r="HW65" s="418"/>
      <c r="HX65" s="418"/>
      <c r="HY65" s="418"/>
      <c r="HZ65" s="418"/>
      <c r="IA65" s="418"/>
      <c r="IB65" s="418"/>
      <c r="IC65" s="418"/>
      <c r="ID65" s="418"/>
      <c r="IE65" s="418"/>
      <c r="IF65" s="418"/>
      <c r="IG65" s="418"/>
      <c r="IH65" s="418"/>
      <c r="II65" s="418"/>
      <c r="IJ65" s="418"/>
      <c r="IK65" s="418"/>
      <c r="IL65" s="418"/>
      <c r="IM65" s="418"/>
      <c r="IN65" s="418"/>
      <c r="IO65" s="418"/>
      <c r="IP65" s="418"/>
      <c r="IQ65" s="418"/>
      <c r="IR65" s="418"/>
      <c r="IS65" s="418"/>
      <c r="IT65" s="418"/>
      <c r="IU65" s="418"/>
      <c r="IV65" s="418"/>
      <c r="IW65" s="418"/>
      <c r="IX65" s="418"/>
      <c r="IY65" s="418"/>
      <c r="IZ65" s="418"/>
      <c r="JA65" s="418"/>
    </row>
    <row r="66" spans="1:261" s="758" customFormat="1" ht="22.5" customHeight="1" x14ac:dyDescent="0.35">
      <c r="A66" s="773">
        <v>57</v>
      </c>
      <c r="B66" s="766"/>
      <c r="C66" s="464">
        <v>12</v>
      </c>
      <c r="D66" s="770" t="s">
        <v>770</v>
      </c>
      <c r="E66" s="430"/>
      <c r="F66" s="762"/>
      <c r="G66" s="431"/>
      <c r="H66" s="999" t="s">
        <v>24</v>
      </c>
      <c r="I66" s="1017"/>
      <c r="J66" s="1013"/>
      <c r="K66" s="1013"/>
      <c r="L66" s="1013"/>
      <c r="M66" s="1013"/>
      <c r="N66" s="1013"/>
      <c r="O66" s="982"/>
      <c r="P66" s="763"/>
      <c r="Q66" s="418"/>
      <c r="R66" s="418"/>
      <c r="S66" s="418"/>
      <c r="T66" s="418"/>
      <c r="U66" s="418"/>
      <c r="V66" s="418"/>
      <c r="W66" s="418"/>
      <c r="X66" s="418"/>
      <c r="Y66" s="418"/>
      <c r="Z66" s="418"/>
      <c r="AA66" s="418"/>
      <c r="AB66" s="418"/>
      <c r="AC66" s="418"/>
      <c r="AD66" s="418"/>
      <c r="AE66" s="418"/>
      <c r="AF66" s="418"/>
      <c r="AG66" s="418"/>
      <c r="AH66" s="418"/>
      <c r="AI66" s="418"/>
      <c r="AJ66" s="418"/>
      <c r="AK66" s="418"/>
      <c r="AL66" s="418"/>
      <c r="AM66" s="418"/>
      <c r="AN66" s="418"/>
      <c r="AO66" s="418"/>
      <c r="AP66" s="418"/>
      <c r="AQ66" s="418"/>
      <c r="AR66" s="418"/>
      <c r="AS66" s="418"/>
      <c r="AT66" s="418"/>
      <c r="AU66" s="418"/>
      <c r="AV66" s="418"/>
      <c r="AW66" s="418"/>
      <c r="AX66" s="418"/>
      <c r="AY66" s="418"/>
      <c r="AZ66" s="418"/>
      <c r="BA66" s="418"/>
      <c r="BB66" s="418"/>
      <c r="BC66" s="418"/>
      <c r="BD66" s="418"/>
      <c r="BE66" s="418"/>
      <c r="BF66" s="418"/>
      <c r="BG66" s="418"/>
      <c r="BH66" s="418"/>
      <c r="BI66" s="418"/>
      <c r="BJ66" s="418"/>
      <c r="BK66" s="418"/>
      <c r="BL66" s="418"/>
      <c r="BM66" s="418"/>
      <c r="BN66" s="418"/>
      <c r="BO66" s="418"/>
      <c r="BP66" s="418"/>
      <c r="BQ66" s="418"/>
      <c r="BR66" s="418"/>
      <c r="BS66" s="418"/>
      <c r="BT66" s="418"/>
      <c r="BU66" s="418"/>
      <c r="BV66" s="418"/>
      <c r="BW66" s="418"/>
      <c r="BX66" s="418"/>
      <c r="BY66" s="418"/>
      <c r="BZ66" s="418"/>
      <c r="CA66" s="418"/>
      <c r="CB66" s="418"/>
      <c r="CC66" s="418"/>
      <c r="CD66" s="418"/>
      <c r="CE66" s="418"/>
      <c r="CF66" s="418"/>
      <c r="CG66" s="418"/>
      <c r="CH66" s="418"/>
      <c r="CI66" s="418"/>
      <c r="CJ66" s="418"/>
      <c r="CK66" s="418"/>
      <c r="CL66" s="418"/>
      <c r="CM66" s="418"/>
      <c r="CN66" s="418"/>
      <c r="CO66" s="418"/>
      <c r="CP66" s="418"/>
      <c r="CQ66" s="418"/>
      <c r="CR66" s="418"/>
      <c r="CS66" s="418"/>
      <c r="CT66" s="418"/>
      <c r="CU66" s="418"/>
      <c r="CV66" s="418"/>
      <c r="CW66" s="418"/>
      <c r="CX66" s="418"/>
      <c r="CY66" s="418"/>
      <c r="CZ66" s="418"/>
      <c r="DA66" s="418"/>
      <c r="DB66" s="418"/>
      <c r="DC66" s="418"/>
      <c r="DD66" s="418"/>
      <c r="DE66" s="418"/>
      <c r="DF66" s="418"/>
      <c r="DG66" s="418"/>
      <c r="DH66" s="418"/>
      <c r="DI66" s="418"/>
      <c r="DJ66" s="418"/>
      <c r="DK66" s="418"/>
      <c r="DL66" s="418"/>
      <c r="DM66" s="418"/>
      <c r="DN66" s="418"/>
      <c r="DO66" s="418"/>
      <c r="DP66" s="418"/>
      <c r="DQ66" s="418"/>
      <c r="DR66" s="418"/>
      <c r="DS66" s="418"/>
      <c r="DT66" s="418"/>
      <c r="DU66" s="418"/>
      <c r="DV66" s="418"/>
      <c r="DW66" s="418"/>
      <c r="DX66" s="418"/>
      <c r="DY66" s="418"/>
      <c r="DZ66" s="418"/>
      <c r="EA66" s="418"/>
      <c r="EB66" s="418"/>
      <c r="EC66" s="418"/>
      <c r="ED66" s="418"/>
      <c r="EE66" s="418"/>
      <c r="EF66" s="418"/>
      <c r="EG66" s="418"/>
      <c r="EH66" s="418"/>
      <c r="EI66" s="418"/>
      <c r="EJ66" s="418"/>
      <c r="EK66" s="418"/>
      <c r="EL66" s="418"/>
      <c r="EM66" s="418"/>
      <c r="EN66" s="418"/>
      <c r="EO66" s="418"/>
      <c r="EP66" s="418"/>
      <c r="EQ66" s="418"/>
      <c r="ER66" s="418"/>
      <c r="ES66" s="418"/>
      <c r="ET66" s="418"/>
      <c r="EU66" s="418"/>
      <c r="EV66" s="418"/>
      <c r="EW66" s="418"/>
      <c r="EX66" s="418"/>
      <c r="EY66" s="418"/>
      <c r="EZ66" s="418"/>
      <c r="FA66" s="418"/>
      <c r="FB66" s="418"/>
      <c r="FC66" s="418"/>
      <c r="FD66" s="418"/>
      <c r="FE66" s="418"/>
      <c r="FF66" s="418"/>
      <c r="FG66" s="418"/>
      <c r="FH66" s="418"/>
      <c r="FI66" s="418"/>
      <c r="FJ66" s="418"/>
      <c r="FK66" s="418"/>
      <c r="FL66" s="418"/>
      <c r="FM66" s="418"/>
      <c r="FN66" s="418"/>
      <c r="FO66" s="418"/>
      <c r="FP66" s="418"/>
      <c r="FQ66" s="418"/>
      <c r="FR66" s="418"/>
      <c r="FS66" s="418"/>
      <c r="FT66" s="418"/>
      <c r="FU66" s="418"/>
      <c r="FV66" s="418"/>
      <c r="FW66" s="418"/>
      <c r="FX66" s="418"/>
      <c r="FY66" s="418"/>
      <c r="FZ66" s="418"/>
      <c r="GA66" s="418"/>
      <c r="GB66" s="418"/>
      <c r="GC66" s="418"/>
      <c r="GD66" s="418"/>
      <c r="GE66" s="418"/>
      <c r="GF66" s="418"/>
      <c r="GG66" s="418"/>
      <c r="GH66" s="418"/>
      <c r="GI66" s="418"/>
      <c r="GJ66" s="418"/>
      <c r="GK66" s="418"/>
      <c r="GL66" s="418"/>
      <c r="GM66" s="418"/>
      <c r="GN66" s="418"/>
      <c r="GO66" s="418"/>
      <c r="GP66" s="418"/>
      <c r="GQ66" s="418"/>
      <c r="GR66" s="418"/>
      <c r="GS66" s="418"/>
      <c r="GT66" s="418"/>
      <c r="GU66" s="418"/>
      <c r="GV66" s="418"/>
      <c r="GW66" s="418"/>
      <c r="GX66" s="418"/>
      <c r="GY66" s="418"/>
      <c r="GZ66" s="418"/>
      <c r="HA66" s="418"/>
      <c r="HB66" s="418"/>
      <c r="HC66" s="418"/>
      <c r="HD66" s="418"/>
      <c r="HE66" s="418"/>
      <c r="HF66" s="418"/>
      <c r="HG66" s="418"/>
      <c r="HH66" s="418"/>
      <c r="HI66" s="418"/>
      <c r="HJ66" s="418"/>
      <c r="HK66" s="418"/>
      <c r="HL66" s="418"/>
      <c r="HM66" s="418"/>
      <c r="HN66" s="418"/>
      <c r="HO66" s="418"/>
      <c r="HP66" s="418"/>
      <c r="HQ66" s="418"/>
      <c r="HR66" s="418"/>
      <c r="HS66" s="418"/>
      <c r="HT66" s="418"/>
      <c r="HU66" s="418"/>
      <c r="HV66" s="418"/>
      <c r="HW66" s="418"/>
      <c r="HX66" s="418"/>
      <c r="HY66" s="418"/>
      <c r="HZ66" s="418"/>
      <c r="IA66" s="418"/>
      <c r="IB66" s="418"/>
      <c r="IC66" s="418"/>
      <c r="ID66" s="418"/>
      <c r="IE66" s="418"/>
      <c r="IF66" s="418"/>
      <c r="IG66" s="418"/>
      <c r="IH66" s="418"/>
      <c r="II66" s="418"/>
      <c r="IJ66" s="418"/>
      <c r="IK66" s="418"/>
      <c r="IL66" s="418"/>
      <c r="IM66" s="418"/>
      <c r="IN66" s="418"/>
      <c r="IO66" s="418"/>
      <c r="IP66" s="418"/>
      <c r="IQ66" s="418"/>
      <c r="IR66" s="418"/>
      <c r="IS66" s="418"/>
      <c r="IT66" s="418"/>
      <c r="IU66" s="418"/>
      <c r="IV66" s="418"/>
      <c r="IW66" s="418"/>
      <c r="IX66" s="418"/>
      <c r="IY66" s="418"/>
      <c r="IZ66" s="418"/>
      <c r="JA66" s="418"/>
    </row>
    <row r="67" spans="1:261" s="758" customFormat="1" ht="18" customHeight="1" x14ac:dyDescent="0.35">
      <c r="A67" s="773">
        <v>58</v>
      </c>
      <c r="B67" s="766"/>
      <c r="C67" s="420"/>
      <c r="D67" s="992" t="s">
        <v>308</v>
      </c>
      <c r="E67" s="430">
        <f>F67+G67+O70+P67</f>
        <v>8973</v>
      </c>
      <c r="F67" s="762"/>
      <c r="G67" s="431"/>
      <c r="H67" s="999"/>
      <c r="I67" s="1017"/>
      <c r="J67" s="1013"/>
      <c r="K67" s="1013">
        <v>79</v>
      </c>
      <c r="L67" s="1013"/>
      <c r="M67" s="1013">
        <v>3900</v>
      </c>
      <c r="N67" s="1013"/>
      <c r="O67" s="982">
        <f>SUM(I67:N67)</f>
        <v>3979</v>
      </c>
      <c r="P67" s="763"/>
      <c r="Q67" s="418"/>
      <c r="R67" s="418"/>
      <c r="S67" s="418"/>
      <c r="T67" s="418"/>
      <c r="U67" s="418"/>
      <c r="V67" s="418"/>
      <c r="W67" s="418"/>
      <c r="X67" s="418"/>
      <c r="Y67" s="418"/>
      <c r="Z67" s="418"/>
      <c r="AA67" s="418"/>
      <c r="AB67" s="418"/>
      <c r="AC67" s="418"/>
      <c r="AD67" s="418"/>
      <c r="AE67" s="418"/>
      <c r="AF67" s="418"/>
      <c r="AG67" s="418"/>
      <c r="AH67" s="418"/>
      <c r="AI67" s="418"/>
      <c r="AJ67" s="418"/>
      <c r="AK67" s="418"/>
      <c r="AL67" s="418"/>
      <c r="AM67" s="418"/>
      <c r="AN67" s="418"/>
      <c r="AO67" s="418"/>
      <c r="AP67" s="418"/>
      <c r="AQ67" s="418"/>
      <c r="AR67" s="418"/>
      <c r="AS67" s="418"/>
      <c r="AT67" s="418"/>
      <c r="AU67" s="418"/>
      <c r="AV67" s="418"/>
      <c r="AW67" s="418"/>
      <c r="AX67" s="418"/>
      <c r="AY67" s="418"/>
      <c r="AZ67" s="418"/>
      <c r="BA67" s="418"/>
      <c r="BB67" s="418"/>
      <c r="BC67" s="418"/>
      <c r="BD67" s="418"/>
      <c r="BE67" s="418"/>
      <c r="BF67" s="418"/>
      <c r="BG67" s="418"/>
      <c r="BH67" s="418"/>
      <c r="BI67" s="418"/>
      <c r="BJ67" s="418"/>
      <c r="BK67" s="418"/>
      <c r="BL67" s="418"/>
      <c r="BM67" s="418"/>
      <c r="BN67" s="418"/>
      <c r="BO67" s="418"/>
      <c r="BP67" s="418"/>
      <c r="BQ67" s="418"/>
      <c r="BR67" s="418"/>
      <c r="BS67" s="418"/>
      <c r="BT67" s="418"/>
      <c r="BU67" s="418"/>
      <c r="BV67" s="418"/>
      <c r="BW67" s="418"/>
      <c r="BX67" s="418"/>
      <c r="BY67" s="418"/>
      <c r="BZ67" s="418"/>
      <c r="CA67" s="418"/>
      <c r="CB67" s="418"/>
      <c r="CC67" s="418"/>
      <c r="CD67" s="418"/>
      <c r="CE67" s="418"/>
      <c r="CF67" s="418"/>
      <c r="CG67" s="418"/>
      <c r="CH67" s="418"/>
      <c r="CI67" s="418"/>
      <c r="CJ67" s="418"/>
      <c r="CK67" s="418"/>
      <c r="CL67" s="418"/>
      <c r="CM67" s="418"/>
      <c r="CN67" s="418"/>
      <c r="CO67" s="418"/>
      <c r="CP67" s="418"/>
      <c r="CQ67" s="418"/>
      <c r="CR67" s="418"/>
      <c r="CS67" s="418"/>
      <c r="CT67" s="418"/>
      <c r="CU67" s="418"/>
      <c r="CV67" s="418"/>
      <c r="CW67" s="418"/>
      <c r="CX67" s="418"/>
      <c r="CY67" s="418"/>
      <c r="CZ67" s="418"/>
      <c r="DA67" s="418"/>
      <c r="DB67" s="418"/>
      <c r="DC67" s="418"/>
      <c r="DD67" s="418"/>
      <c r="DE67" s="418"/>
      <c r="DF67" s="418"/>
      <c r="DG67" s="418"/>
      <c r="DH67" s="418"/>
      <c r="DI67" s="418"/>
      <c r="DJ67" s="418"/>
      <c r="DK67" s="418"/>
      <c r="DL67" s="418"/>
      <c r="DM67" s="418"/>
      <c r="DN67" s="418"/>
      <c r="DO67" s="418"/>
      <c r="DP67" s="418"/>
      <c r="DQ67" s="418"/>
      <c r="DR67" s="418"/>
      <c r="DS67" s="418"/>
      <c r="DT67" s="418"/>
      <c r="DU67" s="418"/>
      <c r="DV67" s="418"/>
      <c r="DW67" s="418"/>
      <c r="DX67" s="418"/>
      <c r="DY67" s="418"/>
      <c r="DZ67" s="418"/>
      <c r="EA67" s="418"/>
      <c r="EB67" s="418"/>
      <c r="EC67" s="418"/>
      <c r="ED67" s="418"/>
      <c r="EE67" s="418"/>
      <c r="EF67" s="418"/>
      <c r="EG67" s="418"/>
      <c r="EH67" s="418"/>
      <c r="EI67" s="418"/>
      <c r="EJ67" s="418"/>
      <c r="EK67" s="418"/>
      <c r="EL67" s="418"/>
      <c r="EM67" s="418"/>
      <c r="EN67" s="418"/>
      <c r="EO67" s="418"/>
      <c r="EP67" s="418"/>
      <c r="EQ67" s="418"/>
      <c r="ER67" s="418"/>
      <c r="ES67" s="418"/>
      <c r="ET67" s="418"/>
      <c r="EU67" s="418"/>
      <c r="EV67" s="418"/>
      <c r="EW67" s="418"/>
      <c r="EX67" s="418"/>
      <c r="EY67" s="418"/>
      <c r="EZ67" s="418"/>
      <c r="FA67" s="418"/>
      <c r="FB67" s="418"/>
      <c r="FC67" s="418"/>
      <c r="FD67" s="418"/>
      <c r="FE67" s="418"/>
      <c r="FF67" s="418"/>
      <c r="FG67" s="418"/>
      <c r="FH67" s="418"/>
      <c r="FI67" s="418"/>
      <c r="FJ67" s="418"/>
      <c r="FK67" s="418"/>
      <c r="FL67" s="418"/>
      <c r="FM67" s="418"/>
      <c r="FN67" s="418"/>
      <c r="FO67" s="418"/>
      <c r="FP67" s="418"/>
      <c r="FQ67" s="418"/>
      <c r="FR67" s="418"/>
      <c r="FS67" s="418"/>
      <c r="FT67" s="418"/>
      <c r="FU67" s="418"/>
      <c r="FV67" s="418"/>
      <c r="FW67" s="418"/>
      <c r="FX67" s="418"/>
      <c r="FY67" s="418"/>
      <c r="FZ67" s="418"/>
      <c r="GA67" s="418"/>
      <c r="GB67" s="418"/>
      <c r="GC67" s="418"/>
      <c r="GD67" s="418"/>
      <c r="GE67" s="418"/>
      <c r="GF67" s="418"/>
      <c r="GG67" s="418"/>
      <c r="GH67" s="418"/>
      <c r="GI67" s="418"/>
      <c r="GJ67" s="418"/>
      <c r="GK67" s="418"/>
      <c r="GL67" s="418"/>
      <c r="GM67" s="418"/>
      <c r="GN67" s="418"/>
      <c r="GO67" s="418"/>
      <c r="GP67" s="418"/>
      <c r="GQ67" s="418"/>
      <c r="GR67" s="418"/>
      <c r="GS67" s="418"/>
      <c r="GT67" s="418"/>
      <c r="GU67" s="418"/>
      <c r="GV67" s="418"/>
      <c r="GW67" s="418"/>
      <c r="GX67" s="418"/>
      <c r="GY67" s="418"/>
      <c r="GZ67" s="418"/>
      <c r="HA67" s="418"/>
      <c r="HB67" s="418"/>
      <c r="HC67" s="418"/>
      <c r="HD67" s="418"/>
      <c r="HE67" s="418"/>
      <c r="HF67" s="418"/>
      <c r="HG67" s="418"/>
      <c r="HH67" s="418"/>
      <c r="HI67" s="418"/>
      <c r="HJ67" s="418"/>
      <c r="HK67" s="418"/>
      <c r="HL67" s="418"/>
      <c r="HM67" s="418"/>
      <c r="HN67" s="418"/>
      <c r="HO67" s="418"/>
      <c r="HP67" s="418"/>
      <c r="HQ67" s="418"/>
      <c r="HR67" s="418"/>
      <c r="HS67" s="418"/>
      <c r="HT67" s="418"/>
      <c r="HU67" s="418"/>
      <c r="HV67" s="418"/>
      <c r="HW67" s="418"/>
      <c r="HX67" s="418"/>
      <c r="HY67" s="418"/>
      <c r="HZ67" s="418"/>
      <c r="IA67" s="418"/>
      <c r="IB67" s="418"/>
      <c r="IC67" s="418"/>
      <c r="ID67" s="418"/>
      <c r="IE67" s="418"/>
      <c r="IF67" s="418"/>
      <c r="IG67" s="418"/>
      <c r="IH67" s="418"/>
      <c r="II67" s="418"/>
      <c r="IJ67" s="418"/>
      <c r="IK67" s="418"/>
      <c r="IL67" s="418"/>
      <c r="IM67" s="418"/>
      <c r="IN67" s="418"/>
      <c r="IO67" s="418"/>
      <c r="IP67" s="418"/>
      <c r="IQ67" s="418"/>
      <c r="IR67" s="418"/>
      <c r="IS67" s="418"/>
      <c r="IT67" s="418"/>
      <c r="IU67" s="418"/>
      <c r="IV67" s="418"/>
      <c r="IW67" s="418"/>
      <c r="IX67" s="418"/>
      <c r="IY67" s="418"/>
      <c r="IZ67" s="418"/>
      <c r="JA67" s="418"/>
    </row>
    <row r="68" spans="1:261" s="758" customFormat="1" ht="18" customHeight="1" x14ac:dyDescent="0.35">
      <c r="A68" s="773">
        <v>59</v>
      </c>
      <c r="B68" s="766"/>
      <c r="C68" s="420"/>
      <c r="D68" s="576" t="s">
        <v>1158</v>
      </c>
      <c r="E68" s="430"/>
      <c r="F68" s="762"/>
      <c r="G68" s="431"/>
      <c r="H68" s="999"/>
      <c r="I68" s="1017"/>
      <c r="J68" s="1013"/>
      <c r="K68" s="1524">
        <v>79</v>
      </c>
      <c r="L68" s="1524"/>
      <c r="M68" s="1524">
        <v>3900</v>
      </c>
      <c r="N68" s="1524"/>
      <c r="O68" s="767">
        <f>SUM(I68:N68)</f>
        <v>3979</v>
      </c>
      <c r="P68" s="763"/>
      <c r="Q68" s="418"/>
      <c r="R68" s="418"/>
      <c r="S68" s="418"/>
      <c r="T68" s="418"/>
      <c r="U68" s="418"/>
      <c r="V68" s="418"/>
      <c r="W68" s="418"/>
      <c r="X68" s="418"/>
      <c r="Y68" s="418"/>
      <c r="Z68" s="418"/>
      <c r="AA68" s="418"/>
      <c r="AB68" s="418"/>
      <c r="AC68" s="418"/>
      <c r="AD68" s="418"/>
      <c r="AE68" s="418"/>
      <c r="AF68" s="418"/>
      <c r="AG68" s="418"/>
      <c r="AH68" s="418"/>
      <c r="AI68" s="418"/>
      <c r="AJ68" s="418"/>
      <c r="AK68" s="418"/>
      <c r="AL68" s="418"/>
      <c r="AM68" s="418"/>
      <c r="AN68" s="418"/>
      <c r="AO68" s="418"/>
      <c r="AP68" s="418"/>
      <c r="AQ68" s="418"/>
      <c r="AR68" s="418"/>
      <c r="AS68" s="418"/>
      <c r="AT68" s="418"/>
      <c r="AU68" s="418"/>
      <c r="AV68" s="418"/>
      <c r="AW68" s="418"/>
      <c r="AX68" s="418"/>
      <c r="AY68" s="418"/>
      <c r="AZ68" s="418"/>
      <c r="BA68" s="418"/>
      <c r="BB68" s="418"/>
      <c r="BC68" s="418"/>
      <c r="BD68" s="418"/>
      <c r="BE68" s="418"/>
      <c r="BF68" s="418"/>
      <c r="BG68" s="418"/>
      <c r="BH68" s="418"/>
      <c r="BI68" s="418"/>
      <c r="BJ68" s="418"/>
      <c r="BK68" s="418"/>
      <c r="BL68" s="418"/>
      <c r="BM68" s="418"/>
      <c r="BN68" s="418"/>
      <c r="BO68" s="418"/>
      <c r="BP68" s="418"/>
      <c r="BQ68" s="418"/>
      <c r="BR68" s="418"/>
      <c r="BS68" s="418"/>
      <c r="BT68" s="418"/>
      <c r="BU68" s="418"/>
      <c r="BV68" s="418"/>
      <c r="BW68" s="418"/>
      <c r="BX68" s="418"/>
      <c r="BY68" s="418"/>
      <c r="BZ68" s="418"/>
      <c r="CA68" s="418"/>
      <c r="CB68" s="418"/>
      <c r="CC68" s="418"/>
      <c r="CD68" s="418"/>
      <c r="CE68" s="418"/>
      <c r="CF68" s="418"/>
      <c r="CG68" s="418"/>
      <c r="CH68" s="418"/>
      <c r="CI68" s="418"/>
      <c r="CJ68" s="418"/>
      <c r="CK68" s="418"/>
      <c r="CL68" s="418"/>
      <c r="CM68" s="418"/>
      <c r="CN68" s="418"/>
      <c r="CO68" s="418"/>
      <c r="CP68" s="418"/>
      <c r="CQ68" s="418"/>
      <c r="CR68" s="418"/>
      <c r="CS68" s="418"/>
      <c r="CT68" s="418"/>
      <c r="CU68" s="418"/>
      <c r="CV68" s="418"/>
      <c r="CW68" s="418"/>
      <c r="CX68" s="418"/>
      <c r="CY68" s="418"/>
      <c r="CZ68" s="418"/>
      <c r="DA68" s="418"/>
      <c r="DB68" s="418"/>
      <c r="DC68" s="418"/>
      <c r="DD68" s="418"/>
      <c r="DE68" s="418"/>
      <c r="DF68" s="418"/>
      <c r="DG68" s="418"/>
      <c r="DH68" s="418"/>
      <c r="DI68" s="418"/>
      <c r="DJ68" s="418"/>
      <c r="DK68" s="418"/>
      <c r="DL68" s="418"/>
      <c r="DM68" s="418"/>
      <c r="DN68" s="418"/>
      <c r="DO68" s="418"/>
      <c r="DP68" s="418"/>
      <c r="DQ68" s="418"/>
      <c r="DR68" s="418"/>
      <c r="DS68" s="418"/>
      <c r="DT68" s="418"/>
      <c r="DU68" s="418"/>
      <c r="DV68" s="418"/>
      <c r="DW68" s="418"/>
      <c r="DX68" s="418"/>
      <c r="DY68" s="418"/>
      <c r="DZ68" s="418"/>
      <c r="EA68" s="418"/>
      <c r="EB68" s="418"/>
      <c r="EC68" s="418"/>
      <c r="ED68" s="418"/>
      <c r="EE68" s="418"/>
      <c r="EF68" s="418"/>
      <c r="EG68" s="418"/>
      <c r="EH68" s="418"/>
      <c r="EI68" s="418"/>
      <c r="EJ68" s="418"/>
      <c r="EK68" s="418"/>
      <c r="EL68" s="418"/>
      <c r="EM68" s="418"/>
      <c r="EN68" s="418"/>
      <c r="EO68" s="418"/>
      <c r="EP68" s="418"/>
      <c r="EQ68" s="418"/>
      <c r="ER68" s="418"/>
      <c r="ES68" s="418"/>
      <c r="ET68" s="418"/>
      <c r="EU68" s="418"/>
      <c r="EV68" s="418"/>
      <c r="EW68" s="418"/>
      <c r="EX68" s="418"/>
      <c r="EY68" s="418"/>
      <c r="EZ68" s="418"/>
      <c r="FA68" s="418"/>
      <c r="FB68" s="418"/>
      <c r="FC68" s="418"/>
      <c r="FD68" s="418"/>
      <c r="FE68" s="418"/>
      <c r="FF68" s="418"/>
      <c r="FG68" s="418"/>
      <c r="FH68" s="418"/>
      <c r="FI68" s="418"/>
      <c r="FJ68" s="418"/>
      <c r="FK68" s="418"/>
      <c r="FL68" s="418"/>
      <c r="FM68" s="418"/>
      <c r="FN68" s="418"/>
      <c r="FO68" s="418"/>
      <c r="FP68" s="418"/>
      <c r="FQ68" s="418"/>
      <c r="FR68" s="418"/>
      <c r="FS68" s="418"/>
      <c r="FT68" s="418"/>
      <c r="FU68" s="418"/>
      <c r="FV68" s="418"/>
      <c r="FW68" s="418"/>
      <c r="FX68" s="418"/>
      <c r="FY68" s="418"/>
      <c r="FZ68" s="418"/>
      <c r="GA68" s="418"/>
      <c r="GB68" s="418"/>
      <c r="GC68" s="418"/>
      <c r="GD68" s="418"/>
      <c r="GE68" s="418"/>
      <c r="GF68" s="418"/>
      <c r="GG68" s="418"/>
      <c r="GH68" s="418"/>
      <c r="GI68" s="418"/>
      <c r="GJ68" s="418"/>
      <c r="GK68" s="418"/>
      <c r="GL68" s="418"/>
      <c r="GM68" s="418"/>
      <c r="GN68" s="418"/>
      <c r="GO68" s="418"/>
      <c r="GP68" s="418"/>
      <c r="GQ68" s="418"/>
      <c r="GR68" s="418"/>
      <c r="GS68" s="418"/>
      <c r="GT68" s="418"/>
      <c r="GU68" s="418"/>
      <c r="GV68" s="418"/>
      <c r="GW68" s="418"/>
      <c r="GX68" s="418"/>
      <c r="GY68" s="418"/>
      <c r="GZ68" s="418"/>
      <c r="HA68" s="418"/>
      <c r="HB68" s="418"/>
      <c r="HC68" s="418"/>
      <c r="HD68" s="418"/>
      <c r="HE68" s="418"/>
      <c r="HF68" s="418"/>
      <c r="HG68" s="418"/>
      <c r="HH68" s="418"/>
      <c r="HI68" s="418"/>
      <c r="HJ68" s="418"/>
      <c r="HK68" s="418"/>
      <c r="HL68" s="418"/>
      <c r="HM68" s="418"/>
      <c r="HN68" s="418"/>
      <c r="HO68" s="418"/>
      <c r="HP68" s="418"/>
      <c r="HQ68" s="418"/>
      <c r="HR68" s="418"/>
      <c r="HS68" s="418"/>
      <c r="HT68" s="418"/>
      <c r="HU68" s="418"/>
      <c r="HV68" s="418"/>
      <c r="HW68" s="418"/>
      <c r="HX68" s="418"/>
      <c r="HY68" s="418"/>
      <c r="HZ68" s="418"/>
      <c r="IA68" s="418"/>
      <c r="IB68" s="418"/>
      <c r="IC68" s="418"/>
      <c r="ID68" s="418"/>
      <c r="IE68" s="418"/>
      <c r="IF68" s="418"/>
      <c r="IG68" s="418"/>
      <c r="IH68" s="418"/>
      <c r="II68" s="418"/>
      <c r="IJ68" s="418"/>
      <c r="IK68" s="418"/>
      <c r="IL68" s="418"/>
      <c r="IM68" s="418"/>
      <c r="IN68" s="418"/>
      <c r="IO68" s="418"/>
      <c r="IP68" s="418"/>
      <c r="IQ68" s="418"/>
      <c r="IR68" s="418"/>
      <c r="IS68" s="418"/>
      <c r="IT68" s="418"/>
      <c r="IU68" s="418"/>
      <c r="IV68" s="418"/>
      <c r="IW68" s="418"/>
      <c r="IX68" s="418"/>
      <c r="IY68" s="418"/>
      <c r="IZ68" s="418"/>
      <c r="JA68" s="418"/>
    </row>
    <row r="69" spans="1:261" s="758" customFormat="1" ht="18" customHeight="1" x14ac:dyDescent="0.35">
      <c r="A69" s="773">
        <v>60</v>
      </c>
      <c r="B69" s="766"/>
      <c r="C69" s="420"/>
      <c r="D69" s="1318" t="s">
        <v>1286</v>
      </c>
      <c r="E69" s="430"/>
      <c r="F69" s="762"/>
      <c r="G69" s="431"/>
      <c r="H69" s="999"/>
      <c r="I69" s="995"/>
      <c r="J69" s="759"/>
      <c r="K69" s="759"/>
      <c r="L69" s="759"/>
      <c r="M69" s="759">
        <v>4994</v>
      </c>
      <c r="N69" s="759"/>
      <c r="O69" s="767">
        <f>SUM(I69:N69)</f>
        <v>4994</v>
      </c>
      <c r="P69" s="763"/>
      <c r="Q69" s="418"/>
      <c r="R69" s="418"/>
      <c r="S69" s="418"/>
      <c r="T69" s="418"/>
      <c r="U69" s="418"/>
      <c r="V69" s="418"/>
      <c r="W69" s="418"/>
      <c r="X69" s="418"/>
      <c r="Y69" s="418"/>
      <c r="Z69" s="418"/>
      <c r="AA69" s="418"/>
      <c r="AB69" s="418"/>
      <c r="AC69" s="418"/>
      <c r="AD69" s="418"/>
      <c r="AE69" s="418"/>
      <c r="AF69" s="418"/>
      <c r="AG69" s="418"/>
      <c r="AH69" s="418"/>
      <c r="AI69" s="418"/>
      <c r="AJ69" s="418"/>
      <c r="AK69" s="418"/>
      <c r="AL69" s="418"/>
      <c r="AM69" s="418"/>
      <c r="AN69" s="418"/>
      <c r="AO69" s="418"/>
      <c r="AP69" s="418"/>
      <c r="AQ69" s="418"/>
      <c r="AR69" s="418"/>
      <c r="AS69" s="418"/>
      <c r="AT69" s="418"/>
      <c r="AU69" s="418"/>
      <c r="AV69" s="418"/>
      <c r="AW69" s="418"/>
      <c r="AX69" s="418"/>
      <c r="AY69" s="418"/>
      <c r="AZ69" s="418"/>
      <c r="BA69" s="418"/>
      <c r="BB69" s="418"/>
      <c r="BC69" s="418"/>
      <c r="BD69" s="418"/>
      <c r="BE69" s="418"/>
      <c r="BF69" s="418"/>
      <c r="BG69" s="418"/>
      <c r="BH69" s="418"/>
      <c r="BI69" s="418"/>
      <c r="BJ69" s="418"/>
      <c r="BK69" s="418"/>
      <c r="BL69" s="418"/>
      <c r="BM69" s="418"/>
      <c r="BN69" s="418"/>
      <c r="BO69" s="418"/>
      <c r="BP69" s="418"/>
      <c r="BQ69" s="418"/>
      <c r="BR69" s="418"/>
      <c r="BS69" s="418"/>
      <c r="BT69" s="418"/>
      <c r="BU69" s="418"/>
      <c r="BV69" s="418"/>
      <c r="BW69" s="418"/>
      <c r="BX69" s="418"/>
      <c r="BY69" s="418"/>
      <c r="BZ69" s="418"/>
      <c r="CA69" s="418"/>
      <c r="CB69" s="418"/>
      <c r="CC69" s="418"/>
      <c r="CD69" s="418"/>
      <c r="CE69" s="418"/>
      <c r="CF69" s="418"/>
      <c r="CG69" s="418"/>
      <c r="CH69" s="418"/>
      <c r="CI69" s="418"/>
      <c r="CJ69" s="418"/>
      <c r="CK69" s="418"/>
      <c r="CL69" s="418"/>
      <c r="CM69" s="418"/>
      <c r="CN69" s="418"/>
      <c r="CO69" s="418"/>
      <c r="CP69" s="418"/>
      <c r="CQ69" s="418"/>
      <c r="CR69" s="418"/>
      <c r="CS69" s="418"/>
      <c r="CT69" s="418"/>
      <c r="CU69" s="418"/>
      <c r="CV69" s="418"/>
      <c r="CW69" s="418"/>
      <c r="CX69" s="418"/>
      <c r="CY69" s="418"/>
      <c r="CZ69" s="418"/>
      <c r="DA69" s="418"/>
      <c r="DB69" s="418"/>
      <c r="DC69" s="418"/>
      <c r="DD69" s="418"/>
      <c r="DE69" s="418"/>
      <c r="DF69" s="418"/>
      <c r="DG69" s="418"/>
      <c r="DH69" s="418"/>
      <c r="DI69" s="418"/>
      <c r="DJ69" s="418"/>
      <c r="DK69" s="418"/>
      <c r="DL69" s="418"/>
      <c r="DM69" s="418"/>
      <c r="DN69" s="418"/>
      <c r="DO69" s="418"/>
      <c r="DP69" s="418"/>
      <c r="DQ69" s="418"/>
      <c r="DR69" s="418"/>
      <c r="DS69" s="418"/>
      <c r="DT69" s="418"/>
      <c r="DU69" s="418"/>
      <c r="DV69" s="418"/>
      <c r="DW69" s="418"/>
      <c r="DX69" s="418"/>
      <c r="DY69" s="418"/>
      <c r="DZ69" s="418"/>
      <c r="EA69" s="418"/>
      <c r="EB69" s="418"/>
      <c r="EC69" s="418"/>
      <c r="ED69" s="418"/>
      <c r="EE69" s="418"/>
      <c r="EF69" s="418"/>
      <c r="EG69" s="418"/>
      <c r="EH69" s="418"/>
      <c r="EI69" s="418"/>
      <c r="EJ69" s="418"/>
      <c r="EK69" s="418"/>
      <c r="EL69" s="418"/>
      <c r="EM69" s="418"/>
      <c r="EN69" s="418"/>
      <c r="EO69" s="418"/>
      <c r="EP69" s="418"/>
      <c r="EQ69" s="418"/>
      <c r="ER69" s="418"/>
      <c r="ES69" s="418"/>
      <c r="ET69" s="418"/>
      <c r="EU69" s="418"/>
      <c r="EV69" s="418"/>
      <c r="EW69" s="418"/>
      <c r="EX69" s="418"/>
      <c r="EY69" s="418"/>
      <c r="EZ69" s="418"/>
      <c r="FA69" s="418"/>
      <c r="FB69" s="418"/>
      <c r="FC69" s="418"/>
      <c r="FD69" s="418"/>
      <c r="FE69" s="418"/>
      <c r="FF69" s="418"/>
      <c r="FG69" s="418"/>
      <c r="FH69" s="418"/>
      <c r="FI69" s="418"/>
      <c r="FJ69" s="418"/>
      <c r="FK69" s="418"/>
      <c r="FL69" s="418"/>
      <c r="FM69" s="418"/>
      <c r="FN69" s="418"/>
      <c r="FO69" s="418"/>
      <c r="FP69" s="418"/>
      <c r="FQ69" s="418"/>
      <c r="FR69" s="418"/>
      <c r="FS69" s="418"/>
      <c r="FT69" s="418"/>
      <c r="FU69" s="418"/>
      <c r="FV69" s="418"/>
      <c r="FW69" s="418"/>
      <c r="FX69" s="418"/>
      <c r="FY69" s="418"/>
      <c r="FZ69" s="418"/>
      <c r="GA69" s="418"/>
      <c r="GB69" s="418"/>
      <c r="GC69" s="418"/>
      <c r="GD69" s="418"/>
      <c r="GE69" s="418"/>
      <c r="GF69" s="418"/>
      <c r="GG69" s="418"/>
      <c r="GH69" s="418"/>
      <c r="GI69" s="418"/>
      <c r="GJ69" s="418"/>
      <c r="GK69" s="418"/>
      <c r="GL69" s="418"/>
      <c r="GM69" s="418"/>
      <c r="GN69" s="418"/>
      <c r="GO69" s="418"/>
      <c r="GP69" s="418"/>
      <c r="GQ69" s="418"/>
      <c r="GR69" s="418"/>
      <c r="GS69" s="418"/>
      <c r="GT69" s="418"/>
      <c r="GU69" s="418"/>
      <c r="GV69" s="418"/>
      <c r="GW69" s="418"/>
      <c r="GX69" s="418"/>
      <c r="GY69" s="418"/>
      <c r="GZ69" s="418"/>
      <c r="HA69" s="418"/>
      <c r="HB69" s="418"/>
      <c r="HC69" s="418"/>
      <c r="HD69" s="418"/>
      <c r="HE69" s="418"/>
      <c r="HF69" s="418"/>
      <c r="HG69" s="418"/>
      <c r="HH69" s="418"/>
      <c r="HI69" s="418"/>
      <c r="HJ69" s="418"/>
      <c r="HK69" s="418"/>
      <c r="HL69" s="418"/>
      <c r="HM69" s="418"/>
      <c r="HN69" s="418"/>
      <c r="HO69" s="418"/>
      <c r="HP69" s="418"/>
      <c r="HQ69" s="418"/>
      <c r="HR69" s="418"/>
      <c r="HS69" s="418"/>
      <c r="HT69" s="418"/>
      <c r="HU69" s="418"/>
      <c r="HV69" s="418"/>
      <c r="HW69" s="418"/>
      <c r="HX69" s="418"/>
      <c r="HY69" s="418"/>
      <c r="HZ69" s="418"/>
      <c r="IA69" s="418"/>
      <c r="IB69" s="418"/>
      <c r="IC69" s="418"/>
      <c r="ID69" s="418"/>
      <c r="IE69" s="418"/>
      <c r="IF69" s="418"/>
      <c r="IG69" s="418"/>
      <c r="IH69" s="418"/>
      <c r="II69" s="418"/>
      <c r="IJ69" s="418"/>
      <c r="IK69" s="418"/>
      <c r="IL69" s="418"/>
      <c r="IM69" s="418"/>
      <c r="IN69" s="418"/>
      <c r="IO69" s="418"/>
      <c r="IP69" s="418"/>
      <c r="IQ69" s="418"/>
      <c r="IR69" s="418"/>
      <c r="IS69" s="418"/>
      <c r="IT69" s="418"/>
      <c r="IU69" s="418"/>
      <c r="IV69" s="418"/>
      <c r="IW69" s="418"/>
      <c r="IX69" s="418"/>
      <c r="IY69" s="418"/>
      <c r="IZ69" s="418"/>
      <c r="JA69" s="418"/>
    </row>
    <row r="70" spans="1:261" s="758" customFormat="1" ht="18" customHeight="1" x14ac:dyDescent="0.35">
      <c r="A70" s="773">
        <v>61</v>
      </c>
      <c r="B70" s="766"/>
      <c r="C70" s="420"/>
      <c r="D70" s="576" t="s">
        <v>1250</v>
      </c>
      <c r="E70" s="430"/>
      <c r="F70" s="762"/>
      <c r="G70" s="431"/>
      <c r="H70" s="999"/>
      <c r="I70" s="995"/>
      <c r="J70" s="759"/>
      <c r="K70" s="1524">
        <f>SUM(K68:K69)</f>
        <v>79</v>
      </c>
      <c r="L70" s="1524"/>
      <c r="M70" s="1524">
        <f>SUM(M68:M69)</f>
        <v>8894</v>
      </c>
      <c r="N70" s="759"/>
      <c r="O70" s="767">
        <f>SUM(I70:N70)</f>
        <v>8973</v>
      </c>
      <c r="P70" s="763"/>
      <c r="Q70" s="418"/>
      <c r="R70" s="418"/>
      <c r="S70" s="418"/>
      <c r="T70" s="418"/>
      <c r="U70" s="418"/>
      <c r="V70" s="418"/>
      <c r="W70" s="418"/>
      <c r="X70" s="418"/>
      <c r="Y70" s="418"/>
      <c r="Z70" s="418"/>
      <c r="AA70" s="418"/>
      <c r="AB70" s="418"/>
      <c r="AC70" s="418"/>
      <c r="AD70" s="418"/>
      <c r="AE70" s="418"/>
      <c r="AF70" s="418"/>
      <c r="AG70" s="418"/>
      <c r="AH70" s="418"/>
      <c r="AI70" s="418"/>
      <c r="AJ70" s="418"/>
      <c r="AK70" s="418"/>
      <c r="AL70" s="418"/>
      <c r="AM70" s="418"/>
      <c r="AN70" s="418"/>
      <c r="AO70" s="418"/>
      <c r="AP70" s="418"/>
      <c r="AQ70" s="418"/>
      <c r="AR70" s="418"/>
      <c r="AS70" s="418"/>
      <c r="AT70" s="418"/>
      <c r="AU70" s="418"/>
      <c r="AV70" s="418"/>
      <c r="AW70" s="418"/>
      <c r="AX70" s="418"/>
      <c r="AY70" s="418"/>
      <c r="AZ70" s="418"/>
      <c r="BA70" s="418"/>
      <c r="BB70" s="418"/>
      <c r="BC70" s="418"/>
      <c r="BD70" s="418"/>
      <c r="BE70" s="418"/>
      <c r="BF70" s="418"/>
      <c r="BG70" s="418"/>
      <c r="BH70" s="418"/>
      <c r="BI70" s="418"/>
      <c r="BJ70" s="418"/>
      <c r="BK70" s="418"/>
      <c r="BL70" s="418"/>
      <c r="BM70" s="418"/>
      <c r="BN70" s="418"/>
      <c r="BO70" s="418"/>
      <c r="BP70" s="418"/>
      <c r="BQ70" s="418"/>
      <c r="BR70" s="418"/>
      <c r="BS70" s="418"/>
      <c r="BT70" s="418"/>
      <c r="BU70" s="418"/>
      <c r="BV70" s="418"/>
      <c r="BW70" s="418"/>
      <c r="BX70" s="418"/>
      <c r="BY70" s="418"/>
      <c r="BZ70" s="418"/>
      <c r="CA70" s="418"/>
      <c r="CB70" s="418"/>
      <c r="CC70" s="418"/>
      <c r="CD70" s="418"/>
      <c r="CE70" s="418"/>
      <c r="CF70" s="418"/>
      <c r="CG70" s="418"/>
      <c r="CH70" s="418"/>
      <c r="CI70" s="418"/>
      <c r="CJ70" s="418"/>
      <c r="CK70" s="418"/>
      <c r="CL70" s="418"/>
      <c r="CM70" s="418"/>
      <c r="CN70" s="418"/>
      <c r="CO70" s="418"/>
      <c r="CP70" s="418"/>
      <c r="CQ70" s="418"/>
      <c r="CR70" s="418"/>
      <c r="CS70" s="418"/>
      <c r="CT70" s="418"/>
      <c r="CU70" s="418"/>
      <c r="CV70" s="418"/>
      <c r="CW70" s="418"/>
      <c r="CX70" s="418"/>
      <c r="CY70" s="418"/>
      <c r="CZ70" s="418"/>
      <c r="DA70" s="418"/>
      <c r="DB70" s="418"/>
      <c r="DC70" s="418"/>
      <c r="DD70" s="418"/>
      <c r="DE70" s="418"/>
      <c r="DF70" s="418"/>
      <c r="DG70" s="418"/>
      <c r="DH70" s="418"/>
      <c r="DI70" s="418"/>
      <c r="DJ70" s="418"/>
      <c r="DK70" s="418"/>
      <c r="DL70" s="418"/>
      <c r="DM70" s="418"/>
      <c r="DN70" s="418"/>
      <c r="DO70" s="418"/>
      <c r="DP70" s="418"/>
      <c r="DQ70" s="418"/>
      <c r="DR70" s="418"/>
      <c r="DS70" s="418"/>
      <c r="DT70" s="418"/>
      <c r="DU70" s="418"/>
      <c r="DV70" s="418"/>
      <c r="DW70" s="418"/>
      <c r="DX70" s="418"/>
      <c r="DY70" s="418"/>
      <c r="DZ70" s="418"/>
      <c r="EA70" s="418"/>
      <c r="EB70" s="418"/>
      <c r="EC70" s="418"/>
      <c r="ED70" s="418"/>
      <c r="EE70" s="418"/>
      <c r="EF70" s="418"/>
      <c r="EG70" s="418"/>
      <c r="EH70" s="418"/>
      <c r="EI70" s="418"/>
      <c r="EJ70" s="418"/>
      <c r="EK70" s="418"/>
      <c r="EL70" s="418"/>
      <c r="EM70" s="418"/>
      <c r="EN70" s="418"/>
      <c r="EO70" s="418"/>
      <c r="EP70" s="418"/>
      <c r="EQ70" s="418"/>
      <c r="ER70" s="418"/>
      <c r="ES70" s="418"/>
      <c r="ET70" s="418"/>
      <c r="EU70" s="418"/>
      <c r="EV70" s="418"/>
      <c r="EW70" s="418"/>
      <c r="EX70" s="418"/>
      <c r="EY70" s="418"/>
      <c r="EZ70" s="418"/>
      <c r="FA70" s="418"/>
      <c r="FB70" s="418"/>
      <c r="FC70" s="418"/>
      <c r="FD70" s="418"/>
      <c r="FE70" s="418"/>
      <c r="FF70" s="418"/>
      <c r="FG70" s="418"/>
      <c r="FH70" s="418"/>
      <c r="FI70" s="418"/>
      <c r="FJ70" s="418"/>
      <c r="FK70" s="418"/>
      <c r="FL70" s="418"/>
      <c r="FM70" s="418"/>
      <c r="FN70" s="418"/>
      <c r="FO70" s="418"/>
      <c r="FP70" s="418"/>
      <c r="FQ70" s="418"/>
      <c r="FR70" s="418"/>
      <c r="FS70" s="418"/>
      <c r="FT70" s="418"/>
      <c r="FU70" s="418"/>
      <c r="FV70" s="418"/>
      <c r="FW70" s="418"/>
      <c r="FX70" s="418"/>
      <c r="FY70" s="418"/>
      <c r="FZ70" s="418"/>
      <c r="GA70" s="418"/>
      <c r="GB70" s="418"/>
      <c r="GC70" s="418"/>
      <c r="GD70" s="418"/>
      <c r="GE70" s="418"/>
      <c r="GF70" s="418"/>
      <c r="GG70" s="418"/>
      <c r="GH70" s="418"/>
      <c r="GI70" s="418"/>
      <c r="GJ70" s="418"/>
      <c r="GK70" s="418"/>
      <c r="GL70" s="418"/>
      <c r="GM70" s="418"/>
      <c r="GN70" s="418"/>
      <c r="GO70" s="418"/>
      <c r="GP70" s="418"/>
      <c r="GQ70" s="418"/>
      <c r="GR70" s="418"/>
      <c r="GS70" s="418"/>
      <c r="GT70" s="418"/>
      <c r="GU70" s="418"/>
      <c r="GV70" s="418"/>
      <c r="GW70" s="418"/>
      <c r="GX70" s="418"/>
      <c r="GY70" s="418"/>
      <c r="GZ70" s="418"/>
      <c r="HA70" s="418"/>
      <c r="HB70" s="418"/>
      <c r="HC70" s="418"/>
      <c r="HD70" s="418"/>
      <c r="HE70" s="418"/>
      <c r="HF70" s="418"/>
      <c r="HG70" s="418"/>
      <c r="HH70" s="418"/>
      <c r="HI70" s="418"/>
      <c r="HJ70" s="418"/>
      <c r="HK70" s="418"/>
      <c r="HL70" s="418"/>
      <c r="HM70" s="418"/>
      <c r="HN70" s="418"/>
      <c r="HO70" s="418"/>
      <c r="HP70" s="418"/>
      <c r="HQ70" s="418"/>
      <c r="HR70" s="418"/>
      <c r="HS70" s="418"/>
      <c r="HT70" s="418"/>
      <c r="HU70" s="418"/>
      <c r="HV70" s="418"/>
      <c r="HW70" s="418"/>
      <c r="HX70" s="418"/>
      <c r="HY70" s="418"/>
      <c r="HZ70" s="418"/>
      <c r="IA70" s="418"/>
      <c r="IB70" s="418"/>
      <c r="IC70" s="418"/>
      <c r="ID70" s="418"/>
      <c r="IE70" s="418"/>
      <c r="IF70" s="418"/>
      <c r="IG70" s="418"/>
      <c r="IH70" s="418"/>
      <c r="II70" s="418"/>
      <c r="IJ70" s="418"/>
      <c r="IK70" s="418"/>
      <c r="IL70" s="418"/>
      <c r="IM70" s="418"/>
      <c r="IN70" s="418"/>
      <c r="IO70" s="418"/>
      <c r="IP70" s="418"/>
      <c r="IQ70" s="418"/>
      <c r="IR70" s="418"/>
      <c r="IS70" s="418"/>
      <c r="IT70" s="418"/>
      <c r="IU70" s="418"/>
      <c r="IV70" s="418"/>
      <c r="IW70" s="418"/>
      <c r="IX70" s="418"/>
      <c r="IY70" s="418"/>
      <c r="IZ70" s="418"/>
      <c r="JA70" s="418"/>
    </row>
    <row r="71" spans="1:261" s="758" customFormat="1" ht="22.5" customHeight="1" x14ac:dyDescent="0.35">
      <c r="A71" s="773">
        <v>62</v>
      </c>
      <c r="B71" s="766"/>
      <c r="C71" s="464">
        <v>13</v>
      </c>
      <c r="D71" s="770" t="s">
        <v>824</v>
      </c>
      <c r="E71" s="430"/>
      <c r="F71" s="762"/>
      <c r="G71" s="431"/>
      <c r="H71" s="999" t="s">
        <v>24</v>
      </c>
      <c r="I71" s="1017"/>
      <c r="J71" s="1013"/>
      <c r="K71" s="1013"/>
      <c r="L71" s="1013"/>
      <c r="M71" s="1013"/>
      <c r="N71" s="1013"/>
      <c r="O71" s="982"/>
      <c r="P71" s="763"/>
      <c r="Q71" s="418"/>
      <c r="R71" s="418"/>
      <c r="S71" s="418"/>
      <c r="T71" s="418"/>
      <c r="U71" s="418"/>
      <c r="V71" s="418"/>
      <c r="W71" s="418"/>
      <c r="X71" s="418"/>
      <c r="Y71" s="418"/>
      <c r="Z71" s="418"/>
      <c r="AA71" s="418"/>
      <c r="AB71" s="418"/>
      <c r="AC71" s="418"/>
      <c r="AD71" s="418"/>
      <c r="AE71" s="418"/>
      <c r="AF71" s="418"/>
      <c r="AG71" s="418"/>
      <c r="AH71" s="418"/>
      <c r="AI71" s="418"/>
      <c r="AJ71" s="418"/>
      <c r="AK71" s="418"/>
      <c r="AL71" s="418"/>
      <c r="AM71" s="418"/>
      <c r="AN71" s="418"/>
      <c r="AO71" s="418"/>
      <c r="AP71" s="418"/>
      <c r="AQ71" s="418"/>
      <c r="AR71" s="418"/>
      <c r="AS71" s="418"/>
      <c r="AT71" s="418"/>
      <c r="AU71" s="418"/>
      <c r="AV71" s="418"/>
      <c r="AW71" s="418"/>
      <c r="AX71" s="418"/>
      <c r="AY71" s="418"/>
      <c r="AZ71" s="418"/>
      <c r="BA71" s="418"/>
      <c r="BB71" s="418"/>
      <c r="BC71" s="418"/>
      <c r="BD71" s="418"/>
      <c r="BE71" s="418"/>
      <c r="BF71" s="418"/>
      <c r="BG71" s="418"/>
      <c r="BH71" s="418"/>
      <c r="BI71" s="418"/>
      <c r="BJ71" s="418"/>
      <c r="BK71" s="418"/>
      <c r="BL71" s="418"/>
      <c r="BM71" s="418"/>
      <c r="BN71" s="418"/>
      <c r="BO71" s="418"/>
      <c r="BP71" s="418"/>
      <c r="BQ71" s="418"/>
      <c r="BR71" s="418"/>
      <c r="BS71" s="418"/>
      <c r="BT71" s="418"/>
      <c r="BU71" s="418"/>
      <c r="BV71" s="418"/>
      <c r="BW71" s="418"/>
      <c r="BX71" s="418"/>
      <c r="BY71" s="418"/>
      <c r="BZ71" s="418"/>
      <c r="CA71" s="418"/>
      <c r="CB71" s="418"/>
      <c r="CC71" s="418"/>
      <c r="CD71" s="418"/>
      <c r="CE71" s="418"/>
      <c r="CF71" s="418"/>
      <c r="CG71" s="418"/>
      <c r="CH71" s="418"/>
      <c r="CI71" s="418"/>
      <c r="CJ71" s="418"/>
      <c r="CK71" s="418"/>
      <c r="CL71" s="418"/>
      <c r="CM71" s="418"/>
      <c r="CN71" s="418"/>
      <c r="CO71" s="418"/>
      <c r="CP71" s="418"/>
      <c r="CQ71" s="418"/>
      <c r="CR71" s="418"/>
      <c r="CS71" s="418"/>
      <c r="CT71" s="418"/>
      <c r="CU71" s="418"/>
      <c r="CV71" s="418"/>
      <c r="CW71" s="418"/>
      <c r="CX71" s="418"/>
      <c r="CY71" s="418"/>
      <c r="CZ71" s="418"/>
      <c r="DA71" s="418"/>
      <c r="DB71" s="418"/>
      <c r="DC71" s="418"/>
      <c r="DD71" s="418"/>
      <c r="DE71" s="418"/>
      <c r="DF71" s="418"/>
      <c r="DG71" s="418"/>
      <c r="DH71" s="418"/>
      <c r="DI71" s="418"/>
      <c r="DJ71" s="418"/>
      <c r="DK71" s="418"/>
      <c r="DL71" s="418"/>
      <c r="DM71" s="418"/>
      <c r="DN71" s="418"/>
      <c r="DO71" s="418"/>
      <c r="DP71" s="418"/>
      <c r="DQ71" s="418"/>
      <c r="DR71" s="418"/>
      <c r="DS71" s="418"/>
      <c r="DT71" s="418"/>
      <c r="DU71" s="418"/>
      <c r="DV71" s="418"/>
      <c r="DW71" s="418"/>
      <c r="DX71" s="418"/>
      <c r="DY71" s="418"/>
      <c r="DZ71" s="418"/>
      <c r="EA71" s="418"/>
      <c r="EB71" s="418"/>
      <c r="EC71" s="418"/>
      <c r="ED71" s="418"/>
      <c r="EE71" s="418"/>
      <c r="EF71" s="418"/>
      <c r="EG71" s="418"/>
      <c r="EH71" s="418"/>
      <c r="EI71" s="418"/>
      <c r="EJ71" s="418"/>
      <c r="EK71" s="418"/>
      <c r="EL71" s="418"/>
      <c r="EM71" s="418"/>
      <c r="EN71" s="418"/>
      <c r="EO71" s="418"/>
      <c r="EP71" s="418"/>
      <c r="EQ71" s="418"/>
      <c r="ER71" s="418"/>
      <c r="ES71" s="418"/>
      <c r="ET71" s="418"/>
      <c r="EU71" s="418"/>
      <c r="EV71" s="418"/>
      <c r="EW71" s="418"/>
      <c r="EX71" s="418"/>
      <c r="EY71" s="418"/>
      <c r="EZ71" s="418"/>
      <c r="FA71" s="418"/>
      <c r="FB71" s="418"/>
      <c r="FC71" s="418"/>
      <c r="FD71" s="418"/>
      <c r="FE71" s="418"/>
      <c r="FF71" s="418"/>
      <c r="FG71" s="418"/>
      <c r="FH71" s="418"/>
      <c r="FI71" s="418"/>
      <c r="FJ71" s="418"/>
      <c r="FK71" s="418"/>
      <c r="FL71" s="418"/>
      <c r="FM71" s="418"/>
      <c r="FN71" s="418"/>
      <c r="FO71" s="418"/>
      <c r="FP71" s="418"/>
      <c r="FQ71" s="418"/>
      <c r="FR71" s="418"/>
      <c r="FS71" s="418"/>
      <c r="FT71" s="418"/>
      <c r="FU71" s="418"/>
      <c r="FV71" s="418"/>
      <c r="FW71" s="418"/>
      <c r="FX71" s="418"/>
      <c r="FY71" s="418"/>
      <c r="FZ71" s="418"/>
      <c r="GA71" s="418"/>
      <c r="GB71" s="418"/>
      <c r="GC71" s="418"/>
      <c r="GD71" s="418"/>
      <c r="GE71" s="418"/>
      <c r="GF71" s="418"/>
      <c r="GG71" s="418"/>
      <c r="GH71" s="418"/>
      <c r="GI71" s="418"/>
      <c r="GJ71" s="418"/>
      <c r="GK71" s="418"/>
      <c r="GL71" s="418"/>
      <c r="GM71" s="418"/>
      <c r="GN71" s="418"/>
      <c r="GO71" s="418"/>
      <c r="GP71" s="418"/>
      <c r="GQ71" s="418"/>
      <c r="GR71" s="418"/>
      <c r="GS71" s="418"/>
      <c r="GT71" s="418"/>
      <c r="GU71" s="418"/>
      <c r="GV71" s="418"/>
      <c r="GW71" s="418"/>
      <c r="GX71" s="418"/>
      <c r="GY71" s="418"/>
      <c r="GZ71" s="418"/>
      <c r="HA71" s="418"/>
      <c r="HB71" s="418"/>
      <c r="HC71" s="418"/>
      <c r="HD71" s="418"/>
      <c r="HE71" s="418"/>
      <c r="HF71" s="418"/>
      <c r="HG71" s="418"/>
      <c r="HH71" s="418"/>
      <c r="HI71" s="418"/>
      <c r="HJ71" s="418"/>
      <c r="HK71" s="418"/>
      <c r="HL71" s="418"/>
      <c r="HM71" s="418"/>
      <c r="HN71" s="418"/>
      <c r="HO71" s="418"/>
      <c r="HP71" s="418"/>
      <c r="HQ71" s="418"/>
      <c r="HR71" s="418"/>
      <c r="HS71" s="418"/>
      <c r="HT71" s="418"/>
      <c r="HU71" s="418"/>
      <c r="HV71" s="418"/>
      <c r="HW71" s="418"/>
      <c r="HX71" s="418"/>
      <c r="HY71" s="418"/>
      <c r="HZ71" s="418"/>
      <c r="IA71" s="418"/>
      <c r="IB71" s="418"/>
      <c r="IC71" s="418"/>
      <c r="ID71" s="418"/>
      <c r="IE71" s="418"/>
      <c r="IF71" s="418"/>
      <c r="IG71" s="418"/>
      <c r="IH71" s="418"/>
      <c r="II71" s="418"/>
      <c r="IJ71" s="418"/>
      <c r="IK71" s="418"/>
      <c r="IL71" s="418"/>
      <c r="IM71" s="418"/>
      <c r="IN71" s="418"/>
      <c r="IO71" s="418"/>
      <c r="IP71" s="418"/>
      <c r="IQ71" s="418"/>
      <c r="IR71" s="418"/>
      <c r="IS71" s="418"/>
      <c r="IT71" s="418"/>
      <c r="IU71" s="418"/>
      <c r="IV71" s="418"/>
      <c r="IW71" s="418"/>
      <c r="IX71" s="418"/>
      <c r="IY71" s="418"/>
      <c r="IZ71" s="418"/>
      <c r="JA71" s="418"/>
    </row>
    <row r="72" spans="1:261" s="758" customFormat="1" ht="18" customHeight="1" x14ac:dyDescent="0.35">
      <c r="A72" s="773">
        <v>63</v>
      </c>
      <c r="B72" s="766"/>
      <c r="C72" s="420"/>
      <c r="D72" s="992" t="s">
        <v>308</v>
      </c>
      <c r="E72" s="430">
        <f>F72+G72+O75+P72</f>
        <v>2000</v>
      </c>
      <c r="F72" s="762"/>
      <c r="G72" s="431"/>
      <c r="H72" s="999"/>
      <c r="I72" s="1017"/>
      <c r="J72" s="1013"/>
      <c r="K72" s="1013"/>
      <c r="L72" s="1013"/>
      <c r="M72" s="1013">
        <v>2000</v>
      </c>
      <c r="N72" s="1013"/>
      <c r="O72" s="982">
        <f>SUM(I72:N72)</f>
        <v>2000</v>
      </c>
      <c r="P72" s="763"/>
      <c r="Q72" s="418"/>
      <c r="R72" s="418"/>
      <c r="S72" s="418"/>
      <c r="T72" s="418"/>
      <c r="U72" s="418"/>
      <c r="V72" s="418"/>
      <c r="W72" s="418"/>
      <c r="X72" s="418"/>
      <c r="Y72" s="418"/>
      <c r="Z72" s="418"/>
      <c r="AA72" s="418"/>
      <c r="AB72" s="418"/>
      <c r="AC72" s="418"/>
      <c r="AD72" s="418"/>
      <c r="AE72" s="418"/>
      <c r="AF72" s="418"/>
      <c r="AG72" s="418"/>
      <c r="AH72" s="418"/>
      <c r="AI72" s="418"/>
      <c r="AJ72" s="418"/>
      <c r="AK72" s="418"/>
      <c r="AL72" s="418"/>
      <c r="AM72" s="418"/>
      <c r="AN72" s="418"/>
      <c r="AO72" s="418"/>
      <c r="AP72" s="418"/>
      <c r="AQ72" s="418"/>
      <c r="AR72" s="418"/>
      <c r="AS72" s="418"/>
      <c r="AT72" s="418"/>
      <c r="AU72" s="418"/>
      <c r="AV72" s="418"/>
      <c r="AW72" s="418"/>
      <c r="AX72" s="418"/>
      <c r="AY72" s="418"/>
      <c r="AZ72" s="418"/>
      <c r="BA72" s="418"/>
      <c r="BB72" s="418"/>
      <c r="BC72" s="418"/>
      <c r="BD72" s="418"/>
      <c r="BE72" s="418"/>
      <c r="BF72" s="418"/>
      <c r="BG72" s="418"/>
      <c r="BH72" s="418"/>
      <c r="BI72" s="418"/>
      <c r="BJ72" s="418"/>
      <c r="BK72" s="418"/>
      <c r="BL72" s="418"/>
      <c r="BM72" s="418"/>
      <c r="BN72" s="418"/>
      <c r="BO72" s="418"/>
      <c r="BP72" s="418"/>
      <c r="BQ72" s="418"/>
      <c r="BR72" s="418"/>
      <c r="BS72" s="418"/>
      <c r="BT72" s="418"/>
      <c r="BU72" s="418"/>
      <c r="BV72" s="418"/>
      <c r="BW72" s="418"/>
      <c r="BX72" s="418"/>
      <c r="BY72" s="418"/>
      <c r="BZ72" s="418"/>
      <c r="CA72" s="418"/>
      <c r="CB72" s="418"/>
      <c r="CC72" s="418"/>
      <c r="CD72" s="418"/>
      <c r="CE72" s="418"/>
      <c r="CF72" s="418"/>
      <c r="CG72" s="418"/>
      <c r="CH72" s="418"/>
      <c r="CI72" s="418"/>
      <c r="CJ72" s="418"/>
      <c r="CK72" s="418"/>
      <c r="CL72" s="418"/>
      <c r="CM72" s="418"/>
      <c r="CN72" s="418"/>
      <c r="CO72" s="418"/>
      <c r="CP72" s="418"/>
      <c r="CQ72" s="418"/>
      <c r="CR72" s="418"/>
      <c r="CS72" s="418"/>
      <c r="CT72" s="418"/>
      <c r="CU72" s="418"/>
      <c r="CV72" s="418"/>
      <c r="CW72" s="418"/>
      <c r="CX72" s="418"/>
      <c r="CY72" s="418"/>
      <c r="CZ72" s="418"/>
      <c r="DA72" s="418"/>
      <c r="DB72" s="418"/>
      <c r="DC72" s="418"/>
      <c r="DD72" s="418"/>
      <c r="DE72" s="418"/>
      <c r="DF72" s="418"/>
      <c r="DG72" s="418"/>
      <c r="DH72" s="418"/>
      <c r="DI72" s="418"/>
      <c r="DJ72" s="418"/>
      <c r="DK72" s="418"/>
      <c r="DL72" s="418"/>
      <c r="DM72" s="418"/>
      <c r="DN72" s="418"/>
      <c r="DO72" s="418"/>
      <c r="DP72" s="418"/>
      <c r="DQ72" s="418"/>
      <c r="DR72" s="418"/>
      <c r="DS72" s="418"/>
      <c r="DT72" s="418"/>
      <c r="DU72" s="418"/>
      <c r="DV72" s="418"/>
      <c r="DW72" s="418"/>
      <c r="DX72" s="418"/>
      <c r="DY72" s="418"/>
      <c r="DZ72" s="418"/>
      <c r="EA72" s="418"/>
      <c r="EB72" s="418"/>
      <c r="EC72" s="418"/>
      <c r="ED72" s="418"/>
      <c r="EE72" s="418"/>
      <c r="EF72" s="418"/>
      <c r="EG72" s="418"/>
      <c r="EH72" s="418"/>
      <c r="EI72" s="418"/>
      <c r="EJ72" s="418"/>
      <c r="EK72" s="418"/>
      <c r="EL72" s="418"/>
      <c r="EM72" s="418"/>
      <c r="EN72" s="418"/>
      <c r="EO72" s="418"/>
      <c r="EP72" s="418"/>
      <c r="EQ72" s="418"/>
      <c r="ER72" s="418"/>
      <c r="ES72" s="418"/>
      <c r="ET72" s="418"/>
      <c r="EU72" s="418"/>
      <c r="EV72" s="418"/>
      <c r="EW72" s="418"/>
      <c r="EX72" s="418"/>
      <c r="EY72" s="418"/>
      <c r="EZ72" s="418"/>
      <c r="FA72" s="418"/>
      <c r="FB72" s="418"/>
      <c r="FC72" s="418"/>
      <c r="FD72" s="418"/>
      <c r="FE72" s="418"/>
      <c r="FF72" s="418"/>
      <c r="FG72" s="418"/>
      <c r="FH72" s="418"/>
      <c r="FI72" s="418"/>
      <c r="FJ72" s="418"/>
      <c r="FK72" s="418"/>
      <c r="FL72" s="418"/>
      <c r="FM72" s="418"/>
      <c r="FN72" s="418"/>
      <c r="FO72" s="418"/>
      <c r="FP72" s="418"/>
      <c r="FQ72" s="418"/>
      <c r="FR72" s="418"/>
      <c r="FS72" s="418"/>
      <c r="FT72" s="418"/>
      <c r="FU72" s="418"/>
      <c r="FV72" s="418"/>
      <c r="FW72" s="418"/>
      <c r="FX72" s="418"/>
      <c r="FY72" s="418"/>
      <c r="FZ72" s="418"/>
      <c r="GA72" s="418"/>
      <c r="GB72" s="418"/>
      <c r="GC72" s="418"/>
      <c r="GD72" s="418"/>
      <c r="GE72" s="418"/>
      <c r="GF72" s="418"/>
      <c r="GG72" s="418"/>
      <c r="GH72" s="418"/>
      <c r="GI72" s="418"/>
      <c r="GJ72" s="418"/>
      <c r="GK72" s="418"/>
      <c r="GL72" s="418"/>
      <c r="GM72" s="418"/>
      <c r="GN72" s="418"/>
      <c r="GO72" s="418"/>
      <c r="GP72" s="418"/>
      <c r="GQ72" s="418"/>
      <c r="GR72" s="418"/>
      <c r="GS72" s="418"/>
      <c r="GT72" s="418"/>
      <c r="GU72" s="418"/>
      <c r="GV72" s="418"/>
      <c r="GW72" s="418"/>
      <c r="GX72" s="418"/>
      <c r="GY72" s="418"/>
      <c r="GZ72" s="418"/>
      <c r="HA72" s="418"/>
      <c r="HB72" s="418"/>
      <c r="HC72" s="418"/>
      <c r="HD72" s="418"/>
      <c r="HE72" s="418"/>
      <c r="HF72" s="418"/>
      <c r="HG72" s="418"/>
      <c r="HH72" s="418"/>
      <c r="HI72" s="418"/>
      <c r="HJ72" s="418"/>
      <c r="HK72" s="418"/>
      <c r="HL72" s="418"/>
      <c r="HM72" s="418"/>
      <c r="HN72" s="418"/>
      <c r="HO72" s="418"/>
      <c r="HP72" s="418"/>
      <c r="HQ72" s="418"/>
      <c r="HR72" s="418"/>
      <c r="HS72" s="418"/>
      <c r="HT72" s="418"/>
      <c r="HU72" s="418"/>
      <c r="HV72" s="418"/>
      <c r="HW72" s="418"/>
      <c r="HX72" s="418"/>
      <c r="HY72" s="418"/>
      <c r="HZ72" s="418"/>
      <c r="IA72" s="418"/>
      <c r="IB72" s="418"/>
      <c r="IC72" s="418"/>
      <c r="ID72" s="418"/>
      <c r="IE72" s="418"/>
      <c r="IF72" s="418"/>
      <c r="IG72" s="418"/>
      <c r="IH72" s="418"/>
      <c r="II72" s="418"/>
      <c r="IJ72" s="418"/>
      <c r="IK72" s="418"/>
      <c r="IL72" s="418"/>
      <c r="IM72" s="418"/>
      <c r="IN72" s="418"/>
      <c r="IO72" s="418"/>
      <c r="IP72" s="418"/>
      <c r="IQ72" s="418"/>
      <c r="IR72" s="418"/>
      <c r="IS72" s="418"/>
      <c r="IT72" s="418"/>
      <c r="IU72" s="418"/>
      <c r="IV72" s="418"/>
      <c r="IW72" s="418"/>
      <c r="IX72" s="418"/>
      <c r="IY72" s="418"/>
      <c r="IZ72" s="418"/>
      <c r="JA72" s="418"/>
    </row>
    <row r="73" spans="1:261" s="758" customFormat="1" ht="18" customHeight="1" x14ac:dyDescent="0.35">
      <c r="A73" s="773">
        <v>64</v>
      </c>
      <c r="B73" s="766"/>
      <c r="C73" s="420"/>
      <c r="D73" s="576" t="s">
        <v>1158</v>
      </c>
      <c r="E73" s="430"/>
      <c r="F73" s="762"/>
      <c r="G73" s="431"/>
      <c r="H73" s="999"/>
      <c r="I73" s="1017"/>
      <c r="J73" s="1013"/>
      <c r="K73" s="1013"/>
      <c r="L73" s="1013"/>
      <c r="M73" s="1524">
        <v>2000</v>
      </c>
      <c r="N73" s="759"/>
      <c r="O73" s="767">
        <f>SUM(I73:N73)</f>
        <v>2000</v>
      </c>
      <c r="P73" s="763"/>
      <c r="Q73" s="418"/>
      <c r="R73" s="418"/>
      <c r="S73" s="418"/>
      <c r="T73" s="418"/>
      <c r="U73" s="418"/>
      <c r="V73" s="418"/>
      <c r="W73" s="418"/>
      <c r="X73" s="418"/>
      <c r="Y73" s="418"/>
      <c r="Z73" s="418"/>
      <c r="AA73" s="418"/>
      <c r="AB73" s="418"/>
      <c r="AC73" s="418"/>
      <c r="AD73" s="418"/>
      <c r="AE73" s="418"/>
      <c r="AF73" s="418"/>
      <c r="AG73" s="418"/>
      <c r="AH73" s="418"/>
      <c r="AI73" s="418"/>
      <c r="AJ73" s="418"/>
      <c r="AK73" s="418"/>
      <c r="AL73" s="418"/>
      <c r="AM73" s="418"/>
      <c r="AN73" s="418"/>
      <c r="AO73" s="418"/>
      <c r="AP73" s="418"/>
      <c r="AQ73" s="418"/>
      <c r="AR73" s="418"/>
      <c r="AS73" s="418"/>
      <c r="AT73" s="418"/>
      <c r="AU73" s="418"/>
      <c r="AV73" s="418"/>
      <c r="AW73" s="418"/>
      <c r="AX73" s="418"/>
      <c r="AY73" s="418"/>
      <c r="AZ73" s="418"/>
      <c r="BA73" s="418"/>
      <c r="BB73" s="418"/>
      <c r="BC73" s="418"/>
      <c r="BD73" s="418"/>
      <c r="BE73" s="418"/>
      <c r="BF73" s="418"/>
      <c r="BG73" s="418"/>
      <c r="BH73" s="418"/>
      <c r="BI73" s="418"/>
      <c r="BJ73" s="418"/>
      <c r="BK73" s="418"/>
      <c r="BL73" s="418"/>
      <c r="BM73" s="418"/>
      <c r="BN73" s="418"/>
      <c r="BO73" s="418"/>
      <c r="BP73" s="418"/>
      <c r="BQ73" s="418"/>
      <c r="BR73" s="418"/>
      <c r="BS73" s="418"/>
      <c r="BT73" s="418"/>
      <c r="BU73" s="418"/>
      <c r="BV73" s="418"/>
      <c r="BW73" s="418"/>
      <c r="BX73" s="418"/>
      <c r="BY73" s="418"/>
      <c r="BZ73" s="418"/>
      <c r="CA73" s="418"/>
      <c r="CB73" s="418"/>
      <c r="CC73" s="418"/>
      <c r="CD73" s="418"/>
      <c r="CE73" s="418"/>
      <c r="CF73" s="418"/>
      <c r="CG73" s="418"/>
      <c r="CH73" s="418"/>
      <c r="CI73" s="418"/>
      <c r="CJ73" s="418"/>
      <c r="CK73" s="418"/>
      <c r="CL73" s="418"/>
      <c r="CM73" s="418"/>
      <c r="CN73" s="418"/>
      <c r="CO73" s="418"/>
      <c r="CP73" s="418"/>
      <c r="CQ73" s="418"/>
      <c r="CR73" s="418"/>
      <c r="CS73" s="418"/>
      <c r="CT73" s="418"/>
      <c r="CU73" s="418"/>
      <c r="CV73" s="418"/>
      <c r="CW73" s="418"/>
      <c r="CX73" s="418"/>
      <c r="CY73" s="418"/>
      <c r="CZ73" s="418"/>
      <c r="DA73" s="418"/>
      <c r="DB73" s="418"/>
      <c r="DC73" s="418"/>
      <c r="DD73" s="418"/>
      <c r="DE73" s="418"/>
      <c r="DF73" s="418"/>
      <c r="DG73" s="418"/>
      <c r="DH73" s="418"/>
      <c r="DI73" s="418"/>
      <c r="DJ73" s="418"/>
      <c r="DK73" s="418"/>
      <c r="DL73" s="418"/>
      <c r="DM73" s="418"/>
      <c r="DN73" s="418"/>
      <c r="DO73" s="418"/>
      <c r="DP73" s="418"/>
      <c r="DQ73" s="418"/>
      <c r="DR73" s="418"/>
      <c r="DS73" s="418"/>
      <c r="DT73" s="418"/>
      <c r="DU73" s="418"/>
      <c r="DV73" s="418"/>
      <c r="DW73" s="418"/>
      <c r="DX73" s="418"/>
      <c r="DY73" s="418"/>
      <c r="DZ73" s="418"/>
      <c r="EA73" s="418"/>
      <c r="EB73" s="418"/>
      <c r="EC73" s="418"/>
      <c r="ED73" s="418"/>
      <c r="EE73" s="418"/>
      <c r="EF73" s="418"/>
      <c r="EG73" s="418"/>
      <c r="EH73" s="418"/>
      <c r="EI73" s="418"/>
      <c r="EJ73" s="418"/>
      <c r="EK73" s="418"/>
      <c r="EL73" s="418"/>
      <c r="EM73" s="418"/>
      <c r="EN73" s="418"/>
      <c r="EO73" s="418"/>
      <c r="EP73" s="418"/>
      <c r="EQ73" s="418"/>
      <c r="ER73" s="418"/>
      <c r="ES73" s="418"/>
      <c r="ET73" s="418"/>
      <c r="EU73" s="418"/>
      <c r="EV73" s="418"/>
      <c r="EW73" s="418"/>
      <c r="EX73" s="418"/>
      <c r="EY73" s="418"/>
      <c r="EZ73" s="418"/>
      <c r="FA73" s="418"/>
      <c r="FB73" s="418"/>
      <c r="FC73" s="418"/>
      <c r="FD73" s="418"/>
      <c r="FE73" s="418"/>
      <c r="FF73" s="418"/>
      <c r="FG73" s="418"/>
      <c r="FH73" s="418"/>
      <c r="FI73" s="418"/>
      <c r="FJ73" s="418"/>
      <c r="FK73" s="418"/>
      <c r="FL73" s="418"/>
      <c r="FM73" s="418"/>
      <c r="FN73" s="418"/>
      <c r="FO73" s="418"/>
      <c r="FP73" s="418"/>
      <c r="FQ73" s="418"/>
      <c r="FR73" s="418"/>
      <c r="FS73" s="418"/>
      <c r="FT73" s="418"/>
      <c r="FU73" s="418"/>
      <c r="FV73" s="418"/>
      <c r="FW73" s="418"/>
      <c r="FX73" s="418"/>
      <c r="FY73" s="418"/>
      <c r="FZ73" s="418"/>
      <c r="GA73" s="418"/>
      <c r="GB73" s="418"/>
      <c r="GC73" s="418"/>
      <c r="GD73" s="418"/>
      <c r="GE73" s="418"/>
      <c r="GF73" s="418"/>
      <c r="GG73" s="418"/>
      <c r="GH73" s="418"/>
      <c r="GI73" s="418"/>
      <c r="GJ73" s="418"/>
      <c r="GK73" s="418"/>
      <c r="GL73" s="418"/>
      <c r="GM73" s="418"/>
      <c r="GN73" s="418"/>
      <c r="GO73" s="418"/>
      <c r="GP73" s="418"/>
      <c r="GQ73" s="418"/>
      <c r="GR73" s="418"/>
      <c r="GS73" s="418"/>
      <c r="GT73" s="418"/>
      <c r="GU73" s="418"/>
      <c r="GV73" s="418"/>
      <c r="GW73" s="418"/>
      <c r="GX73" s="418"/>
      <c r="GY73" s="418"/>
      <c r="GZ73" s="418"/>
      <c r="HA73" s="418"/>
      <c r="HB73" s="418"/>
      <c r="HC73" s="418"/>
      <c r="HD73" s="418"/>
      <c r="HE73" s="418"/>
      <c r="HF73" s="418"/>
      <c r="HG73" s="418"/>
      <c r="HH73" s="418"/>
      <c r="HI73" s="418"/>
      <c r="HJ73" s="418"/>
      <c r="HK73" s="418"/>
      <c r="HL73" s="418"/>
      <c r="HM73" s="418"/>
      <c r="HN73" s="418"/>
      <c r="HO73" s="418"/>
      <c r="HP73" s="418"/>
      <c r="HQ73" s="418"/>
      <c r="HR73" s="418"/>
      <c r="HS73" s="418"/>
      <c r="HT73" s="418"/>
      <c r="HU73" s="418"/>
      <c r="HV73" s="418"/>
      <c r="HW73" s="418"/>
      <c r="HX73" s="418"/>
      <c r="HY73" s="418"/>
      <c r="HZ73" s="418"/>
      <c r="IA73" s="418"/>
      <c r="IB73" s="418"/>
      <c r="IC73" s="418"/>
      <c r="ID73" s="418"/>
      <c r="IE73" s="418"/>
      <c r="IF73" s="418"/>
      <c r="IG73" s="418"/>
      <c r="IH73" s="418"/>
      <c r="II73" s="418"/>
      <c r="IJ73" s="418"/>
      <c r="IK73" s="418"/>
      <c r="IL73" s="418"/>
      <c r="IM73" s="418"/>
      <c r="IN73" s="418"/>
      <c r="IO73" s="418"/>
      <c r="IP73" s="418"/>
      <c r="IQ73" s="418"/>
      <c r="IR73" s="418"/>
      <c r="IS73" s="418"/>
      <c r="IT73" s="418"/>
      <c r="IU73" s="418"/>
      <c r="IV73" s="418"/>
      <c r="IW73" s="418"/>
      <c r="IX73" s="418"/>
      <c r="IY73" s="418"/>
      <c r="IZ73" s="418"/>
      <c r="JA73" s="418"/>
    </row>
    <row r="74" spans="1:261" s="758" customFormat="1" ht="18" customHeight="1" x14ac:dyDescent="0.35">
      <c r="A74" s="773">
        <v>65</v>
      </c>
      <c r="B74" s="766"/>
      <c r="C74" s="420"/>
      <c r="D74" s="1318" t="s">
        <v>947</v>
      </c>
      <c r="E74" s="430"/>
      <c r="F74" s="762"/>
      <c r="G74" s="431"/>
      <c r="H74" s="999"/>
      <c r="I74" s="759"/>
      <c r="J74" s="759"/>
      <c r="K74" s="759"/>
      <c r="L74" s="759"/>
      <c r="M74" s="759"/>
      <c r="N74" s="759"/>
      <c r="O74" s="767">
        <f>SUM(I74:N74)</f>
        <v>0</v>
      </c>
      <c r="P74" s="763"/>
      <c r="Q74" s="418"/>
      <c r="R74" s="418"/>
      <c r="S74" s="418"/>
      <c r="T74" s="418"/>
      <c r="U74" s="418"/>
      <c r="V74" s="418"/>
      <c r="W74" s="418"/>
      <c r="X74" s="418"/>
      <c r="Y74" s="418"/>
      <c r="Z74" s="418"/>
      <c r="AA74" s="418"/>
      <c r="AB74" s="418"/>
      <c r="AC74" s="418"/>
      <c r="AD74" s="418"/>
      <c r="AE74" s="418"/>
      <c r="AF74" s="418"/>
      <c r="AG74" s="418"/>
      <c r="AH74" s="418"/>
      <c r="AI74" s="418"/>
      <c r="AJ74" s="418"/>
      <c r="AK74" s="418"/>
      <c r="AL74" s="418"/>
      <c r="AM74" s="418"/>
      <c r="AN74" s="418"/>
      <c r="AO74" s="418"/>
      <c r="AP74" s="418"/>
      <c r="AQ74" s="418"/>
      <c r="AR74" s="418"/>
      <c r="AS74" s="418"/>
      <c r="AT74" s="418"/>
      <c r="AU74" s="418"/>
      <c r="AV74" s="418"/>
      <c r="AW74" s="418"/>
      <c r="AX74" s="418"/>
      <c r="AY74" s="418"/>
      <c r="AZ74" s="418"/>
      <c r="BA74" s="418"/>
      <c r="BB74" s="418"/>
      <c r="BC74" s="418"/>
      <c r="BD74" s="418"/>
      <c r="BE74" s="418"/>
      <c r="BF74" s="418"/>
      <c r="BG74" s="418"/>
      <c r="BH74" s="418"/>
      <c r="BI74" s="418"/>
      <c r="BJ74" s="418"/>
      <c r="BK74" s="418"/>
      <c r="BL74" s="418"/>
      <c r="BM74" s="418"/>
      <c r="BN74" s="418"/>
      <c r="BO74" s="418"/>
      <c r="BP74" s="418"/>
      <c r="BQ74" s="418"/>
      <c r="BR74" s="418"/>
      <c r="BS74" s="418"/>
      <c r="BT74" s="418"/>
      <c r="BU74" s="418"/>
      <c r="BV74" s="418"/>
      <c r="BW74" s="418"/>
      <c r="BX74" s="418"/>
      <c r="BY74" s="418"/>
      <c r="BZ74" s="418"/>
      <c r="CA74" s="418"/>
      <c r="CB74" s="418"/>
      <c r="CC74" s="418"/>
      <c r="CD74" s="418"/>
      <c r="CE74" s="418"/>
      <c r="CF74" s="418"/>
      <c r="CG74" s="418"/>
      <c r="CH74" s="418"/>
      <c r="CI74" s="418"/>
      <c r="CJ74" s="418"/>
      <c r="CK74" s="418"/>
      <c r="CL74" s="418"/>
      <c r="CM74" s="418"/>
      <c r="CN74" s="418"/>
      <c r="CO74" s="418"/>
      <c r="CP74" s="418"/>
      <c r="CQ74" s="418"/>
      <c r="CR74" s="418"/>
      <c r="CS74" s="418"/>
      <c r="CT74" s="418"/>
      <c r="CU74" s="418"/>
      <c r="CV74" s="418"/>
      <c r="CW74" s="418"/>
      <c r="CX74" s="418"/>
      <c r="CY74" s="418"/>
      <c r="CZ74" s="418"/>
      <c r="DA74" s="418"/>
      <c r="DB74" s="418"/>
      <c r="DC74" s="418"/>
      <c r="DD74" s="418"/>
      <c r="DE74" s="418"/>
      <c r="DF74" s="418"/>
      <c r="DG74" s="418"/>
      <c r="DH74" s="418"/>
      <c r="DI74" s="418"/>
      <c r="DJ74" s="418"/>
      <c r="DK74" s="418"/>
      <c r="DL74" s="418"/>
      <c r="DM74" s="418"/>
      <c r="DN74" s="418"/>
      <c r="DO74" s="418"/>
      <c r="DP74" s="418"/>
      <c r="DQ74" s="418"/>
      <c r="DR74" s="418"/>
      <c r="DS74" s="418"/>
      <c r="DT74" s="418"/>
      <c r="DU74" s="418"/>
      <c r="DV74" s="418"/>
      <c r="DW74" s="418"/>
      <c r="DX74" s="418"/>
      <c r="DY74" s="418"/>
      <c r="DZ74" s="418"/>
      <c r="EA74" s="418"/>
      <c r="EB74" s="418"/>
      <c r="EC74" s="418"/>
      <c r="ED74" s="418"/>
      <c r="EE74" s="418"/>
      <c r="EF74" s="418"/>
      <c r="EG74" s="418"/>
      <c r="EH74" s="418"/>
      <c r="EI74" s="418"/>
      <c r="EJ74" s="418"/>
      <c r="EK74" s="418"/>
      <c r="EL74" s="418"/>
      <c r="EM74" s="418"/>
      <c r="EN74" s="418"/>
      <c r="EO74" s="418"/>
      <c r="EP74" s="418"/>
      <c r="EQ74" s="418"/>
      <c r="ER74" s="418"/>
      <c r="ES74" s="418"/>
      <c r="ET74" s="418"/>
      <c r="EU74" s="418"/>
      <c r="EV74" s="418"/>
      <c r="EW74" s="418"/>
      <c r="EX74" s="418"/>
      <c r="EY74" s="418"/>
      <c r="EZ74" s="418"/>
      <c r="FA74" s="418"/>
      <c r="FB74" s="418"/>
      <c r="FC74" s="418"/>
      <c r="FD74" s="418"/>
      <c r="FE74" s="418"/>
      <c r="FF74" s="418"/>
      <c r="FG74" s="418"/>
      <c r="FH74" s="418"/>
      <c r="FI74" s="418"/>
      <c r="FJ74" s="418"/>
      <c r="FK74" s="418"/>
      <c r="FL74" s="418"/>
      <c r="FM74" s="418"/>
      <c r="FN74" s="418"/>
      <c r="FO74" s="418"/>
      <c r="FP74" s="418"/>
      <c r="FQ74" s="418"/>
      <c r="FR74" s="418"/>
      <c r="FS74" s="418"/>
      <c r="FT74" s="418"/>
      <c r="FU74" s="418"/>
      <c r="FV74" s="418"/>
      <c r="FW74" s="418"/>
      <c r="FX74" s="418"/>
      <c r="FY74" s="418"/>
      <c r="FZ74" s="418"/>
      <c r="GA74" s="418"/>
      <c r="GB74" s="418"/>
      <c r="GC74" s="418"/>
      <c r="GD74" s="418"/>
      <c r="GE74" s="418"/>
      <c r="GF74" s="418"/>
      <c r="GG74" s="418"/>
      <c r="GH74" s="418"/>
      <c r="GI74" s="418"/>
      <c r="GJ74" s="418"/>
      <c r="GK74" s="418"/>
      <c r="GL74" s="418"/>
      <c r="GM74" s="418"/>
      <c r="GN74" s="418"/>
      <c r="GO74" s="418"/>
      <c r="GP74" s="418"/>
      <c r="GQ74" s="418"/>
      <c r="GR74" s="418"/>
      <c r="GS74" s="418"/>
      <c r="GT74" s="418"/>
      <c r="GU74" s="418"/>
      <c r="GV74" s="418"/>
      <c r="GW74" s="418"/>
      <c r="GX74" s="418"/>
      <c r="GY74" s="418"/>
      <c r="GZ74" s="418"/>
      <c r="HA74" s="418"/>
      <c r="HB74" s="418"/>
      <c r="HC74" s="418"/>
      <c r="HD74" s="418"/>
      <c r="HE74" s="418"/>
      <c r="HF74" s="418"/>
      <c r="HG74" s="418"/>
      <c r="HH74" s="418"/>
      <c r="HI74" s="418"/>
      <c r="HJ74" s="418"/>
      <c r="HK74" s="418"/>
      <c r="HL74" s="418"/>
      <c r="HM74" s="418"/>
      <c r="HN74" s="418"/>
      <c r="HO74" s="418"/>
      <c r="HP74" s="418"/>
      <c r="HQ74" s="418"/>
      <c r="HR74" s="418"/>
      <c r="HS74" s="418"/>
      <c r="HT74" s="418"/>
      <c r="HU74" s="418"/>
      <c r="HV74" s="418"/>
      <c r="HW74" s="418"/>
      <c r="HX74" s="418"/>
      <c r="HY74" s="418"/>
      <c r="HZ74" s="418"/>
      <c r="IA74" s="418"/>
      <c r="IB74" s="418"/>
      <c r="IC74" s="418"/>
      <c r="ID74" s="418"/>
      <c r="IE74" s="418"/>
      <c r="IF74" s="418"/>
      <c r="IG74" s="418"/>
      <c r="IH74" s="418"/>
      <c r="II74" s="418"/>
      <c r="IJ74" s="418"/>
      <c r="IK74" s="418"/>
      <c r="IL74" s="418"/>
      <c r="IM74" s="418"/>
      <c r="IN74" s="418"/>
      <c r="IO74" s="418"/>
      <c r="IP74" s="418"/>
      <c r="IQ74" s="418"/>
      <c r="IR74" s="418"/>
      <c r="IS74" s="418"/>
      <c r="IT74" s="418"/>
      <c r="IU74" s="418"/>
      <c r="IV74" s="418"/>
      <c r="IW74" s="418"/>
      <c r="IX74" s="418"/>
      <c r="IY74" s="418"/>
      <c r="IZ74" s="418"/>
      <c r="JA74" s="418"/>
    </row>
    <row r="75" spans="1:261" s="758" customFormat="1" ht="18" customHeight="1" x14ac:dyDescent="0.35">
      <c r="A75" s="773">
        <v>66</v>
      </c>
      <c r="B75" s="2012"/>
      <c r="C75" s="1891"/>
      <c r="D75" s="2014" t="s">
        <v>1250</v>
      </c>
      <c r="E75" s="1076"/>
      <c r="F75" s="1077"/>
      <c r="G75" s="1078"/>
      <c r="H75" s="1079"/>
      <c r="I75" s="1081"/>
      <c r="J75" s="1081"/>
      <c r="K75" s="1081"/>
      <c r="L75" s="1081"/>
      <c r="M75" s="2015">
        <f>SUM(M73:M74)</f>
        <v>2000</v>
      </c>
      <c r="N75" s="1081"/>
      <c r="O75" s="1547">
        <f>SUM(I75:N75)</f>
        <v>2000</v>
      </c>
      <c r="P75" s="1067"/>
      <c r="Q75" s="418"/>
      <c r="R75" s="418"/>
      <c r="S75" s="418"/>
      <c r="T75" s="418"/>
      <c r="U75" s="418"/>
      <c r="V75" s="418"/>
      <c r="W75" s="418"/>
      <c r="X75" s="418"/>
      <c r="Y75" s="418"/>
      <c r="Z75" s="418"/>
      <c r="AA75" s="418"/>
      <c r="AB75" s="418"/>
      <c r="AC75" s="418"/>
      <c r="AD75" s="418"/>
      <c r="AE75" s="418"/>
      <c r="AF75" s="418"/>
      <c r="AG75" s="418"/>
      <c r="AH75" s="418"/>
      <c r="AI75" s="418"/>
      <c r="AJ75" s="418"/>
      <c r="AK75" s="418"/>
      <c r="AL75" s="418"/>
      <c r="AM75" s="418"/>
      <c r="AN75" s="418"/>
      <c r="AO75" s="418"/>
      <c r="AP75" s="418"/>
      <c r="AQ75" s="418"/>
      <c r="AR75" s="418"/>
      <c r="AS75" s="418"/>
      <c r="AT75" s="418"/>
      <c r="AU75" s="418"/>
      <c r="AV75" s="418"/>
      <c r="AW75" s="418"/>
      <c r="AX75" s="418"/>
      <c r="AY75" s="418"/>
      <c r="AZ75" s="418"/>
      <c r="BA75" s="418"/>
      <c r="BB75" s="418"/>
      <c r="BC75" s="418"/>
      <c r="BD75" s="418"/>
      <c r="BE75" s="418"/>
      <c r="BF75" s="418"/>
      <c r="BG75" s="418"/>
      <c r="BH75" s="418"/>
      <c r="BI75" s="418"/>
      <c r="BJ75" s="418"/>
      <c r="BK75" s="418"/>
      <c r="BL75" s="418"/>
      <c r="BM75" s="418"/>
      <c r="BN75" s="418"/>
      <c r="BO75" s="418"/>
      <c r="BP75" s="418"/>
      <c r="BQ75" s="418"/>
      <c r="BR75" s="418"/>
      <c r="BS75" s="418"/>
      <c r="BT75" s="418"/>
      <c r="BU75" s="418"/>
      <c r="BV75" s="418"/>
      <c r="BW75" s="418"/>
      <c r="BX75" s="418"/>
      <c r="BY75" s="418"/>
      <c r="BZ75" s="418"/>
      <c r="CA75" s="418"/>
      <c r="CB75" s="418"/>
      <c r="CC75" s="418"/>
      <c r="CD75" s="418"/>
      <c r="CE75" s="418"/>
      <c r="CF75" s="418"/>
      <c r="CG75" s="418"/>
      <c r="CH75" s="418"/>
      <c r="CI75" s="418"/>
      <c r="CJ75" s="418"/>
      <c r="CK75" s="418"/>
      <c r="CL75" s="418"/>
      <c r="CM75" s="418"/>
      <c r="CN75" s="418"/>
      <c r="CO75" s="418"/>
      <c r="CP75" s="418"/>
      <c r="CQ75" s="418"/>
      <c r="CR75" s="418"/>
      <c r="CS75" s="418"/>
      <c r="CT75" s="418"/>
      <c r="CU75" s="418"/>
      <c r="CV75" s="418"/>
      <c r="CW75" s="418"/>
      <c r="CX75" s="418"/>
      <c r="CY75" s="418"/>
      <c r="CZ75" s="418"/>
      <c r="DA75" s="418"/>
      <c r="DB75" s="418"/>
      <c r="DC75" s="418"/>
      <c r="DD75" s="418"/>
      <c r="DE75" s="418"/>
      <c r="DF75" s="418"/>
      <c r="DG75" s="418"/>
      <c r="DH75" s="418"/>
      <c r="DI75" s="418"/>
      <c r="DJ75" s="418"/>
      <c r="DK75" s="418"/>
      <c r="DL75" s="418"/>
      <c r="DM75" s="418"/>
      <c r="DN75" s="418"/>
      <c r="DO75" s="418"/>
      <c r="DP75" s="418"/>
      <c r="DQ75" s="418"/>
      <c r="DR75" s="418"/>
      <c r="DS75" s="418"/>
      <c r="DT75" s="418"/>
      <c r="DU75" s="418"/>
      <c r="DV75" s="418"/>
      <c r="DW75" s="418"/>
      <c r="DX75" s="418"/>
      <c r="DY75" s="418"/>
      <c r="DZ75" s="418"/>
      <c r="EA75" s="418"/>
      <c r="EB75" s="418"/>
      <c r="EC75" s="418"/>
      <c r="ED75" s="418"/>
      <c r="EE75" s="418"/>
      <c r="EF75" s="418"/>
      <c r="EG75" s="418"/>
      <c r="EH75" s="418"/>
      <c r="EI75" s="418"/>
      <c r="EJ75" s="418"/>
      <c r="EK75" s="418"/>
      <c r="EL75" s="418"/>
      <c r="EM75" s="418"/>
      <c r="EN75" s="418"/>
      <c r="EO75" s="418"/>
      <c r="EP75" s="418"/>
      <c r="EQ75" s="418"/>
      <c r="ER75" s="418"/>
      <c r="ES75" s="418"/>
      <c r="ET75" s="418"/>
      <c r="EU75" s="418"/>
      <c r="EV75" s="418"/>
      <c r="EW75" s="418"/>
      <c r="EX75" s="418"/>
      <c r="EY75" s="418"/>
      <c r="EZ75" s="418"/>
      <c r="FA75" s="418"/>
      <c r="FB75" s="418"/>
      <c r="FC75" s="418"/>
      <c r="FD75" s="418"/>
      <c r="FE75" s="418"/>
      <c r="FF75" s="418"/>
      <c r="FG75" s="418"/>
      <c r="FH75" s="418"/>
      <c r="FI75" s="418"/>
      <c r="FJ75" s="418"/>
      <c r="FK75" s="418"/>
      <c r="FL75" s="418"/>
      <c r="FM75" s="418"/>
      <c r="FN75" s="418"/>
      <c r="FO75" s="418"/>
      <c r="FP75" s="418"/>
      <c r="FQ75" s="418"/>
      <c r="FR75" s="418"/>
      <c r="FS75" s="418"/>
      <c r="FT75" s="418"/>
      <c r="FU75" s="418"/>
      <c r="FV75" s="418"/>
      <c r="FW75" s="418"/>
      <c r="FX75" s="418"/>
      <c r="FY75" s="418"/>
      <c r="FZ75" s="418"/>
      <c r="GA75" s="418"/>
      <c r="GB75" s="418"/>
      <c r="GC75" s="418"/>
      <c r="GD75" s="418"/>
      <c r="GE75" s="418"/>
      <c r="GF75" s="418"/>
      <c r="GG75" s="418"/>
      <c r="GH75" s="418"/>
      <c r="GI75" s="418"/>
      <c r="GJ75" s="418"/>
      <c r="GK75" s="418"/>
      <c r="GL75" s="418"/>
      <c r="GM75" s="418"/>
      <c r="GN75" s="418"/>
      <c r="GO75" s="418"/>
      <c r="GP75" s="418"/>
      <c r="GQ75" s="418"/>
      <c r="GR75" s="418"/>
      <c r="GS75" s="418"/>
      <c r="GT75" s="418"/>
      <c r="GU75" s="418"/>
      <c r="GV75" s="418"/>
      <c r="GW75" s="418"/>
      <c r="GX75" s="418"/>
      <c r="GY75" s="418"/>
      <c r="GZ75" s="418"/>
      <c r="HA75" s="418"/>
      <c r="HB75" s="418"/>
      <c r="HC75" s="418"/>
      <c r="HD75" s="418"/>
      <c r="HE75" s="418"/>
      <c r="HF75" s="418"/>
      <c r="HG75" s="418"/>
      <c r="HH75" s="418"/>
      <c r="HI75" s="418"/>
      <c r="HJ75" s="418"/>
      <c r="HK75" s="418"/>
      <c r="HL75" s="418"/>
      <c r="HM75" s="418"/>
      <c r="HN75" s="418"/>
      <c r="HO75" s="418"/>
      <c r="HP75" s="418"/>
      <c r="HQ75" s="418"/>
      <c r="HR75" s="418"/>
      <c r="HS75" s="418"/>
      <c r="HT75" s="418"/>
      <c r="HU75" s="418"/>
      <c r="HV75" s="418"/>
      <c r="HW75" s="418"/>
      <c r="HX75" s="418"/>
      <c r="HY75" s="418"/>
      <c r="HZ75" s="418"/>
      <c r="IA75" s="418"/>
      <c r="IB75" s="418"/>
      <c r="IC75" s="418"/>
      <c r="ID75" s="418"/>
      <c r="IE75" s="418"/>
      <c r="IF75" s="418"/>
      <c r="IG75" s="418"/>
      <c r="IH75" s="418"/>
      <c r="II75" s="418"/>
      <c r="IJ75" s="418"/>
      <c r="IK75" s="418"/>
      <c r="IL75" s="418"/>
      <c r="IM75" s="418"/>
      <c r="IN75" s="418"/>
      <c r="IO75" s="418"/>
      <c r="IP75" s="418"/>
      <c r="IQ75" s="418"/>
      <c r="IR75" s="418"/>
      <c r="IS75" s="418"/>
      <c r="IT75" s="418"/>
      <c r="IU75" s="418"/>
      <c r="IV75" s="418"/>
      <c r="IW75" s="418"/>
      <c r="IX75" s="418"/>
      <c r="IY75" s="418"/>
      <c r="IZ75" s="418"/>
      <c r="JA75" s="418"/>
    </row>
    <row r="76" spans="1:261" s="758" customFormat="1" ht="22.5" customHeight="1" x14ac:dyDescent="0.35">
      <c r="A76" s="773">
        <v>67</v>
      </c>
      <c r="B76" s="2060"/>
      <c r="C76" s="1891">
        <v>14</v>
      </c>
      <c r="D76" s="770" t="s">
        <v>1229</v>
      </c>
      <c r="E76" s="1076"/>
      <c r="F76" s="1077"/>
      <c r="G76" s="2041"/>
      <c r="H76" s="1079" t="s">
        <v>24</v>
      </c>
      <c r="I76" s="1080"/>
      <c r="J76" s="1080"/>
      <c r="K76" s="1080"/>
      <c r="L76" s="1080"/>
      <c r="M76" s="1818"/>
      <c r="N76" s="1080"/>
      <c r="O76" s="2061"/>
      <c r="P76" s="1067"/>
      <c r="Q76" s="418"/>
      <c r="R76" s="418"/>
      <c r="S76" s="418"/>
      <c r="T76" s="418"/>
      <c r="U76" s="418"/>
      <c r="V76" s="418"/>
      <c r="W76" s="418"/>
      <c r="X76" s="418"/>
      <c r="Y76" s="418"/>
      <c r="Z76" s="418"/>
      <c r="AA76" s="418"/>
      <c r="AB76" s="418"/>
      <c r="AC76" s="418"/>
      <c r="AD76" s="418"/>
      <c r="AE76" s="418"/>
      <c r="AF76" s="418"/>
      <c r="AG76" s="418"/>
      <c r="AH76" s="418"/>
      <c r="AI76" s="418"/>
      <c r="AJ76" s="418"/>
      <c r="AK76" s="418"/>
      <c r="AL76" s="418"/>
      <c r="AM76" s="418"/>
      <c r="AN76" s="418"/>
      <c r="AO76" s="418"/>
      <c r="AP76" s="418"/>
      <c r="AQ76" s="418"/>
      <c r="AR76" s="418"/>
      <c r="AS76" s="418"/>
      <c r="AT76" s="418"/>
      <c r="AU76" s="418"/>
      <c r="AV76" s="418"/>
      <c r="AW76" s="418"/>
      <c r="AX76" s="418"/>
      <c r="AY76" s="418"/>
      <c r="AZ76" s="418"/>
      <c r="BA76" s="418"/>
      <c r="BB76" s="418"/>
      <c r="BC76" s="418"/>
      <c r="BD76" s="418"/>
      <c r="BE76" s="418"/>
      <c r="BF76" s="418"/>
      <c r="BG76" s="418"/>
      <c r="BH76" s="418"/>
      <c r="BI76" s="418"/>
      <c r="BJ76" s="418"/>
      <c r="BK76" s="418"/>
      <c r="BL76" s="418"/>
      <c r="BM76" s="418"/>
      <c r="BN76" s="418"/>
      <c r="BO76" s="418"/>
      <c r="BP76" s="418"/>
      <c r="BQ76" s="418"/>
      <c r="BR76" s="418"/>
      <c r="BS76" s="418"/>
      <c r="BT76" s="418"/>
      <c r="BU76" s="418"/>
      <c r="BV76" s="418"/>
      <c r="BW76" s="418"/>
      <c r="BX76" s="418"/>
      <c r="BY76" s="418"/>
      <c r="BZ76" s="418"/>
      <c r="CA76" s="418"/>
      <c r="CB76" s="418"/>
      <c r="CC76" s="418"/>
      <c r="CD76" s="418"/>
      <c r="CE76" s="418"/>
      <c r="CF76" s="418"/>
      <c r="CG76" s="418"/>
      <c r="CH76" s="418"/>
      <c r="CI76" s="418"/>
      <c r="CJ76" s="418"/>
      <c r="CK76" s="418"/>
      <c r="CL76" s="418"/>
      <c r="CM76" s="418"/>
      <c r="CN76" s="418"/>
      <c r="CO76" s="418"/>
      <c r="CP76" s="418"/>
      <c r="CQ76" s="418"/>
      <c r="CR76" s="418"/>
      <c r="CS76" s="418"/>
      <c r="CT76" s="418"/>
      <c r="CU76" s="418"/>
      <c r="CV76" s="418"/>
      <c r="CW76" s="418"/>
      <c r="CX76" s="418"/>
      <c r="CY76" s="418"/>
      <c r="CZ76" s="418"/>
      <c r="DA76" s="418"/>
      <c r="DB76" s="418"/>
      <c r="DC76" s="418"/>
      <c r="DD76" s="418"/>
      <c r="DE76" s="418"/>
      <c r="DF76" s="418"/>
      <c r="DG76" s="418"/>
      <c r="DH76" s="418"/>
      <c r="DI76" s="418"/>
      <c r="DJ76" s="418"/>
      <c r="DK76" s="418"/>
      <c r="DL76" s="418"/>
      <c r="DM76" s="418"/>
      <c r="DN76" s="418"/>
      <c r="DO76" s="418"/>
      <c r="DP76" s="418"/>
      <c r="DQ76" s="418"/>
      <c r="DR76" s="418"/>
      <c r="DS76" s="418"/>
      <c r="DT76" s="418"/>
      <c r="DU76" s="418"/>
      <c r="DV76" s="418"/>
      <c r="DW76" s="418"/>
      <c r="DX76" s="418"/>
      <c r="DY76" s="418"/>
      <c r="DZ76" s="418"/>
      <c r="EA76" s="418"/>
      <c r="EB76" s="418"/>
      <c r="EC76" s="418"/>
      <c r="ED76" s="418"/>
      <c r="EE76" s="418"/>
      <c r="EF76" s="418"/>
      <c r="EG76" s="418"/>
      <c r="EH76" s="418"/>
      <c r="EI76" s="418"/>
      <c r="EJ76" s="418"/>
      <c r="EK76" s="418"/>
      <c r="EL76" s="418"/>
      <c r="EM76" s="418"/>
      <c r="EN76" s="418"/>
      <c r="EO76" s="418"/>
      <c r="EP76" s="418"/>
      <c r="EQ76" s="418"/>
      <c r="ER76" s="418"/>
      <c r="ES76" s="418"/>
      <c r="ET76" s="418"/>
      <c r="EU76" s="418"/>
      <c r="EV76" s="418"/>
      <c r="EW76" s="418"/>
      <c r="EX76" s="418"/>
      <c r="EY76" s="418"/>
      <c r="EZ76" s="418"/>
      <c r="FA76" s="418"/>
      <c r="FB76" s="418"/>
      <c r="FC76" s="418"/>
      <c r="FD76" s="418"/>
      <c r="FE76" s="418"/>
      <c r="FF76" s="418"/>
      <c r="FG76" s="418"/>
      <c r="FH76" s="418"/>
      <c r="FI76" s="418"/>
      <c r="FJ76" s="418"/>
      <c r="FK76" s="418"/>
      <c r="FL76" s="418"/>
      <c r="FM76" s="418"/>
      <c r="FN76" s="418"/>
      <c r="FO76" s="418"/>
      <c r="FP76" s="418"/>
      <c r="FQ76" s="418"/>
      <c r="FR76" s="418"/>
      <c r="FS76" s="418"/>
      <c r="FT76" s="418"/>
      <c r="FU76" s="418"/>
      <c r="FV76" s="418"/>
      <c r="FW76" s="418"/>
      <c r="FX76" s="418"/>
      <c r="FY76" s="418"/>
      <c r="FZ76" s="418"/>
      <c r="GA76" s="418"/>
      <c r="GB76" s="418"/>
      <c r="GC76" s="418"/>
      <c r="GD76" s="418"/>
      <c r="GE76" s="418"/>
      <c r="GF76" s="418"/>
      <c r="GG76" s="418"/>
      <c r="GH76" s="418"/>
      <c r="GI76" s="418"/>
      <c r="GJ76" s="418"/>
      <c r="GK76" s="418"/>
      <c r="GL76" s="418"/>
      <c r="GM76" s="418"/>
      <c r="GN76" s="418"/>
      <c r="GO76" s="418"/>
      <c r="GP76" s="418"/>
      <c r="GQ76" s="418"/>
      <c r="GR76" s="418"/>
      <c r="GS76" s="418"/>
      <c r="GT76" s="418"/>
      <c r="GU76" s="418"/>
      <c r="GV76" s="418"/>
      <c r="GW76" s="418"/>
      <c r="GX76" s="418"/>
      <c r="GY76" s="418"/>
      <c r="GZ76" s="418"/>
      <c r="HA76" s="418"/>
      <c r="HB76" s="418"/>
      <c r="HC76" s="418"/>
      <c r="HD76" s="418"/>
      <c r="HE76" s="418"/>
      <c r="HF76" s="418"/>
      <c r="HG76" s="418"/>
      <c r="HH76" s="418"/>
      <c r="HI76" s="418"/>
      <c r="HJ76" s="418"/>
      <c r="HK76" s="418"/>
      <c r="HL76" s="418"/>
      <c r="HM76" s="418"/>
      <c r="HN76" s="418"/>
      <c r="HO76" s="418"/>
      <c r="HP76" s="418"/>
      <c r="HQ76" s="418"/>
      <c r="HR76" s="418"/>
      <c r="HS76" s="418"/>
      <c r="HT76" s="418"/>
      <c r="HU76" s="418"/>
      <c r="HV76" s="418"/>
      <c r="HW76" s="418"/>
      <c r="HX76" s="418"/>
      <c r="HY76" s="418"/>
      <c r="HZ76" s="418"/>
      <c r="IA76" s="418"/>
      <c r="IB76" s="418"/>
      <c r="IC76" s="418"/>
      <c r="ID76" s="418"/>
      <c r="IE76" s="418"/>
      <c r="IF76" s="418"/>
      <c r="IG76" s="418"/>
      <c r="IH76" s="418"/>
      <c r="II76" s="418"/>
      <c r="IJ76" s="418"/>
      <c r="IK76" s="418"/>
      <c r="IL76" s="418"/>
      <c r="IM76" s="418"/>
      <c r="IN76" s="418"/>
      <c r="IO76" s="418"/>
      <c r="IP76" s="418"/>
      <c r="IQ76" s="418"/>
      <c r="IR76" s="418"/>
      <c r="IS76" s="418"/>
      <c r="IT76" s="418"/>
      <c r="IU76" s="418"/>
      <c r="IV76" s="418"/>
      <c r="IW76" s="418"/>
      <c r="IX76" s="418"/>
      <c r="IY76" s="418"/>
      <c r="IZ76" s="418"/>
      <c r="JA76" s="418"/>
    </row>
    <row r="77" spans="1:261" s="758" customFormat="1" ht="18" customHeight="1" x14ac:dyDescent="0.35">
      <c r="A77" s="773">
        <v>68</v>
      </c>
      <c r="B77" s="2060"/>
      <c r="C77" s="1891"/>
      <c r="D77" s="576" t="s">
        <v>1158</v>
      </c>
      <c r="E77" s="1076"/>
      <c r="F77" s="1077"/>
      <c r="G77" s="2041"/>
      <c r="H77" s="1079"/>
      <c r="I77" s="1080"/>
      <c r="J77" s="1080"/>
      <c r="K77" s="1080">
        <v>18903</v>
      </c>
      <c r="L77" s="1080"/>
      <c r="M77" s="1818"/>
      <c r="N77" s="1080"/>
      <c r="O77" s="2061">
        <f>SUM(I77:N77)</f>
        <v>18903</v>
      </c>
      <c r="P77" s="1067"/>
      <c r="Q77" s="418"/>
      <c r="R77" s="418"/>
      <c r="S77" s="418"/>
      <c r="T77" s="418"/>
      <c r="U77" s="418"/>
      <c r="V77" s="418"/>
      <c r="W77" s="418"/>
      <c r="X77" s="418"/>
      <c r="Y77" s="418"/>
      <c r="Z77" s="418"/>
      <c r="AA77" s="418"/>
      <c r="AB77" s="418"/>
      <c r="AC77" s="418"/>
      <c r="AD77" s="418"/>
      <c r="AE77" s="418"/>
      <c r="AF77" s="418"/>
      <c r="AG77" s="418"/>
      <c r="AH77" s="418"/>
      <c r="AI77" s="418"/>
      <c r="AJ77" s="418"/>
      <c r="AK77" s="418"/>
      <c r="AL77" s="418"/>
      <c r="AM77" s="418"/>
      <c r="AN77" s="418"/>
      <c r="AO77" s="418"/>
      <c r="AP77" s="418"/>
      <c r="AQ77" s="418"/>
      <c r="AR77" s="418"/>
      <c r="AS77" s="418"/>
      <c r="AT77" s="418"/>
      <c r="AU77" s="418"/>
      <c r="AV77" s="418"/>
      <c r="AW77" s="418"/>
      <c r="AX77" s="418"/>
      <c r="AY77" s="418"/>
      <c r="AZ77" s="418"/>
      <c r="BA77" s="418"/>
      <c r="BB77" s="418"/>
      <c r="BC77" s="418"/>
      <c r="BD77" s="418"/>
      <c r="BE77" s="418"/>
      <c r="BF77" s="418"/>
      <c r="BG77" s="418"/>
      <c r="BH77" s="418"/>
      <c r="BI77" s="418"/>
      <c r="BJ77" s="418"/>
      <c r="BK77" s="418"/>
      <c r="BL77" s="418"/>
      <c r="BM77" s="418"/>
      <c r="BN77" s="418"/>
      <c r="BO77" s="418"/>
      <c r="BP77" s="418"/>
      <c r="BQ77" s="418"/>
      <c r="BR77" s="418"/>
      <c r="BS77" s="418"/>
      <c r="BT77" s="418"/>
      <c r="BU77" s="418"/>
      <c r="BV77" s="418"/>
      <c r="BW77" s="418"/>
      <c r="BX77" s="418"/>
      <c r="BY77" s="418"/>
      <c r="BZ77" s="418"/>
      <c r="CA77" s="418"/>
      <c r="CB77" s="418"/>
      <c r="CC77" s="418"/>
      <c r="CD77" s="418"/>
      <c r="CE77" s="418"/>
      <c r="CF77" s="418"/>
      <c r="CG77" s="418"/>
      <c r="CH77" s="418"/>
      <c r="CI77" s="418"/>
      <c r="CJ77" s="418"/>
      <c r="CK77" s="418"/>
      <c r="CL77" s="418"/>
      <c r="CM77" s="418"/>
      <c r="CN77" s="418"/>
      <c r="CO77" s="418"/>
      <c r="CP77" s="418"/>
      <c r="CQ77" s="418"/>
      <c r="CR77" s="418"/>
      <c r="CS77" s="418"/>
      <c r="CT77" s="418"/>
      <c r="CU77" s="418"/>
      <c r="CV77" s="418"/>
      <c r="CW77" s="418"/>
      <c r="CX77" s="418"/>
      <c r="CY77" s="418"/>
      <c r="CZ77" s="418"/>
      <c r="DA77" s="418"/>
      <c r="DB77" s="418"/>
      <c r="DC77" s="418"/>
      <c r="DD77" s="418"/>
      <c r="DE77" s="418"/>
      <c r="DF77" s="418"/>
      <c r="DG77" s="418"/>
      <c r="DH77" s="418"/>
      <c r="DI77" s="418"/>
      <c r="DJ77" s="418"/>
      <c r="DK77" s="418"/>
      <c r="DL77" s="418"/>
      <c r="DM77" s="418"/>
      <c r="DN77" s="418"/>
      <c r="DO77" s="418"/>
      <c r="DP77" s="418"/>
      <c r="DQ77" s="418"/>
      <c r="DR77" s="418"/>
      <c r="DS77" s="418"/>
      <c r="DT77" s="418"/>
      <c r="DU77" s="418"/>
      <c r="DV77" s="418"/>
      <c r="DW77" s="418"/>
      <c r="DX77" s="418"/>
      <c r="DY77" s="418"/>
      <c r="DZ77" s="418"/>
      <c r="EA77" s="418"/>
      <c r="EB77" s="418"/>
      <c r="EC77" s="418"/>
      <c r="ED77" s="418"/>
      <c r="EE77" s="418"/>
      <c r="EF77" s="418"/>
      <c r="EG77" s="418"/>
      <c r="EH77" s="418"/>
      <c r="EI77" s="418"/>
      <c r="EJ77" s="418"/>
      <c r="EK77" s="418"/>
      <c r="EL77" s="418"/>
      <c r="EM77" s="418"/>
      <c r="EN77" s="418"/>
      <c r="EO77" s="418"/>
      <c r="EP77" s="418"/>
      <c r="EQ77" s="418"/>
      <c r="ER77" s="418"/>
      <c r="ES77" s="418"/>
      <c r="ET77" s="418"/>
      <c r="EU77" s="418"/>
      <c r="EV77" s="418"/>
      <c r="EW77" s="418"/>
      <c r="EX77" s="418"/>
      <c r="EY77" s="418"/>
      <c r="EZ77" s="418"/>
      <c r="FA77" s="418"/>
      <c r="FB77" s="418"/>
      <c r="FC77" s="418"/>
      <c r="FD77" s="418"/>
      <c r="FE77" s="418"/>
      <c r="FF77" s="418"/>
      <c r="FG77" s="418"/>
      <c r="FH77" s="418"/>
      <c r="FI77" s="418"/>
      <c r="FJ77" s="418"/>
      <c r="FK77" s="418"/>
      <c r="FL77" s="418"/>
      <c r="FM77" s="418"/>
      <c r="FN77" s="418"/>
      <c r="FO77" s="418"/>
      <c r="FP77" s="418"/>
      <c r="FQ77" s="418"/>
      <c r="FR77" s="418"/>
      <c r="FS77" s="418"/>
      <c r="FT77" s="418"/>
      <c r="FU77" s="418"/>
      <c r="FV77" s="418"/>
      <c r="FW77" s="418"/>
      <c r="FX77" s="418"/>
      <c r="FY77" s="418"/>
      <c r="FZ77" s="418"/>
      <c r="GA77" s="418"/>
      <c r="GB77" s="418"/>
      <c r="GC77" s="418"/>
      <c r="GD77" s="418"/>
      <c r="GE77" s="418"/>
      <c r="GF77" s="418"/>
      <c r="GG77" s="418"/>
      <c r="GH77" s="418"/>
      <c r="GI77" s="418"/>
      <c r="GJ77" s="418"/>
      <c r="GK77" s="418"/>
      <c r="GL77" s="418"/>
      <c r="GM77" s="418"/>
      <c r="GN77" s="418"/>
      <c r="GO77" s="418"/>
      <c r="GP77" s="418"/>
      <c r="GQ77" s="418"/>
      <c r="GR77" s="418"/>
      <c r="GS77" s="418"/>
      <c r="GT77" s="418"/>
      <c r="GU77" s="418"/>
      <c r="GV77" s="418"/>
      <c r="GW77" s="418"/>
      <c r="GX77" s="418"/>
      <c r="GY77" s="418"/>
      <c r="GZ77" s="418"/>
      <c r="HA77" s="418"/>
      <c r="HB77" s="418"/>
      <c r="HC77" s="418"/>
      <c r="HD77" s="418"/>
      <c r="HE77" s="418"/>
      <c r="HF77" s="418"/>
      <c r="HG77" s="418"/>
      <c r="HH77" s="418"/>
      <c r="HI77" s="418"/>
      <c r="HJ77" s="418"/>
      <c r="HK77" s="418"/>
      <c r="HL77" s="418"/>
      <c r="HM77" s="418"/>
      <c r="HN77" s="418"/>
      <c r="HO77" s="418"/>
      <c r="HP77" s="418"/>
      <c r="HQ77" s="418"/>
      <c r="HR77" s="418"/>
      <c r="HS77" s="418"/>
      <c r="HT77" s="418"/>
      <c r="HU77" s="418"/>
      <c r="HV77" s="418"/>
      <c r="HW77" s="418"/>
      <c r="HX77" s="418"/>
      <c r="HY77" s="418"/>
      <c r="HZ77" s="418"/>
      <c r="IA77" s="418"/>
      <c r="IB77" s="418"/>
      <c r="IC77" s="418"/>
      <c r="ID77" s="418"/>
      <c r="IE77" s="418"/>
      <c r="IF77" s="418"/>
      <c r="IG77" s="418"/>
      <c r="IH77" s="418"/>
      <c r="II77" s="418"/>
      <c r="IJ77" s="418"/>
      <c r="IK77" s="418"/>
      <c r="IL77" s="418"/>
      <c r="IM77" s="418"/>
      <c r="IN77" s="418"/>
      <c r="IO77" s="418"/>
      <c r="IP77" s="418"/>
      <c r="IQ77" s="418"/>
      <c r="IR77" s="418"/>
      <c r="IS77" s="418"/>
      <c r="IT77" s="418"/>
      <c r="IU77" s="418"/>
      <c r="IV77" s="418"/>
      <c r="IW77" s="418"/>
      <c r="IX77" s="418"/>
      <c r="IY77" s="418"/>
      <c r="IZ77" s="418"/>
      <c r="JA77" s="418"/>
    </row>
    <row r="78" spans="1:261" s="758" customFormat="1" ht="18" customHeight="1" x14ac:dyDescent="0.35">
      <c r="A78" s="773">
        <v>69</v>
      </c>
      <c r="B78" s="2060"/>
      <c r="C78" s="1891"/>
      <c r="D78" s="2062" t="s">
        <v>969</v>
      </c>
      <c r="E78" s="1076"/>
      <c r="F78" s="1077"/>
      <c r="G78" s="2041"/>
      <c r="H78" s="1079"/>
      <c r="I78" s="1080"/>
      <c r="J78" s="1080"/>
      <c r="K78" s="2064"/>
      <c r="L78" s="1080"/>
      <c r="M78" s="1818"/>
      <c r="N78" s="1080"/>
      <c r="O78" s="2065">
        <f>SUM(I78:N78)</f>
        <v>0</v>
      </c>
      <c r="P78" s="1067"/>
      <c r="Q78" s="418"/>
      <c r="R78" s="418"/>
      <c r="S78" s="418"/>
      <c r="T78" s="418"/>
      <c r="U78" s="418"/>
      <c r="V78" s="418"/>
      <c r="W78" s="418"/>
      <c r="X78" s="418"/>
      <c r="Y78" s="418"/>
      <c r="Z78" s="418"/>
      <c r="AA78" s="418"/>
      <c r="AB78" s="418"/>
      <c r="AC78" s="418"/>
      <c r="AD78" s="418"/>
      <c r="AE78" s="418"/>
      <c r="AF78" s="418"/>
      <c r="AG78" s="418"/>
      <c r="AH78" s="418"/>
      <c r="AI78" s="418"/>
      <c r="AJ78" s="418"/>
      <c r="AK78" s="418"/>
      <c r="AL78" s="418"/>
      <c r="AM78" s="418"/>
      <c r="AN78" s="418"/>
      <c r="AO78" s="418"/>
      <c r="AP78" s="418"/>
      <c r="AQ78" s="418"/>
      <c r="AR78" s="418"/>
      <c r="AS78" s="418"/>
      <c r="AT78" s="418"/>
      <c r="AU78" s="418"/>
      <c r="AV78" s="418"/>
      <c r="AW78" s="418"/>
      <c r="AX78" s="418"/>
      <c r="AY78" s="418"/>
      <c r="AZ78" s="418"/>
      <c r="BA78" s="418"/>
      <c r="BB78" s="418"/>
      <c r="BC78" s="418"/>
      <c r="BD78" s="418"/>
      <c r="BE78" s="418"/>
      <c r="BF78" s="418"/>
      <c r="BG78" s="418"/>
      <c r="BH78" s="418"/>
      <c r="BI78" s="418"/>
      <c r="BJ78" s="418"/>
      <c r="BK78" s="418"/>
      <c r="BL78" s="418"/>
      <c r="BM78" s="418"/>
      <c r="BN78" s="418"/>
      <c r="BO78" s="418"/>
      <c r="BP78" s="418"/>
      <c r="BQ78" s="418"/>
      <c r="BR78" s="418"/>
      <c r="BS78" s="418"/>
      <c r="BT78" s="418"/>
      <c r="BU78" s="418"/>
      <c r="BV78" s="418"/>
      <c r="BW78" s="418"/>
      <c r="BX78" s="418"/>
      <c r="BY78" s="418"/>
      <c r="BZ78" s="418"/>
      <c r="CA78" s="418"/>
      <c r="CB78" s="418"/>
      <c r="CC78" s="418"/>
      <c r="CD78" s="418"/>
      <c r="CE78" s="418"/>
      <c r="CF78" s="418"/>
      <c r="CG78" s="418"/>
      <c r="CH78" s="418"/>
      <c r="CI78" s="418"/>
      <c r="CJ78" s="418"/>
      <c r="CK78" s="418"/>
      <c r="CL78" s="418"/>
      <c r="CM78" s="418"/>
      <c r="CN78" s="418"/>
      <c r="CO78" s="418"/>
      <c r="CP78" s="418"/>
      <c r="CQ78" s="418"/>
      <c r="CR78" s="418"/>
      <c r="CS78" s="418"/>
      <c r="CT78" s="418"/>
      <c r="CU78" s="418"/>
      <c r="CV78" s="418"/>
      <c r="CW78" s="418"/>
      <c r="CX78" s="418"/>
      <c r="CY78" s="418"/>
      <c r="CZ78" s="418"/>
      <c r="DA78" s="418"/>
      <c r="DB78" s="418"/>
      <c r="DC78" s="418"/>
      <c r="DD78" s="418"/>
      <c r="DE78" s="418"/>
      <c r="DF78" s="418"/>
      <c r="DG78" s="418"/>
      <c r="DH78" s="418"/>
      <c r="DI78" s="418"/>
      <c r="DJ78" s="418"/>
      <c r="DK78" s="418"/>
      <c r="DL78" s="418"/>
      <c r="DM78" s="418"/>
      <c r="DN78" s="418"/>
      <c r="DO78" s="418"/>
      <c r="DP78" s="418"/>
      <c r="DQ78" s="418"/>
      <c r="DR78" s="418"/>
      <c r="DS78" s="418"/>
      <c r="DT78" s="418"/>
      <c r="DU78" s="418"/>
      <c r="DV78" s="418"/>
      <c r="DW78" s="418"/>
      <c r="DX78" s="418"/>
      <c r="DY78" s="418"/>
      <c r="DZ78" s="418"/>
      <c r="EA78" s="418"/>
      <c r="EB78" s="418"/>
      <c r="EC78" s="418"/>
      <c r="ED78" s="418"/>
      <c r="EE78" s="418"/>
      <c r="EF78" s="418"/>
      <c r="EG78" s="418"/>
      <c r="EH78" s="418"/>
      <c r="EI78" s="418"/>
      <c r="EJ78" s="418"/>
      <c r="EK78" s="418"/>
      <c r="EL78" s="418"/>
      <c r="EM78" s="418"/>
      <c r="EN78" s="418"/>
      <c r="EO78" s="418"/>
      <c r="EP78" s="418"/>
      <c r="EQ78" s="418"/>
      <c r="ER78" s="418"/>
      <c r="ES78" s="418"/>
      <c r="ET78" s="418"/>
      <c r="EU78" s="418"/>
      <c r="EV78" s="418"/>
      <c r="EW78" s="418"/>
      <c r="EX78" s="418"/>
      <c r="EY78" s="418"/>
      <c r="EZ78" s="418"/>
      <c r="FA78" s="418"/>
      <c r="FB78" s="418"/>
      <c r="FC78" s="418"/>
      <c r="FD78" s="418"/>
      <c r="FE78" s="418"/>
      <c r="FF78" s="418"/>
      <c r="FG78" s="418"/>
      <c r="FH78" s="418"/>
      <c r="FI78" s="418"/>
      <c r="FJ78" s="418"/>
      <c r="FK78" s="418"/>
      <c r="FL78" s="418"/>
      <c r="FM78" s="418"/>
      <c r="FN78" s="418"/>
      <c r="FO78" s="418"/>
      <c r="FP78" s="418"/>
      <c r="FQ78" s="418"/>
      <c r="FR78" s="418"/>
      <c r="FS78" s="418"/>
      <c r="FT78" s="418"/>
      <c r="FU78" s="418"/>
      <c r="FV78" s="418"/>
      <c r="FW78" s="418"/>
      <c r="FX78" s="418"/>
      <c r="FY78" s="418"/>
      <c r="FZ78" s="418"/>
      <c r="GA78" s="418"/>
      <c r="GB78" s="418"/>
      <c r="GC78" s="418"/>
      <c r="GD78" s="418"/>
      <c r="GE78" s="418"/>
      <c r="GF78" s="418"/>
      <c r="GG78" s="418"/>
      <c r="GH78" s="418"/>
      <c r="GI78" s="418"/>
      <c r="GJ78" s="418"/>
      <c r="GK78" s="418"/>
      <c r="GL78" s="418"/>
      <c r="GM78" s="418"/>
      <c r="GN78" s="418"/>
      <c r="GO78" s="418"/>
      <c r="GP78" s="418"/>
      <c r="GQ78" s="418"/>
      <c r="GR78" s="418"/>
      <c r="GS78" s="418"/>
      <c r="GT78" s="418"/>
      <c r="GU78" s="418"/>
      <c r="GV78" s="418"/>
      <c r="GW78" s="418"/>
      <c r="GX78" s="418"/>
      <c r="GY78" s="418"/>
      <c r="GZ78" s="418"/>
      <c r="HA78" s="418"/>
      <c r="HB78" s="418"/>
      <c r="HC78" s="418"/>
      <c r="HD78" s="418"/>
      <c r="HE78" s="418"/>
      <c r="HF78" s="418"/>
      <c r="HG78" s="418"/>
      <c r="HH78" s="418"/>
      <c r="HI78" s="418"/>
      <c r="HJ78" s="418"/>
      <c r="HK78" s="418"/>
      <c r="HL78" s="418"/>
      <c r="HM78" s="418"/>
      <c r="HN78" s="418"/>
      <c r="HO78" s="418"/>
      <c r="HP78" s="418"/>
      <c r="HQ78" s="418"/>
      <c r="HR78" s="418"/>
      <c r="HS78" s="418"/>
      <c r="HT78" s="418"/>
      <c r="HU78" s="418"/>
      <c r="HV78" s="418"/>
      <c r="HW78" s="418"/>
      <c r="HX78" s="418"/>
      <c r="HY78" s="418"/>
      <c r="HZ78" s="418"/>
      <c r="IA78" s="418"/>
      <c r="IB78" s="418"/>
      <c r="IC78" s="418"/>
      <c r="ID78" s="418"/>
      <c r="IE78" s="418"/>
      <c r="IF78" s="418"/>
      <c r="IG78" s="418"/>
      <c r="IH78" s="418"/>
      <c r="II78" s="418"/>
      <c r="IJ78" s="418"/>
      <c r="IK78" s="418"/>
      <c r="IL78" s="418"/>
      <c r="IM78" s="418"/>
      <c r="IN78" s="418"/>
      <c r="IO78" s="418"/>
      <c r="IP78" s="418"/>
      <c r="IQ78" s="418"/>
      <c r="IR78" s="418"/>
      <c r="IS78" s="418"/>
      <c r="IT78" s="418"/>
      <c r="IU78" s="418"/>
      <c r="IV78" s="418"/>
      <c r="IW78" s="418"/>
      <c r="IX78" s="418"/>
      <c r="IY78" s="418"/>
      <c r="IZ78" s="418"/>
      <c r="JA78" s="418"/>
    </row>
    <row r="79" spans="1:261" s="758" customFormat="1" ht="18" customHeight="1" x14ac:dyDescent="0.35">
      <c r="A79" s="773">
        <v>70</v>
      </c>
      <c r="B79" s="2060"/>
      <c r="C79" s="1891"/>
      <c r="D79" s="2063" t="s">
        <v>1250</v>
      </c>
      <c r="E79" s="1076"/>
      <c r="F79" s="1077"/>
      <c r="G79" s="2041"/>
      <c r="H79" s="1079"/>
      <c r="I79" s="1080"/>
      <c r="J79" s="1080"/>
      <c r="K79" s="1818">
        <f>SUM(K77:K78)</f>
        <v>18903</v>
      </c>
      <c r="L79" s="1080"/>
      <c r="M79" s="1818"/>
      <c r="N79" s="1080"/>
      <c r="O79" s="2061">
        <f>SUM(I79:N79)</f>
        <v>18903</v>
      </c>
      <c r="P79" s="1067"/>
      <c r="Q79" s="418"/>
      <c r="R79" s="418"/>
      <c r="S79" s="418"/>
      <c r="T79" s="418"/>
      <c r="U79" s="418"/>
      <c r="V79" s="418"/>
      <c r="W79" s="418"/>
      <c r="X79" s="418"/>
      <c r="Y79" s="418"/>
      <c r="Z79" s="418"/>
      <c r="AA79" s="418"/>
      <c r="AB79" s="418"/>
      <c r="AC79" s="418"/>
      <c r="AD79" s="418"/>
      <c r="AE79" s="418"/>
      <c r="AF79" s="418"/>
      <c r="AG79" s="418"/>
      <c r="AH79" s="418"/>
      <c r="AI79" s="418"/>
      <c r="AJ79" s="418"/>
      <c r="AK79" s="418"/>
      <c r="AL79" s="418"/>
      <c r="AM79" s="418"/>
      <c r="AN79" s="418"/>
      <c r="AO79" s="418"/>
      <c r="AP79" s="418"/>
      <c r="AQ79" s="418"/>
      <c r="AR79" s="418"/>
      <c r="AS79" s="418"/>
      <c r="AT79" s="418"/>
      <c r="AU79" s="418"/>
      <c r="AV79" s="418"/>
      <c r="AW79" s="418"/>
      <c r="AX79" s="418"/>
      <c r="AY79" s="418"/>
      <c r="AZ79" s="418"/>
      <c r="BA79" s="418"/>
      <c r="BB79" s="418"/>
      <c r="BC79" s="418"/>
      <c r="BD79" s="418"/>
      <c r="BE79" s="418"/>
      <c r="BF79" s="418"/>
      <c r="BG79" s="418"/>
      <c r="BH79" s="418"/>
      <c r="BI79" s="418"/>
      <c r="BJ79" s="418"/>
      <c r="BK79" s="418"/>
      <c r="BL79" s="418"/>
      <c r="BM79" s="418"/>
      <c r="BN79" s="418"/>
      <c r="BO79" s="418"/>
      <c r="BP79" s="418"/>
      <c r="BQ79" s="418"/>
      <c r="BR79" s="418"/>
      <c r="BS79" s="418"/>
      <c r="BT79" s="418"/>
      <c r="BU79" s="418"/>
      <c r="BV79" s="418"/>
      <c r="BW79" s="418"/>
      <c r="BX79" s="418"/>
      <c r="BY79" s="418"/>
      <c r="BZ79" s="418"/>
      <c r="CA79" s="418"/>
      <c r="CB79" s="418"/>
      <c r="CC79" s="418"/>
      <c r="CD79" s="418"/>
      <c r="CE79" s="418"/>
      <c r="CF79" s="418"/>
      <c r="CG79" s="418"/>
      <c r="CH79" s="418"/>
      <c r="CI79" s="418"/>
      <c r="CJ79" s="418"/>
      <c r="CK79" s="418"/>
      <c r="CL79" s="418"/>
      <c r="CM79" s="418"/>
      <c r="CN79" s="418"/>
      <c r="CO79" s="418"/>
      <c r="CP79" s="418"/>
      <c r="CQ79" s="418"/>
      <c r="CR79" s="418"/>
      <c r="CS79" s="418"/>
      <c r="CT79" s="418"/>
      <c r="CU79" s="418"/>
      <c r="CV79" s="418"/>
      <c r="CW79" s="418"/>
      <c r="CX79" s="418"/>
      <c r="CY79" s="418"/>
      <c r="CZ79" s="418"/>
      <c r="DA79" s="418"/>
      <c r="DB79" s="418"/>
      <c r="DC79" s="418"/>
      <c r="DD79" s="418"/>
      <c r="DE79" s="418"/>
      <c r="DF79" s="418"/>
      <c r="DG79" s="418"/>
      <c r="DH79" s="418"/>
      <c r="DI79" s="418"/>
      <c r="DJ79" s="418"/>
      <c r="DK79" s="418"/>
      <c r="DL79" s="418"/>
      <c r="DM79" s="418"/>
      <c r="DN79" s="418"/>
      <c r="DO79" s="418"/>
      <c r="DP79" s="418"/>
      <c r="DQ79" s="418"/>
      <c r="DR79" s="418"/>
      <c r="DS79" s="418"/>
      <c r="DT79" s="418"/>
      <c r="DU79" s="418"/>
      <c r="DV79" s="418"/>
      <c r="DW79" s="418"/>
      <c r="DX79" s="418"/>
      <c r="DY79" s="418"/>
      <c r="DZ79" s="418"/>
      <c r="EA79" s="418"/>
      <c r="EB79" s="418"/>
      <c r="EC79" s="418"/>
      <c r="ED79" s="418"/>
      <c r="EE79" s="418"/>
      <c r="EF79" s="418"/>
      <c r="EG79" s="418"/>
      <c r="EH79" s="418"/>
      <c r="EI79" s="418"/>
      <c r="EJ79" s="418"/>
      <c r="EK79" s="418"/>
      <c r="EL79" s="418"/>
      <c r="EM79" s="418"/>
      <c r="EN79" s="418"/>
      <c r="EO79" s="418"/>
      <c r="EP79" s="418"/>
      <c r="EQ79" s="418"/>
      <c r="ER79" s="418"/>
      <c r="ES79" s="418"/>
      <c r="ET79" s="418"/>
      <c r="EU79" s="418"/>
      <c r="EV79" s="418"/>
      <c r="EW79" s="418"/>
      <c r="EX79" s="418"/>
      <c r="EY79" s="418"/>
      <c r="EZ79" s="418"/>
      <c r="FA79" s="418"/>
      <c r="FB79" s="418"/>
      <c r="FC79" s="418"/>
      <c r="FD79" s="418"/>
      <c r="FE79" s="418"/>
      <c r="FF79" s="418"/>
      <c r="FG79" s="418"/>
      <c r="FH79" s="418"/>
      <c r="FI79" s="418"/>
      <c r="FJ79" s="418"/>
      <c r="FK79" s="418"/>
      <c r="FL79" s="418"/>
      <c r="FM79" s="418"/>
      <c r="FN79" s="418"/>
      <c r="FO79" s="418"/>
      <c r="FP79" s="418"/>
      <c r="FQ79" s="418"/>
      <c r="FR79" s="418"/>
      <c r="FS79" s="418"/>
      <c r="FT79" s="418"/>
      <c r="FU79" s="418"/>
      <c r="FV79" s="418"/>
      <c r="FW79" s="418"/>
      <c r="FX79" s="418"/>
      <c r="FY79" s="418"/>
      <c r="FZ79" s="418"/>
      <c r="GA79" s="418"/>
      <c r="GB79" s="418"/>
      <c r="GC79" s="418"/>
      <c r="GD79" s="418"/>
      <c r="GE79" s="418"/>
      <c r="GF79" s="418"/>
      <c r="GG79" s="418"/>
      <c r="GH79" s="418"/>
      <c r="GI79" s="418"/>
      <c r="GJ79" s="418"/>
      <c r="GK79" s="418"/>
      <c r="GL79" s="418"/>
      <c r="GM79" s="418"/>
      <c r="GN79" s="418"/>
      <c r="GO79" s="418"/>
      <c r="GP79" s="418"/>
      <c r="GQ79" s="418"/>
      <c r="GR79" s="418"/>
      <c r="GS79" s="418"/>
      <c r="GT79" s="418"/>
      <c r="GU79" s="418"/>
      <c r="GV79" s="418"/>
      <c r="GW79" s="418"/>
      <c r="GX79" s="418"/>
      <c r="GY79" s="418"/>
      <c r="GZ79" s="418"/>
      <c r="HA79" s="418"/>
      <c r="HB79" s="418"/>
      <c r="HC79" s="418"/>
      <c r="HD79" s="418"/>
      <c r="HE79" s="418"/>
      <c r="HF79" s="418"/>
      <c r="HG79" s="418"/>
      <c r="HH79" s="418"/>
      <c r="HI79" s="418"/>
      <c r="HJ79" s="418"/>
      <c r="HK79" s="418"/>
      <c r="HL79" s="418"/>
      <c r="HM79" s="418"/>
      <c r="HN79" s="418"/>
      <c r="HO79" s="418"/>
      <c r="HP79" s="418"/>
      <c r="HQ79" s="418"/>
      <c r="HR79" s="418"/>
      <c r="HS79" s="418"/>
      <c r="HT79" s="418"/>
      <c r="HU79" s="418"/>
      <c r="HV79" s="418"/>
      <c r="HW79" s="418"/>
      <c r="HX79" s="418"/>
      <c r="HY79" s="418"/>
      <c r="HZ79" s="418"/>
      <c r="IA79" s="418"/>
      <c r="IB79" s="418"/>
      <c r="IC79" s="418"/>
      <c r="ID79" s="418"/>
      <c r="IE79" s="418"/>
      <c r="IF79" s="418"/>
      <c r="IG79" s="418"/>
      <c r="IH79" s="418"/>
      <c r="II79" s="418"/>
      <c r="IJ79" s="418"/>
      <c r="IK79" s="418"/>
      <c r="IL79" s="418"/>
      <c r="IM79" s="418"/>
      <c r="IN79" s="418"/>
      <c r="IO79" s="418"/>
      <c r="IP79" s="418"/>
      <c r="IQ79" s="418"/>
      <c r="IR79" s="418"/>
      <c r="IS79" s="418"/>
      <c r="IT79" s="418"/>
      <c r="IU79" s="418"/>
      <c r="IV79" s="418"/>
      <c r="IW79" s="418"/>
      <c r="IX79" s="418"/>
      <c r="IY79" s="418"/>
      <c r="IZ79" s="418"/>
      <c r="JA79" s="418"/>
    </row>
    <row r="80" spans="1:261" s="758" customFormat="1" ht="22.5" customHeight="1" x14ac:dyDescent="0.35">
      <c r="A80" s="773">
        <v>71</v>
      </c>
      <c r="B80" s="2060"/>
      <c r="C80" s="1891">
        <v>15</v>
      </c>
      <c r="D80" s="770" t="s">
        <v>1228</v>
      </c>
      <c r="E80" s="430"/>
      <c r="F80" s="762"/>
      <c r="G80" s="2041"/>
      <c r="H80" s="1079" t="s">
        <v>24</v>
      </c>
      <c r="I80" s="1080"/>
      <c r="J80" s="1080"/>
      <c r="K80" s="1080"/>
      <c r="L80" s="1080"/>
      <c r="M80" s="1818"/>
      <c r="N80" s="1080"/>
      <c r="O80" s="2061"/>
      <c r="P80" s="1067"/>
      <c r="Q80" s="418"/>
      <c r="R80" s="418"/>
      <c r="S80" s="418"/>
      <c r="T80" s="418"/>
      <c r="U80" s="418"/>
      <c r="V80" s="418"/>
      <c r="W80" s="418"/>
      <c r="X80" s="418"/>
      <c r="Y80" s="418"/>
      <c r="Z80" s="418"/>
      <c r="AA80" s="418"/>
      <c r="AB80" s="418"/>
      <c r="AC80" s="418"/>
      <c r="AD80" s="418"/>
      <c r="AE80" s="418"/>
      <c r="AF80" s="418"/>
      <c r="AG80" s="418"/>
      <c r="AH80" s="418"/>
      <c r="AI80" s="418"/>
      <c r="AJ80" s="418"/>
      <c r="AK80" s="418"/>
      <c r="AL80" s="418"/>
      <c r="AM80" s="418"/>
      <c r="AN80" s="418"/>
      <c r="AO80" s="418"/>
      <c r="AP80" s="418"/>
      <c r="AQ80" s="418"/>
      <c r="AR80" s="418"/>
      <c r="AS80" s="418"/>
      <c r="AT80" s="418"/>
      <c r="AU80" s="418"/>
      <c r="AV80" s="418"/>
      <c r="AW80" s="418"/>
      <c r="AX80" s="418"/>
      <c r="AY80" s="418"/>
      <c r="AZ80" s="418"/>
      <c r="BA80" s="418"/>
      <c r="BB80" s="418"/>
      <c r="BC80" s="418"/>
      <c r="BD80" s="418"/>
      <c r="BE80" s="418"/>
      <c r="BF80" s="418"/>
      <c r="BG80" s="418"/>
      <c r="BH80" s="418"/>
      <c r="BI80" s="418"/>
      <c r="BJ80" s="418"/>
      <c r="BK80" s="418"/>
      <c r="BL80" s="418"/>
      <c r="BM80" s="418"/>
      <c r="BN80" s="418"/>
      <c r="BO80" s="418"/>
      <c r="BP80" s="418"/>
      <c r="BQ80" s="418"/>
      <c r="BR80" s="418"/>
      <c r="BS80" s="418"/>
      <c r="BT80" s="418"/>
      <c r="BU80" s="418"/>
      <c r="BV80" s="418"/>
      <c r="BW80" s="418"/>
      <c r="BX80" s="418"/>
      <c r="BY80" s="418"/>
      <c r="BZ80" s="418"/>
      <c r="CA80" s="418"/>
      <c r="CB80" s="418"/>
      <c r="CC80" s="418"/>
      <c r="CD80" s="418"/>
      <c r="CE80" s="418"/>
      <c r="CF80" s="418"/>
      <c r="CG80" s="418"/>
      <c r="CH80" s="418"/>
      <c r="CI80" s="418"/>
      <c r="CJ80" s="418"/>
      <c r="CK80" s="418"/>
      <c r="CL80" s="418"/>
      <c r="CM80" s="418"/>
      <c r="CN80" s="418"/>
      <c r="CO80" s="418"/>
      <c r="CP80" s="418"/>
      <c r="CQ80" s="418"/>
      <c r="CR80" s="418"/>
      <c r="CS80" s="418"/>
      <c r="CT80" s="418"/>
      <c r="CU80" s="418"/>
      <c r="CV80" s="418"/>
      <c r="CW80" s="418"/>
      <c r="CX80" s="418"/>
      <c r="CY80" s="418"/>
      <c r="CZ80" s="418"/>
      <c r="DA80" s="418"/>
      <c r="DB80" s="418"/>
      <c r="DC80" s="418"/>
      <c r="DD80" s="418"/>
      <c r="DE80" s="418"/>
      <c r="DF80" s="418"/>
      <c r="DG80" s="418"/>
      <c r="DH80" s="418"/>
      <c r="DI80" s="418"/>
      <c r="DJ80" s="418"/>
      <c r="DK80" s="418"/>
      <c r="DL80" s="418"/>
      <c r="DM80" s="418"/>
      <c r="DN80" s="418"/>
      <c r="DO80" s="418"/>
      <c r="DP80" s="418"/>
      <c r="DQ80" s="418"/>
      <c r="DR80" s="418"/>
      <c r="DS80" s="418"/>
      <c r="DT80" s="418"/>
      <c r="DU80" s="418"/>
      <c r="DV80" s="418"/>
      <c r="DW80" s="418"/>
      <c r="DX80" s="418"/>
      <c r="DY80" s="418"/>
      <c r="DZ80" s="418"/>
      <c r="EA80" s="418"/>
      <c r="EB80" s="418"/>
      <c r="EC80" s="418"/>
      <c r="ED80" s="418"/>
      <c r="EE80" s="418"/>
      <c r="EF80" s="418"/>
      <c r="EG80" s="418"/>
      <c r="EH80" s="418"/>
      <c r="EI80" s="418"/>
      <c r="EJ80" s="418"/>
      <c r="EK80" s="418"/>
      <c r="EL80" s="418"/>
      <c r="EM80" s="418"/>
      <c r="EN80" s="418"/>
      <c r="EO80" s="418"/>
      <c r="EP80" s="418"/>
      <c r="EQ80" s="418"/>
      <c r="ER80" s="418"/>
      <c r="ES80" s="418"/>
      <c r="ET80" s="418"/>
      <c r="EU80" s="418"/>
      <c r="EV80" s="418"/>
      <c r="EW80" s="418"/>
      <c r="EX80" s="418"/>
      <c r="EY80" s="418"/>
      <c r="EZ80" s="418"/>
      <c r="FA80" s="418"/>
      <c r="FB80" s="418"/>
      <c r="FC80" s="418"/>
      <c r="FD80" s="418"/>
      <c r="FE80" s="418"/>
      <c r="FF80" s="418"/>
      <c r="FG80" s="418"/>
      <c r="FH80" s="418"/>
      <c r="FI80" s="418"/>
      <c r="FJ80" s="418"/>
      <c r="FK80" s="418"/>
      <c r="FL80" s="418"/>
      <c r="FM80" s="418"/>
      <c r="FN80" s="418"/>
      <c r="FO80" s="418"/>
      <c r="FP80" s="418"/>
      <c r="FQ80" s="418"/>
      <c r="FR80" s="418"/>
      <c r="FS80" s="418"/>
      <c r="FT80" s="418"/>
      <c r="FU80" s="418"/>
      <c r="FV80" s="418"/>
      <c r="FW80" s="418"/>
      <c r="FX80" s="418"/>
      <c r="FY80" s="418"/>
      <c r="FZ80" s="418"/>
      <c r="GA80" s="418"/>
      <c r="GB80" s="418"/>
      <c r="GC80" s="418"/>
      <c r="GD80" s="418"/>
      <c r="GE80" s="418"/>
      <c r="GF80" s="418"/>
      <c r="GG80" s="418"/>
      <c r="GH80" s="418"/>
      <c r="GI80" s="418"/>
      <c r="GJ80" s="418"/>
      <c r="GK80" s="418"/>
      <c r="GL80" s="418"/>
      <c r="GM80" s="418"/>
      <c r="GN80" s="418"/>
      <c r="GO80" s="418"/>
      <c r="GP80" s="418"/>
      <c r="GQ80" s="418"/>
      <c r="GR80" s="418"/>
      <c r="GS80" s="418"/>
      <c r="GT80" s="418"/>
      <c r="GU80" s="418"/>
      <c r="GV80" s="418"/>
      <c r="GW80" s="418"/>
      <c r="GX80" s="418"/>
      <c r="GY80" s="418"/>
      <c r="GZ80" s="418"/>
      <c r="HA80" s="418"/>
      <c r="HB80" s="418"/>
      <c r="HC80" s="418"/>
      <c r="HD80" s="418"/>
      <c r="HE80" s="418"/>
      <c r="HF80" s="418"/>
      <c r="HG80" s="418"/>
      <c r="HH80" s="418"/>
      <c r="HI80" s="418"/>
      <c r="HJ80" s="418"/>
      <c r="HK80" s="418"/>
      <c r="HL80" s="418"/>
      <c r="HM80" s="418"/>
      <c r="HN80" s="418"/>
      <c r="HO80" s="418"/>
      <c r="HP80" s="418"/>
      <c r="HQ80" s="418"/>
      <c r="HR80" s="418"/>
      <c r="HS80" s="418"/>
      <c r="HT80" s="418"/>
      <c r="HU80" s="418"/>
      <c r="HV80" s="418"/>
      <c r="HW80" s="418"/>
      <c r="HX80" s="418"/>
      <c r="HY80" s="418"/>
      <c r="HZ80" s="418"/>
      <c r="IA80" s="418"/>
      <c r="IB80" s="418"/>
      <c r="IC80" s="418"/>
      <c r="ID80" s="418"/>
      <c r="IE80" s="418"/>
      <c r="IF80" s="418"/>
      <c r="IG80" s="418"/>
      <c r="IH80" s="418"/>
      <c r="II80" s="418"/>
      <c r="IJ80" s="418"/>
      <c r="IK80" s="418"/>
      <c r="IL80" s="418"/>
      <c r="IM80" s="418"/>
      <c r="IN80" s="418"/>
      <c r="IO80" s="418"/>
      <c r="IP80" s="418"/>
      <c r="IQ80" s="418"/>
      <c r="IR80" s="418"/>
      <c r="IS80" s="418"/>
      <c r="IT80" s="418"/>
      <c r="IU80" s="418"/>
      <c r="IV80" s="418"/>
      <c r="IW80" s="418"/>
      <c r="IX80" s="418"/>
      <c r="IY80" s="418"/>
      <c r="IZ80" s="418"/>
      <c r="JA80" s="418"/>
    </row>
    <row r="81" spans="1:261" s="758" customFormat="1" ht="18" customHeight="1" x14ac:dyDescent="0.35">
      <c r="A81" s="773">
        <v>72</v>
      </c>
      <c r="B81" s="2060"/>
      <c r="C81" s="1891"/>
      <c r="D81" s="576" t="s">
        <v>1158</v>
      </c>
      <c r="E81" s="430"/>
      <c r="F81" s="762"/>
      <c r="G81" s="2041"/>
      <c r="H81" s="1079"/>
      <c r="I81" s="1080"/>
      <c r="J81" s="1080"/>
      <c r="K81" s="1080"/>
      <c r="L81" s="1080"/>
      <c r="M81" s="1818"/>
      <c r="N81" s="1080"/>
      <c r="O81" s="2061"/>
      <c r="P81" s="1067"/>
      <c r="Q81" s="418"/>
      <c r="R81" s="418"/>
      <c r="S81" s="418"/>
      <c r="T81" s="418"/>
      <c r="U81" s="418"/>
      <c r="V81" s="418"/>
      <c r="W81" s="418"/>
      <c r="X81" s="418"/>
      <c r="Y81" s="418"/>
      <c r="Z81" s="418"/>
      <c r="AA81" s="418"/>
      <c r="AB81" s="418"/>
      <c r="AC81" s="418"/>
      <c r="AD81" s="418"/>
      <c r="AE81" s="418"/>
      <c r="AF81" s="418"/>
      <c r="AG81" s="418"/>
      <c r="AH81" s="418"/>
      <c r="AI81" s="418"/>
      <c r="AJ81" s="418"/>
      <c r="AK81" s="418"/>
      <c r="AL81" s="418"/>
      <c r="AM81" s="418"/>
      <c r="AN81" s="418"/>
      <c r="AO81" s="418"/>
      <c r="AP81" s="418"/>
      <c r="AQ81" s="418"/>
      <c r="AR81" s="418"/>
      <c r="AS81" s="418"/>
      <c r="AT81" s="418"/>
      <c r="AU81" s="418"/>
      <c r="AV81" s="418"/>
      <c r="AW81" s="418"/>
      <c r="AX81" s="418"/>
      <c r="AY81" s="418"/>
      <c r="AZ81" s="418"/>
      <c r="BA81" s="418"/>
      <c r="BB81" s="418"/>
      <c r="BC81" s="418"/>
      <c r="BD81" s="418"/>
      <c r="BE81" s="418"/>
      <c r="BF81" s="418"/>
      <c r="BG81" s="418"/>
      <c r="BH81" s="418"/>
      <c r="BI81" s="418"/>
      <c r="BJ81" s="418"/>
      <c r="BK81" s="418"/>
      <c r="BL81" s="418"/>
      <c r="BM81" s="418"/>
      <c r="BN81" s="418"/>
      <c r="BO81" s="418"/>
      <c r="BP81" s="418"/>
      <c r="BQ81" s="418"/>
      <c r="BR81" s="418"/>
      <c r="BS81" s="418"/>
      <c r="BT81" s="418"/>
      <c r="BU81" s="418"/>
      <c r="BV81" s="418"/>
      <c r="BW81" s="418"/>
      <c r="BX81" s="418"/>
      <c r="BY81" s="418"/>
      <c r="BZ81" s="418"/>
      <c r="CA81" s="418"/>
      <c r="CB81" s="418"/>
      <c r="CC81" s="418"/>
      <c r="CD81" s="418"/>
      <c r="CE81" s="418"/>
      <c r="CF81" s="418"/>
      <c r="CG81" s="418"/>
      <c r="CH81" s="418"/>
      <c r="CI81" s="418"/>
      <c r="CJ81" s="418"/>
      <c r="CK81" s="418"/>
      <c r="CL81" s="418"/>
      <c r="CM81" s="418"/>
      <c r="CN81" s="418"/>
      <c r="CO81" s="418"/>
      <c r="CP81" s="418"/>
      <c r="CQ81" s="418"/>
      <c r="CR81" s="418"/>
      <c r="CS81" s="418"/>
      <c r="CT81" s="418"/>
      <c r="CU81" s="418"/>
      <c r="CV81" s="418"/>
      <c r="CW81" s="418"/>
      <c r="CX81" s="418"/>
      <c r="CY81" s="418"/>
      <c r="CZ81" s="418"/>
      <c r="DA81" s="418"/>
      <c r="DB81" s="418"/>
      <c r="DC81" s="418"/>
      <c r="DD81" s="418"/>
      <c r="DE81" s="418"/>
      <c r="DF81" s="418"/>
      <c r="DG81" s="418"/>
      <c r="DH81" s="418"/>
      <c r="DI81" s="418"/>
      <c r="DJ81" s="418"/>
      <c r="DK81" s="418"/>
      <c r="DL81" s="418"/>
      <c r="DM81" s="418"/>
      <c r="DN81" s="418"/>
      <c r="DO81" s="418"/>
      <c r="DP81" s="418"/>
      <c r="DQ81" s="418"/>
      <c r="DR81" s="418"/>
      <c r="DS81" s="418"/>
      <c r="DT81" s="418"/>
      <c r="DU81" s="418"/>
      <c r="DV81" s="418"/>
      <c r="DW81" s="418"/>
      <c r="DX81" s="418"/>
      <c r="DY81" s="418"/>
      <c r="DZ81" s="418"/>
      <c r="EA81" s="418"/>
      <c r="EB81" s="418"/>
      <c r="EC81" s="418"/>
      <c r="ED81" s="418"/>
      <c r="EE81" s="418"/>
      <c r="EF81" s="418"/>
      <c r="EG81" s="418"/>
      <c r="EH81" s="418"/>
      <c r="EI81" s="418"/>
      <c r="EJ81" s="418"/>
      <c r="EK81" s="418"/>
      <c r="EL81" s="418"/>
      <c r="EM81" s="418"/>
      <c r="EN81" s="418"/>
      <c r="EO81" s="418"/>
      <c r="EP81" s="418"/>
      <c r="EQ81" s="418"/>
      <c r="ER81" s="418"/>
      <c r="ES81" s="418"/>
      <c r="ET81" s="418"/>
      <c r="EU81" s="418"/>
      <c r="EV81" s="418"/>
      <c r="EW81" s="418"/>
      <c r="EX81" s="418"/>
      <c r="EY81" s="418"/>
      <c r="EZ81" s="418"/>
      <c r="FA81" s="418"/>
      <c r="FB81" s="418"/>
      <c r="FC81" s="418"/>
      <c r="FD81" s="418"/>
      <c r="FE81" s="418"/>
      <c r="FF81" s="418"/>
      <c r="FG81" s="418"/>
      <c r="FH81" s="418"/>
      <c r="FI81" s="418"/>
      <c r="FJ81" s="418"/>
      <c r="FK81" s="418"/>
      <c r="FL81" s="418"/>
      <c r="FM81" s="418"/>
      <c r="FN81" s="418"/>
      <c r="FO81" s="418"/>
      <c r="FP81" s="418"/>
      <c r="FQ81" s="418"/>
      <c r="FR81" s="418"/>
      <c r="FS81" s="418"/>
      <c r="FT81" s="418"/>
      <c r="FU81" s="418"/>
      <c r="FV81" s="418"/>
      <c r="FW81" s="418"/>
      <c r="FX81" s="418"/>
      <c r="FY81" s="418"/>
      <c r="FZ81" s="418"/>
      <c r="GA81" s="418"/>
      <c r="GB81" s="418"/>
      <c r="GC81" s="418"/>
      <c r="GD81" s="418"/>
      <c r="GE81" s="418"/>
      <c r="GF81" s="418"/>
      <c r="GG81" s="418"/>
      <c r="GH81" s="418"/>
      <c r="GI81" s="418"/>
      <c r="GJ81" s="418"/>
      <c r="GK81" s="418"/>
      <c r="GL81" s="418"/>
      <c r="GM81" s="418"/>
      <c r="GN81" s="418"/>
      <c r="GO81" s="418"/>
      <c r="GP81" s="418"/>
      <c r="GQ81" s="418"/>
      <c r="GR81" s="418"/>
      <c r="GS81" s="418"/>
      <c r="GT81" s="418"/>
      <c r="GU81" s="418"/>
      <c r="GV81" s="418"/>
      <c r="GW81" s="418"/>
      <c r="GX81" s="418"/>
      <c r="GY81" s="418"/>
      <c r="GZ81" s="418"/>
      <c r="HA81" s="418"/>
      <c r="HB81" s="418"/>
      <c r="HC81" s="418"/>
      <c r="HD81" s="418"/>
      <c r="HE81" s="418"/>
      <c r="HF81" s="418"/>
      <c r="HG81" s="418"/>
      <c r="HH81" s="418"/>
      <c r="HI81" s="418"/>
      <c r="HJ81" s="418"/>
      <c r="HK81" s="418"/>
      <c r="HL81" s="418"/>
      <c r="HM81" s="418"/>
      <c r="HN81" s="418"/>
      <c r="HO81" s="418"/>
      <c r="HP81" s="418"/>
      <c r="HQ81" s="418"/>
      <c r="HR81" s="418"/>
      <c r="HS81" s="418"/>
      <c r="HT81" s="418"/>
      <c r="HU81" s="418"/>
      <c r="HV81" s="418"/>
      <c r="HW81" s="418"/>
      <c r="HX81" s="418"/>
      <c r="HY81" s="418"/>
      <c r="HZ81" s="418"/>
      <c r="IA81" s="418"/>
      <c r="IB81" s="418"/>
      <c r="IC81" s="418"/>
      <c r="ID81" s="418"/>
      <c r="IE81" s="418"/>
      <c r="IF81" s="418"/>
      <c r="IG81" s="418"/>
      <c r="IH81" s="418"/>
      <c r="II81" s="418"/>
      <c r="IJ81" s="418"/>
      <c r="IK81" s="418"/>
      <c r="IL81" s="418"/>
      <c r="IM81" s="418"/>
      <c r="IN81" s="418"/>
      <c r="IO81" s="418"/>
      <c r="IP81" s="418"/>
      <c r="IQ81" s="418"/>
      <c r="IR81" s="418"/>
      <c r="IS81" s="418"/>
      <c r="IT81" s="418"/>
      <c r="IU81" s="418"/>
      <c r="IV81" s="418"/>
      <c r="IW81" s="418"/>
      <c r="IX81" s="418"/>
      <c r="IY81" s="418"/>
      <c r="IZ81" s="418"/>
      <c r="JA81" s="418"/>
    </row>
    <row r="82" spans="1:261" s="758" customFormat="1" ht="18" customHeight="1" x14ac:dyDescent="0.35">
      <c r="A82" s="773">
        <v>73</v>
      </c>
      <c r="B82" s="2060"/>
      <c r="C82" s="1891"/>
      <c r="D82" s="2062" t="s">
        <v>969</v>
      </c>
      <c r="E82" s="430"/>
      <c r="F82" s="762"/>
      <c r="G82" s="2041"/>
      <c r="H82" s="1079"/>
      <c r="I82" s="1080"/>
      <c r="J82" s="1080"/>
      <c r="K82" s="1818">
        <v>1500</v>
      </c>
      <c r="L82" s="1080"/>
      <c r="M82" s="1818"/>
      <c r="N82" s="1080"/>
      <c r="O82" s="2061">
        <f>SUM(J82:N82)</f>
        <v>1500</v>
      </c>
      <c r="P82" s="1067"/>
      <c r="Q82" s="418"/>
      <c r="R82" s="418"/>
      <c r="S82" s="418"/>
      <c r="T82" s="418"/>
      <c r="U82" s="418"/>
      <c r="V82" s="418"/>
      <c r="W82" s="418"/>
      <c r="X82" s="418"/>
      <c r="Y82" s="418"/>
      <c r="Z82" s="418"/>
      <c r="AA82" s="418"/>
      <c r="AB82" s="418"/>
      <c r="AC82" s="418"/>
      <c r="AD82" s="418"/>
      <c r="AE82" s="418"/>
      <c r="AF82" s="418"/>
      <c r="AG82" s="418"/>
      <c r="AH82" s="418"/>
      <c r="AI82" s="418"/>
      <c r="AJ82" s="418"/>
      <c r="AK82" s="418"/>
      <c r="AL82" s="418"/>
      <c r="AM82" s="418"/>
      <c r="AN82" s="418"/>
      <c r="AO82" s="418"/>
      <c r="AP82" s="418"/>
      <c r="AQ82" s="418"/>
      <c r="AR82" s="418"/>
      <c r="AS82" s="418"/>
      <c r="AT82" s="418"/>
      <c r="AU82" s="418"/>
      <c r="AV82" s="418"/>
      <c r="AW82" s="418"/>
      <c r="AX82" s="418"/>
      <c r="AY82" s="418"/>
      <c r="AZ82" s="418"/>
      <c r="BA82" s="418"/>
      <c r="BB82" s="418"/>
      <c r="BC82" s="418"/>
      <c r="BD82" s="418"/>
      <c r="BE82" s="418"/>
      <c r="BF82" s="418"/>
      <c r="BG82" s="418"/>
      <c r="BH82" s="418"/>
      <c r="BI82" s="418"/>
      <c r="BJ82" s="418"/>
      <c r="BK82" s="418"/>
      <c r="BL82" s="418"/>
      <c r="BM82" s="418"/>
      <c r="BN82" s="418"/>
      <c r="BO82" s="418"/>
      <c r="BP82" s="418"/>
      <c r="BQ82" s="418"/>
      <c r="BR82" s="418"/>
      <c r="BS82" s="418"/>
      <c r="BT82" s="418"/>
      <c r="BU82" s="418"/>
      <c r="BV82" s="418"/>
      <c r="BW82" s="418"/>
      <c r="BX82" s="418"/>
      <c r="BY82" s="418"/>
      <c r="BZ82" s="418"/>
      <c r="CA82" s="418"/>
      <c r="CB82" s="418"/>
      <c r="CC82" s="418"/>
      <c r="CD82" s="418"/>
      <c r="CE82" s="418"/>
      <c r="CF82" s="418"/>
      <c r="CG82" s="418"/>
      <c r="CH82" s="418"/>
      <c r="CI82" s="418"/>
      <c r="CJ82" s="418"/>
      <c r="CK82" s="418"/>
      <c r="CL82" s="418"/>
      <c r="CM82" s="418"/>
      <c r="CN82" s="418"/>
      <c r="CO82" s="418"/>
      <c r="CP82" s="418"/>
      <c r="CQ82" s="418"/>
      <c r="CR82" s="418"/>
      <c r="CS82" s="418"/>
      <c r="CT82" s="418"/>
      <c r="CU82" s="418"/>
      <c r="CV82" s="418"/>
      <c r="CW82" s="418"/>
      <c r="CX82" s="418"/>
      <c r="CY82" s="418"/>
      <c r="CZ82" s="418"/>
      <c r="DA82" s="418"/>
      <c r="DB82" s="418"/>
      <c r="DC82" s="418"/>
      <c r="DD82" s="418"/>
      <c r="DE82" s="418"/>
      <c r="DF82" s="418"/>
      <c r="DG82" s="418"/>
      <c r="DH82" s="418"/>
      <c r="DI82" s="418"/>
      <c r="DJ82" s="418"/>
      <c r="DK82" s="418"/>
      <c r="DL82" s="418"/>
      <c r="DM82" s="418"/>
      <c r="DN82" s="418"/>
      <c r="DO82" s="418"/>
      <c r="DP82" s="418"/>
      <c r="DQ82" s="418"/>
      <c r="DR82" s="418"/>
      <c r="DS82" s="418"/>
      <c r="DT82" s="418"/>
      <c r="DU82" s="418"/>
      <c r="DV82" s="418"/>
      <c r="DW82" s="418"/>
      <c r="DX82" s="418"/>
      <c r="DY82" s="418"/>
      <c r="DZ82" s="418"/>
      <c r="EA82" s="418"/>
      <c r="EB82" s="418"/>
      <c r="EC82" s="418"/>
      <c r="ED82" s="418"/>
      <c r="EE82" s="418"/>
      <c r="EF82" s="418"/>
      <c r="EG82" s="418"/>
      <c r="EH82" s="418"/>
      <c r="EI82" s="418"/>
      <c r="EJ82" s="418"/>
      <c r="EK82" s="418"/>
      <c r="EL82" s="418"/>
      <c r="EM82" s="418"/>
      <c r="EN82" s="418"/>
      <c r="EO82" s="418"/>
      <c r="EP82" s="418"/>
      <c r="EQ82" s="418"/>
      <c r="ER82" s="418"/>
      <c r="ES82" s="418"/>
      <c r="ET82" s="418"/>
      <c r="EU82" s="418"/>
      <c r="EV82" s="418"/>
      <c r="EW82" s="418"/>
      <c r="EX82" s="418"/>
      <c r="EY82" s="418"/>
      <c r="EZ82" s="418"/>
      <c r="FA82" s="418"/>
      <c r="FB82" s="418"/>
      <c r="FC82" s="418"/>
      <c r="FD82" s="418"/>
      <c r="FE82" s="418"/>
      <c r="FF82" s="418"/>
      <c r="FG82" s="418"/>
      <c r="FH82" s="418"/>
      <c r="FI82" s="418"/>
      <c r="FJ82" s="418"/>
      <c r="FK82" s="418"/>
      <c r="FL82" s="418"/>
      <c r="FM82" s="418"/>
      <c r="FN82" s="418"/>
      <c r="FO82" s="418"/>
      <c r="FP82" s="418"/>
      <c r="FQ82" s="418"/>
      <c r="FR82" s="418"/>
      <c r="FS82" s="418"/>
      <c r="FT82" s="418"/>
      <c r="FU82" s="418"/>
      <c r="FV82" s="418"/>
      <c r="FW82" s="418"/>
      <c r="FX82" s="418"/>
      <c r="FY82" s="418"/>
      <c r="FZ82" s="418"/>
      <c r="GA82" s="418"/>
      <c r="GB82" s="418"/>
      <c r="GC82" s="418"/>
      <c r="GD82" s="418"/>
      <c r="GE82" s="418"/>
      <c r="GF82" s="418"/>
      <c r="GG82" s="418"/>
      <c r="GH82" s="418"/>
      <c r="GI82" s="418"/>
      <c r="GJ82" s="418"/>
      <c r="GK82" s="418"/>
      <c r="GL82" s="418"/>
      <c r="GM82" s="418"/>
      <c r="GN82" s="418"/>
      <c r="GO82" s="418"/>
      <c r="GP82" s="418"/>
      <c r="GQ82" s="418"/>
      <c r="GR82" s="418"/>
      <c r="GS82" s="418"/>
      <c r="GT82" s="418"/>
      <c r="GU82" s="418"/>
      <c r="GV82" s="418"/>
      <c r="GW82" s="418"/>
      <c r="GX82" s="418"/>
      <c r="GY82" s="418"/>
      <c r="GZ82" s="418"/>
      <c r="HA82" s="418"/>
      <c r="HB82" s="418"/>
      <c r="HC82" s="418"/>
      <c r="HD82" s="418"/>
      <c r="HE82" s="418"/>
      <c r="HF82" s="418"/>
      <c r="HG82" s="418"/>
      <c r="HH82" s="418"/>
      <c r="HI82" s="418"/>
      <c r="HJ82" s="418"/>
      <c r="HK82" s="418"/>
      <c r="HL82" s="418"/>
      <c r="HM82" s="418"/>
      <c r="HN82" s="418"/>
      <c r="HO82" s="418"/>
      <c r="HP82" s="418"/>
      <c r="HQ82" s="418"/>
      <c r="HR82" s="418"/>
      <c r="HS82" s="418"/>
      <c r="HT82" s="418"/>
      <c r="HU82" s="418"/>
      <c r="HV82" s="418"/>
      <c r="HW82" s="418"/>
      <c r="HX82" s="418"/>
      <c r="HY82" s="418"/>
      <c r="HZ82" s="418"/>
      <c r="IA82" s="418"/>
      <c r="IB82" s="418"/>
      <c r="IC82" s="418"/>
      <c r="ID82" s="418"/>
      <c r="IE82" s="418"/>
      <c r="IF82" s="418"/>
      <c r="IG82" s="418"/>
      <c r="IH82" s="418"/>
      <c r="II82" s="418"/>
      <c r="IJ82" s="418"/>
      <c r="IK82" s="418"/>
      <c r="IL82" s="418"/>
      <c r="IM82" s="418"/>
      <c r="IN82" s="418"/>
      <c r="IO82" s="418"/>
      <c r="IP82" s="418"/>
      <c r="IQ82" s="418"/>
      <c r="IR82" s="418"/>
      <c r="IS82" s="418"/>
      <c r="IT82" s="418"/>
      <c r="IU82" s="418"/>
      <c r="IV82" s="418"/>
      <c r="IW82" s="418"/>
      <c r="IX82" s="418"/>
      <c r="IY82" s="418"/>
      <c r="IZ82" s="418"/>
      <c r="JA82" s="418"/>
    </row>
    <row r="83" spans="1:261" s="758" customFormat="1" ht="18" customHeight="1" x14ac:dyDescent="0.35">
      <c r="A83" s="773">
        <v>74</v>
      </c>
      <c r="B83" s="2060"/>
      <c r="C83" s="1891"/>
      <c r="D83" s="2062"/>
      <c r="E83" s="430"/>
      <c r="F83" s="762"/>
      <c r="G83" s="2041"/>
      <c r="H83" s="1079"/>
      <c r="I83" s="1080"/>
      <c r="J83" s="1080"/>
      <c r="K83" s="2064"/>
      <c r="L83" s="1080"/>
      <c r="M83" s="1818"/>
      <c r="N83" s="1080"/>
      <c r="O83" s="2065">
        <f>SUM(I83:N83)</f>
        <v>0</v>
      </c>
      <c r="P83" s="1067"/>
      <c r="Q83" s="418"/>
      <c r="R83" s="418"/>
      <c r="S83" s="418"/>
      <c r="T83" s="418"/>
      <c r="U83" s="418"/>
      <c r="V83" s="418"/>
      <c r="W83" s="418"/>
      <c r="X83" s="418"/>
      <c r="Y83" s="418"/>
      <c r="Z83" s="418"/>
      <c r="AA83" s="418"/>
      <c r="AB83" s="418"/>
      <c r="AC83" s="418"/>
      <c r="AD83" s="418"/>
      <c r="AE83" s="418"/>
      <c r="AF83" s="418"/>
      <c r="AG83" s="418"/>
      <c r="AH83" s="418"/>
      <c r="AI83" s="418"/>
      <c r="AJ83" s="418"/>
      <c r="AK83" s="418"/>
      <c r="AL83" s="418"/>
      <c r="AM83" s="418"/>
      <c r="AN83" s="418"/>
      <c r="AO83" s="418"/>
      <c r="AP83" s="418"/>
      <c r="AQ83" s="418"/>
      <c r="AR83" s="418"/>
      <c r="AS83" s="418"/>
      <c r="AT83" s="418"/>
      <c r="AU83" s="418"/>
      <c r="AV83" s="418"/>
      <c r="AW83" s="418"/>
      <c r="AX83" s="418"/>
      <c r="AY83" s="418"/>
      <c r="AZ83" s="418"/>
      <c r="BA83" s="418"/>
      <c r="BB83" s="418"/>
      <c r="BC83" s="418"/>
      <c r="BD83" s="418"/>
      <c r="BE83" s="418"/>
      <c r="BF83" s="418"/>
      <c r="BG83" s="418"/>
      <c r="BH83" s="418"/>
      <c r="BI83" s="418"/>
      <c r="BJ83" s="418"/>
      <c r="BK83" s="418"/>
      <c r="BL83" s="418"/>
      <c r="BM83" s="418"/>
      <c r="BN83" s="418"/>
      <c r="BO83" s="418"/>
      <c r="BP83" s="418"/>
      <c r="BQ83" s="418"/>
      <c r="BR83" s="418"/>
      <c r="BS83" s="418"/>
      <c r="BT83" s="418"/>
      <c r="BU83" s="418"/>
      <c r="BV83" s="418"/>
      <c r="BW83" s="418"/>
      <c r="BX83" s="418"/>
      <c r="BY83" s="418"/>
      <c r="BZ83" s="418"/>
      <c r="CA83" s="418"/>
      <c r="CB83" s="418"/>
      <c r="CC83" s="418"/>
      <c r="CD83" s="418"/>
      <c r="CE83" s="418"/>
      <c r="CF83" s="418"/>
      <c r="CG83" s="418"/>
      <c r="CH83" s="418"/>
      <c r="CI83" s="418"/>
      <c r="CJ83" s="418"/>
      <c r="CK83" s="418"/>
      <c r="CL83" s="418"/>
      <c r="CM83" s="418"/>
      <c r="CN83" s="418"/>
      <c r="CO83" s="418"/>
      <c r="CP83" s="418"/>
      <c r="CQ83" s="418"/>
      <c r="CR83" s="418"/>
      <c r="CS83" s="418"/>
      <c r="CT83" s="418"/>
      <c r="CU83" s="418"/>
      <c r="CV83" s="418"/>
      <c r="CW83" s="418"/>
      <c r="CX83" s="418"/>
      <c r="CY83" s="418"/>
      <c r="CZ83" s="418"/>
      <c r="DA83" s="418"/>
      <c r="DB83" s="418"/>
      <c r="DC83" s="418"/>
      <c r="DD83" s="418"/>
      <c r="DE83" s="418"/>
      <c r="DF83" s="418"/>
      <c r="DG83" s="418"/>
      <c r="DH83" s="418"/>
      <c r="DI83" s="418"/>
      <c r="DJ83" s="418"/>
      <c r="DK83" s="418"/>
      <c r="DL83" s="418"/>
      <c r="DM83" s="418"/>
      <c r="DN83" s="418"/>
      <c r="DO83" s="418"/>
      <c r="DP83" s="418"/>
      <c r="DQ83" s="418"/>
      <c r="DR83" s="418"/>
      <c r="DS83" s="418"/>
      <c r="DT83" s="418"/>
      <c r="DU83" s="418"/>
      <c r="DV83" s="418"/>
      <c r="DW83" s="418"/>
      <c r="DX83" s="418"/>
      <c r="DY83" s="418"/>
      <c r="DZ83" s="418"/>
      <c r="EA83" s="418"/>
      <c r="EB83" s="418"/>
      <c r="EC83" s="418"/>
      <c r="ED83" s="418"/>
      <c r="EE83" s="418"/>
      <c r="EF83" s="418"/>
      <c r="EG83" s="418"/>
      <c r="EH83" s="418"/>
      <c r="EI83" s="418"/>
      <c r="EJ83" s="418"/>
      <c r="EK83" s="418"/>
      <c r="EL83" s="418"/>
      <c r="EM83" s="418"/>
      <c r="EN83" s="418"/>
      <c r="EO83" s="418"/>
      <c r="EP83" s="418"/>
      <c r="EQ83" s="418"/>
      <c r="ER83" s="418"/>
      <c r="ES83" s="418"/>
      <c r="ET83" s="418"/>
      <c r="EU83" s="418"/>
      <c r="EV83" s="418"/>
      <c r="EW83" s="418"/>
      <c r="EX83" s="418"/>
      <c r="EY83" s="418"/>
      <c r="EZ83" s="418"/>
      <c r="FA83" s="418"/>
      <c r="FB83" s="418"/>
      <c r="FC83" s="418"/>
      <c r="FD83" s="418"/>
      <c r="FE83" s="418"/>
      <c r="FF83" s="418"/>
      <c r="FG83" s="418"/>
      <c r="FH83" s="418"/>
      <c r="FI83" s="418"/>
      <c r="FJ83" s="418"/>
      <c r="FK83" s="418"/>
      <c r="FL83" s="418"/>
      <c r="FM83" s="418"/>
      <c r="FN83" s="418"/>
      <c r="FO83" s="418"/>
      <c r="FP83" s="418"/>
      <c r="FQ83" s="418"/>
      <c r="FR83" s="418"/>
      <c r="FS83" s="418"/>
      <c r="FT83" s="418"/>
      <c r="FU83" s="418"/>
      <c r="FV83" s="418"/>
      <c r="FW83" s="418"/>
      <c r="FX83" s="418"/>
      <c r="FY83" s="418"/>
      <c r="FZ83" s="418"/>
      <c r="GA83" s="418"/>
      <c r="GB83" s="418"/>
      <c r="GC83" s="418"/>
      <c r="GD83" s="418"/>
      <c r="GE83" s="418"/>
      <c r="GF83" s="418"/>
      <c r="GG83" s="418"/>
      <c r="GH83" s="418"/>
      <c r="GI83" s="418"/>
      <c r="GJ83" s="418"/>
      <c r="GK83" s="418"/>
      <c r="GL83" s="418"/>
      <c r="GM83" s="418"/>
      <c r="GN83" s="418"/>
      <c r="GO83" s="418"/>
      <c r="GP83" s="418"/>
      <c r="GQ83" s="418"/>
      <c r="GR83" s="418"/>
      <c r="GS83" s="418"/>
      <c r="GT83" s="418"/>
      <c r="GU83" s="418"/>
      <c r="GV83" s="418"/>
      <c r="GW83" s="418"/>
      <c r="GX83" s="418"/>
      <c r="GY83" s="418"/>
      <c r="GZ83" s="418"/>
      <c r="HA83" s="418"/>
      <c r="HB83" s="418"/>
      <c r="HC83" s="418"/>
      <c r="HD83" s="418"/>
      <c r="HE83" s="418"/>
      <c r="HF83" s="418"/>
      <c r="HG83" s="418"/>
      <c r="HH83" s="418"/>
      <c r="HI83" s="418"/>
      <c r="HJ83" s="418"/>
      <c r="HK83" s="418"/>
      <c r="HL83" s="418"/>
      <c r="HM83" s="418"/>
      <c r="HN83" s="418"/>
      <c r="HO83" s="418"/>
      <c r="HP83" s="418"/>
      <c r="HQ83" s="418"/>
      <c r="HR83" s="418"/>
      <c r="HS83" s="418"/>
      <c r="HT83" s="418"/>
      <c r="HU83" s="418"/>
      <c r="HV83" s="418"/>
      <c r="HW83" s="418"/>
      <c r="HX83" s="418"/>
      <c r="HY83" s="418"/>
      <c r="HZ83" s="418"/>
      <c r="IA83" s="418"/>
      <c r="IB83" s="418"/>
      <c r="IC83" s="418"/>
      <c r="ID83" s="418"/>
      <c r="IE83" s="418"/>
      <c r="IF83" s="418"/>
      <c r="IG83" s="418"/>
      <c r="IH83" s="418"/>
      <c r="II83" s="418"/>
      <c r="IJ83" s="418"/>
      <c r="IK83" s="418"/>
      <c r="IL83" s="418"/>
      <c r="IM83" s="418"/>
      <c r="IN83" s="418"/>
      <c r="IO83" s="418"/>
      <c r="IP83" s="418"/>
      <c r="IQ83" s="418"/>
      <c r="IR83" s="418"/>
      <c r="IS83" s="418"/>
      <c r="IT83" s="418"/>
      <c r="IU83" s="418"/>
      <c r="IV83" s="418"/>
      <c r="IW83" s="418"/>
      <c r="IX83" s="418"/>
      <c r="IY83" s="418"/>
      <c r="IZ83" s="418"/>
      <c r="JA83" s="418"/>
    </row>
    <row r="84" spans="1:261" s="758" customFormat="1" ht="18" customHeight="1" x14ac:dyDescent="0.35">
      <c r="A84" s="773">
        <v>75</v>
      </c>
      <c r="B84" s="2060"/>
      <c r="C84" s="1891"/>
      <c r="D84" s="2063" t="s">
        <v>1250</v>
      </c>
      <c r="E84" s="430"/>
      <c r="F84" s="762"/>
      <c r="G84" s="2041"/>
      <c r="H84" s="1079"/>
      <c r="I84" s="1080"/>
      <c r="J84" s="1080"/>
      <c r="K84" s="1818">
        <f>SUM(K82:K83)</f>
        <v>1500</v>
      </c>
      <c r="L84" s="1080"/>
      <c r="M84" s="1818"/>
      <c r="N84" s="1080"/>
      <c r="O84" s="1547">
        <f>SUM(I84:N84)</f>
        <v>1500</v>
      </c>
      <c r="P84" s="1067"/>
      <c r="Q84" s="418"/>
      <c r="R84" s="418"/>
      <c r="S84" s="418"/>
      <c r="T84" s="418"/>
      <c r="U84" s="418"/>
      <c r="V84" s="418"/>
      <c r="W84" s="418"/>
      <c r="X84" s="418"/>
      <c r="Y84" s="418"/>
      <c r="Z84" s="418"/>
      <c r="AA84" s="418"/>
      <c r="AB84" s="418"/>
      <c r="AC84" s="418"/>
      <c r="AD84" s="418"/>
      <c r="AE84" s="418"/>
      <c r="AF84" s="418"/>
      <c r="AG84" s="418"/>
      <c r="AH84" s="418"/>
      <c r="AI84" s="418"/>
      <c r="AJ84" s="418"/>
      <c r="AK84" s="418"/>
      <c r="AL84" s="418"/>
      <c r="AM84" s="418"/>
      <c r="AN84" s="418"/>
      <c r="AO84" s="418"/>
      <c r="AP84" s="418"/>
      <c r="AQ84" s="418"/>
      <c r="AR84" s="418"/>
      <c r="AS84" s="418"/>
      <c r="AT84" s="418"/>
      <c r="AU84" s="418"/>
      <c r="AV84" s="418"/>
      <c r="AW84" s="418"/>
      <c r="AX84" s="418"/>
      <c r="AY84" s="418"/>
      <c r="AZ84" s="418"/>
      <c r="BA84" s="418"/>
      <c r="BB84" s="418"/>
      <c r="BC84" s="418"/>
      <c r="BD84" s="418"/>
      <c r="BE84" s="418"/>
      <c r="BF84" s="418"/>
      <c r="BG84" s="418"/>
      <c r="BH84" s="418"/>
      <c r="BI84" s="418"/>
      <c r="BJ84" s="418"/>
      <c r="BK84" s="418"/>
      <c r="BL84" s="418"/>
      <c r="BM84" s="418"/>
      <c r="BN84" s="418"/>
      <c r="BO84" s="418"/>
      <c r="BP84" s="418"/>
      <c r="BQ84" s="418"/>
      <c r="BR84" s="418"/>
      <c r="BS84" s="418"/>
      <c r="BT84" s="418"/>
      <c r="BU84" s="418"/>
      <c r="BV84" s="418"/>
      <c r="BW84" s="418"/>
      <c r="BX84" s="418"/>
      <c r="BY84" s="418"/>
      <c r="BZ84" s="418"/>
      <c r="CA84" s="418"/>
      <c r="CB84" s="418"/>
      <c r="CC84" s="418"/>
      <c r="CD84" s="418"/>
      <c r="CE84" s="418"/>
      <c r="CF84" s="418"/>
      <c r="CG84" s="418"/>
      <c r="CH84" s="418"/>
      <c r="CI84" s="418"/>
      <c r="CJ84" s="418"/>
      <c r="CK84" s="418"/>
      <c r="CL84" s="418"/>
      <c r="CM84" s="418"/>
      <c r="CN84" s="418"/>
      <c r="CO84" s="418"/>
      <c r="CP84" s="418"/>
      <c r="CQ84" s="418"/>
      <c r="CR84" s="418"/>
      <c r="CS84" s="418"/>
      <c r="CT84" s="418"/>
      <c r="CU84" s="418"/>
      <c r="CV84" s="418"/>
      <c r="CW84" s="418"/>
      <c r="CX84" s="418"/>
      <c r="CY84" s="418"/>
      <c r="CZ84" s="418"/>
      <c r="DA84" s="418"/>
      <c r="DB84" s="418"/>
      <c r="DC84" s="418"/>
      <c r="DD84" s="418"/>
      <c r="DE84" s="418"/>
      <c r="DF84" s="418"/>
      <c r="DG84" s="418"/>
      <c r="DH84" s="418"/>
      <c r="DI84" s="418"/>
      <c r="DJ84" s="418"/>
      <c r="DK84" s="418"/>
      <c r="DL84" s="418"/>
      <c r="DM84" s="418"/>
      <c r="DN84" s="418"/>
      <c r="DO84" s="418"/>
      <c r="DP84" s="418"/>
      <c r="DQ84" s="418"/>
      <c r="DR84" s="418"/>
      <c r="DS84" s="418"/>
      <c r="DT84" s="418"/>
      <c r="DU84" s="418"/>
      <c r="DV84" s="418"/>
      <c r="DW84" s="418"/>
      <c r="DX84" s="418"/>
      <c r="DY84" s="418"/>
      <c r="DZ84" s="418"/>
      <c r="EA84" s="418"/>
      <c r="EB84" s="418"/>
      <c r="EC84" s="418"/>
      <c r="ED84" s="418"/>
      <c r="EE84" s="418"/>
      <c r="EF84" s="418"/>
      <c r="EG84" s="418"/>
      <c r="EH84" s="418"/>
      <c r="EI84" s="418"/>
      <c r="EJ84" s="418"/>
      <c r="EK84" s="418"/>
      <c r="EL84" s="418"/>
      <c r="EM84" s="418"/>
      <c r="EN84" s="418"/>
      <c r="EO84" s="418"/>
      <c r="EP84" s="418"/>
      <c r="EQ84" s="418"/>
      <c r="ER84" s="418"/>
      <c r="ES84" s="418"/>
      <c r="ET84" s="418"/>
      <c r="EU84" s="418"/>
      <c r="EV84" s="418"/>
      <c r="EW84" s="418"/>
      <c r="EX84" s="418"/>
      <c r="EY84" s="418"/>
      <c r="EZ84" s="418"/>
      <c r="FA84" s="418"/>
      <c r="FB84" s="418"/>
      <c r="FC84" s="418"/>
      <c r="FD84" s="418"/>
      <c r="FE84" s="418"/>
      <c r="FF84" s="418"/>
      <c r="FG84" s="418"/>
      <c r="FH84" s="418"/>
      <c r="FI84" s="418"/>
      <c r="FJ84" s="418"/>
      <c r="FK84" s="418"/>
      <c r="FL84" s="418"/>
      <c r="FM84" s="418"/>
      <c r="FN84" s="418"/>
      <c r="FO84" s="418"/>
      <c r="FP84" s="418"/>
      <c r="FQ84" s="418"/>
      <c r="FR84" s="418"/>
      <c r="FS84" s="418"/>
      <c r="FT84" s="418"/>
      <c r="FU84" s="418"/>
      <c r="FV84" s="418"/>
      <c r="FW84" s="418"/>
      <c r="FX84" s="418"/>
      <c r="FY84" s="418"/>
      <c r="FZ84" s="418"/>
      <c r="GA84" s="418"/>
      <c r="GB84" s="418"/>
      <c r="GC84" s="418"/>
      <c r="GD84" s="418"/>
      <c r="GE84" s="418"/>
      <c r="GF84" s="418"/>
      <c r="GG84" s="418"/>
      <c r="GH84" s="418"/>
      <c r="GI84" s="418"/>
      <c r="GJ84" s="418"/>
      <c r="GK84" s="418"/>
      <c r="GL84" s="418"/>
      <c r="GM84" s="418"/>
      <c r="GN84" s="418"/>
      <c r="GO84" s="418"/>
      <c r="GP84" s="418"/>
      <c r="GQ84" s="418"/>
      <c r="GR84" s="418"/>
      <c r="GS84" s="418"/>
      <c r="GT84" s="418"/>
      <c r="GU84" s="418"/>
      <c r="GV84" s="418"/>
      <c r="GW84" s="418"/>
      <c r="GX84" s="418"/>
      <c r="GY84" s="418"/>
      <c r="GZ84" s="418"/>
      <c r="HA84" s="418"/>
      <c r="HB84" s="418"/>
      <c r="HC84" s="418"/>
      <c r="HD84" s="418"/>
      <c r="HE84" s="418"/>
      <c r="HF84" s="418"/>
      <c r="HG84" s="418"/>
      <c r="HH84" s="418"/>
      <c r="HI84" s="418"/>
      <c r="HJ84" s="418"/>
      <c r="HK84" s="418"/>
      <c r="HL84" s="418"/>
      <c r="HM84" s="418"/>
      <c r="HN84" s="418"/>
      <c r="HO84" s="418"/>
      <c r="HP84" s="418"/>
      <c r="HQ84" s="418"/>
      <c r="HR84" s="418"/>
      <c r="HS84" s="418"/>
      <c r="HT84" s="418"/>
      <c r="HU84" s="418"/>
      <c r="HV84" s="418"/>
      <c r="HW84" s="418"/>
      <c r="HX84" s="418"/>
      <c r="HY84" s="418"/>
      <c r="HZ84" s="418"/>
      <c r="IA84" s="418"/>
      <c r="IB84" s="418"/>
      <c r="IC84" s="418"/>
      <c r="ID84" s="418"/>
      <c r="IE84" s="418"/>
      <c r="IF84" s="418"/>
      <c r="IG84" s="418"/>
      <c r="IH84" s="418"/>
      <c r="II84" s="418"/>
      <c r="IJ84" s="418"/>
      <c r="IK84" s="418"/>
      <c r="IL84" s="418"/>
      <c r="IM84" s="418"/>
      <c r="IN84" s="418"/>
      <c r="IO84" s="418"/>
      <c r="IP84" s="418"/>
      <c r="IQ84" s="418"/>
      <c r="IR84" s="418"/>
      <c r="IS84" s="418"/>
      <c r="IT84" s="418"/>
      <c r="IU84" s="418"/>
      <c r="IV84" s="418"/>
      <c r="IW84" s="418"/>
      <c r="IX84" s="418"/>
      <c r="IY84" s="418"/>
      <c r="IZ84" s="418"/>
      <c r="JA84" s="418"/>
    </row>
    <row r="85" spans="1:261" s="758" customFormat="1" ht="18" customHeight="1" x14ac:dyDescent="0.35">
      <c r="A85" s="773">
        <v>76</v>
      </c>
      <c r="B85" s="2005"/>
      <c r="C85" s="420">
        <v>16</v>
      </c>
      <c r="D85" s="770" t="s">
        <v>1186</v>
      </c>
      <c r="E85" s="430"/>
      <c r="F85" s="762"/>
      <c r="G85" s="2006"/>
      <c r="H85" s="999" t="s">
        <v>23</v>
      </c>
      <c r="I85" s="995"/>
      <c r="J85" s="995"/>
      <c r="K85" s="995"/>
      <c r="L85" s="995"/>
      <c r="M85" s="1525"/>
      <c r="N85" s="995"/>
      <c r="O85" s="2016"/>
      <c r="P85" s="763"/>
      <c r="Q85" s="418"/>
      <c r="R85" s="418"/>
      <c r="S85" s="418"/>
      <c r="T85" s="418"/>
      <c r="U85" s="418"/>
      <c r="V85" s="418"/>
      <c r="W85" s="418"/>
      <c r="X85" s="418"/>
      <c r="Y85" s="418"/>
      <c r="Z85" s="418"/>
      <c r="AA85" s="418"/>
      <c r="AB85" s="418"/>
      <c r="AC85" s="418"/>
      <c r="AD85" s="418"/>
      <c r="AE85" s="418"/>
      <c r="AF85" s="418"/>
      <c r="AG85" s="418"/>
      <c r="AH85" s="418"/>
      <c r="AI85" s="418"/>
      <c r="AJ85" s="418"/>
      <c r="AK85" s="418"/>
      <c r="AL85" s="418"/>
      <c r="AM85" s="418"/>
      <c r="AN85" s="418"/>
      <c r="AO85" s="418"/>
      <c r="AP85" s="418"/>
      <c r="AQ85" s="418"/>
      <c r="AR85" s="418"/>
      <c r="AS85" s="418"/>
      <c r="AT85" s="418"/>
      <c r="AU85" s="418"/>
      <c r="AV85" s="418"/>
      <c r="AW85" s="418"/>
      <c r="AX85" s="418"/>
      <c r="AY85" s="418"/>
      <c r="AZ85" s="418"/>
      <c r="BA85" s="418"/>
      <c r="BB85" s="418"/>
      <c r="BC85" s="418"/>
      <c r="BD85" s="418"/>
      <c r="BE85" s="418"/>
      <c r="BF85" s="418"/>
      <c r="BG85" s="418"/>
      <c r="BH85" s="418"/>
      <c r="BI85" s="418"/>
      <c r="BJ85" s="418"/>
      <c r="BK85" s="418"/>
      <c r="BL85" s="418"/>
      <c r="BM85" s="418"/>
      <c r="BN85" s="418"/>
      <c r="BO85" s="418"/>
      <c r="BP85" s="418"/>
      <c r="BQ85" s="418"/>
      <c r="BR85" s="418"/>
      <c r="BS85" s="418"/>
      <c r="BT85" s="418"/>
      <c r="BU85" s="418"/>
      <c r="BV85" s="418"/>
      <c r="BW85" s="418"/>
      <c r="BX85" s="418"/>
      <c r="BY85" s="418"/>
      <c r="BZ85" s="418"/>
      <c r="CA85" s="418"/>
      <c r="CB85" s="418"/>
      <c r="CC85" s="418"/>
      <c r="CD85" s="418"/>
      <c r="CE85" s="418"/>
      <c r="CF85" s="418"/>
      <c r="CG85" s="418"/>
      <c r="CH85" s="418"/>
      <c r="CI85" s="418"/>
      <c r="CJ85" s="418"/>
      <c r="CK85" s="418"/>
      <c r="CL85" s="418"/>
      <c r="CM85" s="418"/>
      <c r="CN85" s="418"/>
      <c r="CO85" s="418"/>
      <c r="CP85" s="418"/>
      <c r="CQ85" s="418"/>
      <c r="CR85" s="418"/>
      <c r="CS85" s="418"/>
      <c r="CT85" s="418"/>
      <c r="CU85" s="418"/>
      <c r="CV85" s="418"/>
      <c r="CW85" s="418"/>
      <c r="CX85" s="418"/>
      <c r="CY85" s="418"/>
      <c r="CZ85" s="418"/>
      <c r="DA85" s="418"/>
      <c r="DB85" s="418"/>
      <c r="DC85" s="418"/>
      <c r="DD85" s="418"/>
      <c r="DE85" s="418"/>
      <c r="DF85" s="418"/>
      <c r="DG85" s="418"/>
      <c r="DH85" s="418"/>
      <c r="DI85" s="418"/>
      <c r="DJ85" s="418"/>
      <c r="DK85" s="418"/>
      <c r="DL85" s="418"/>
      <c r="DM85" s="418"/>
      <c r="DN85" s="418"/>
      <c r="DO85" s="418"/>
      <c r="DP85" s="418"/>
      <c r="DQ85" s="418"/>
      <c r="DR85" s="418"/>
      <c r="DS85" s="418"/>
      <c r="DT85" s="418"/>
      <c r="DU85" s="418"/>
      <c r="DV85" s="418"/>
      <c r="DW85" s="418"/>
      <c r="DX85" s="418"/>
      <c r="DY85" s="418"/>
      <c r="DZ85" s="418"/>
      <c r="EA85" s="418"/>
      <c r="EB85" s="418"/>
      <c r="EC85" s="418"/>
      <c r="ED85" s="418"/>
      <c r="EE85" s="418"/>
      <c r="EF85" s="418"/>
      <c r="EG85" s="418"/>
      <c r="EH85" s="418"/>
      <c r="EI85" s="418"/>
      <c r="EJ85" s="418"/>
      <c r="EK85" s="418"/>
      <c r="EL85" s="418"/>
      <c r="EM85" s="418"/>
      <c r="EN85" s="418"/>
      <c r="EO85" s="418"/>
      <c r="EP85" s="418"/>
      <c r="EQ85" s="418"/>
      <c r="ER85" s="418"/>
      <c r="ES85" s="418"/>
      <c r="ET85" s="418"/>
      <c r="EU85" s="418"/>
      <c r="EV85" s="418"/>
      <c r="EW85" s="418"/>
      <c r="EX85" s="418"/>
      <c r="EY85" s="418"/>
      <c r="EZ85" s="418"/>
      <c r="FA85" s="418"/>
      <c r="FB85" s="418"/>
      <c r="FC85" s="418"/>
      <c r="FD85" s="418"/>
      <c r="FE85" s="418"/>
      <c r="FF85" s="418"/>
      <c r="FG85" s="418"/>
      <c r="FH85" s="418"/>
      <c r="FI85" s="418"/>
      <c r="FJ85" s="418"/>
      <c r="FK85" s="418"/>
      <c r="FL85" s="418"/>
      <c r="FM85" s="418"/>
      <c r="FN85" s="418"/>
      <c r="FO85" s="418"/>
      <c r="FP85" s="418"/>
      <c r="FQ85" s="418"/>
      <c r="FR85" s="418"/>
      <c r="FS85" s="418"/>
      <c r="FT85" s="418"/>
      <c r="FU85" s="418"/>
      <c r="FV85" s="418"/>
      <c r="FW85" s="418"/>
      <c r="FX85" s="418"/>
      <c r="FY85" s="418"/>
      <c r="FZ85" s="418"/>
      <c r="GA85" s="418"/>
      <c r="GB85" s="418"/>
      <c r="GC85" s="418"/>
      <c r="GD85" s="418"/>
      <c r="GE85" s="418"/>
      <c r="GF85" s="418"/>
      <c r="GG85" s="418"/>
      <c r="GH85" s="418"/>
      <c r="GI85" s="418"/>
      <c r="GJ85" s="418"/>
      <c r="GK85" s="418"/>
      <c r="GL85" s="418"/>
      <c r="GM85" s="418"/>
      <c r="GN85" s="418"/>
      <c r="GO85" s="418"/>
      <c r="GP85" s="418"/>
      <c r="GQ85" s="418"/>
      <c r="GR85" s="418"/>
      <c r="GS85" s="418"/>
      <c r="GT85" s="418"/>
      <c r="GU85" s="418"/>
      <c r="GV85" s="418"/>
      <c r="GW85" s="418"/>
      <c r="GX85" s="418"/>
      <c r="GY85" s="418"/>
      <c r="GZ85" s="418"/>
      <c r="HA85" s="418"/>
      <c r="HB85" s="418"/>
      <c r="HC85" s="418"/>
      <c r="HD85" s="418"/>
      <c r="HE85" s="418"/>
      <c r="HF85" s="418"/>
      <c r="HG85" s="418"/>
      <c r="HH85" s="418"/>
      <c r="HI85" s="418"/>
      <c r="HJ85" s="418"/>
      <c r="HK85" s="418"/>
      <c r="HL85" s="418"/>
      <c r="HM85" s="418"/>
      <c r="HN85" s="418"/>
      <c r="HO85" s="418"/>
      <c r="HP85" s="418"/>
      <c r="HQ85" s="418"/>
      <c r="HR85" s="418"/>
      <c r="HS85" s="418"/>
      <c r="HT85" s="418"/>
      <c r="HU85" s="418"/>
      <c r="HV85" s="418"/>
      <c r="HW85" s="418"/>
      <c r="HX85" s="418"/>
      <c r="HY85" s="418"/>
      <c r="HZ85" s="418"/>
      <c r="IA85" s="418"/>
      <c r="IB85" s="418"/>
      <c r="IC85" s="418"/>
      <c r="ID85" s="418"/>
      <c r="IE85" s="418"/>
      <c r="IF85" s="418"/>
      <c r="IG85" s="418"/>
      <c r="IH85" s="418"/>
      <c r="II85" s="418"/>
      <c r="IJ85" s="418"/>
      <c r="IK85" s="418"/>
      <c r="IL85" s="418"/>
      <c r="IM85" s="418"/>
      <c r="IN85" s="418"/>
      <c r="IO85" s="418"/>
      <c r="IP85" s="418"/>
      <c r="IQ85" s="418"/>
      <c r="IR85" s="418"/>
      <c r="IS85" s="418"/>
      <c r="IT85" s="418"/>
      <c r="IU85" s="418"/>
      <c r="IV85" s="418"/>
      <c r="IW85" s="418"/>
      <c r="IX85" s="418"/>
      <c r="IY85" s="418"/>
      <c r="IZ85" s="418"/>
      <c r="JA85" s="418"/>
    </row>
    <row r="86" spans="1:261" s="758" customFormat="1" ht="18" customHeight="1" x14ac:dyDescent="0.35">
      <c r="A86" s="773">
        <v>77</v>
      </c>
      <c r="B86" s="2005"/>
      <c r="C86" s="420"/>
      <c r="D86" s="576" t="s">
        <v>1158</v>
      </c>
      <c r="E86" s="430"/>
      <c r="F86" s="762"/>
      <c r="G86" s="2006"/>
      <c r="H86" s="999"/>
      <c r="I86" s="995"/>
      <c r="J86" s="995"/>
      <c r="K86" s="995"/>
      <c r="L86" s="995"/>
      <c r="M86" s="1525">
        <v>500000</v>
      </c>
      <c r="N86" s="995"/>
      <c r="O86" s="2016">
        <f>SUM(I86:N86)</f>
        <v>500000</v>
      </c>
      <c r="P86" s="1499"/>
      <c r="Q86" s="418"/>
      <c r="R86" s="418"/>
      <c r="S86" s="418"/>
      <c r="T86" s="418"/>
      <c r="U86" s="418"/>
      <c r="V86" s="418"/>
      <c r="W86" s="418"/>
      <c r="X86" s="418"/>
      <c r="Y86" s="418"/>
      <c r="Z86" s="418"/>
      <c r="AA86" s="418"/>
      <c r="AB86" s="418"/>
      <c r="AC86" s="418"/>
      <c r="AD86" s="418"/>
      <c r="AE86" s="418"/>
      <c r="AF86" s="418"/>
      <c r="AG86" s="418"/>
      <c r="AH86" s="418"/>
      <c r="AI86" s="418"/>
      <c r="AJ86" s="418"/>
      <c r="AK86" s="418"/>
      <c r="AL86" s="418"/>
      <c r="AM86" s="418"/>
      <c r="AN86" s="418"/>
      <c r="AO86" s="418"/>
      <c r="AP86" s="418"/>
      <c r="AQ86" s="418"/>
      <c r="AR86" s="418"/>
      <c r="AS86" s="418"/>
      <c r="AT86" s="418"/>
      <c r="AU86" s="418"/>
      <c r="AV86" s="418"/>
      <c r="AW86" s="418"/>
      <c r="AX86" s="418"/>
      <c r="AY86" s="418"/>
      <c r="AZ86" s="418"/>
      <c r="BA86" s="418"/>
      <c r="BB86" s="418"/>
      <c r="BC86" s="418"/>
      <c r="BD86" s="418"/>
      <c r="BE86" s="418"/>
      <c r="BF86" s="418"/>
      <c r="BG86" s="418"/>
      <c r="BH86" s="418"/>
      <c r="BI86" s="418"/>
      <c r="BJ86" s="418"/>
      <c r="BK86" s="418"/>
      <c r="BL86" s="418"/>
      <c r="BM86" s="418"/>
      <c r="BN86" s="418"/>
      <c r="BO86" s="418"/>
      <c r="BP86" s="418"/>
      <c r="BQ86" s="418"/>
      <c r="BR86" s="418"/>
      <c r="BS86" s="418"/>
      <c r="BT86" s="418"/>
      <c r="BU86" s="418"/>
      <c r="BV86" s="418"/>
      <c r="BW86" s="418"/>
      <c r="BX86" s="418"/>
      <c r="BY86" s="418"/>
      <c r="BZ86" s="418"/>
      <c r="CA86" s="418"/>
      <c r="CB86" s="418"/>
      <c r="CC86" s="418"/>
      <c r="CD86" s="418"/>
      <c r="CE86" s="418"/>
      <c r="CF86" s="418"/>
      <c r="CG86" s="418"/>
      <c r="CH86" s="418"/>
      <c r="CI86" s="418"/>
      <c r="CJ86" s="418"/>
      <c r="CK86" s="418"/>
      <c r="CL86" s="418"/>
      <c r="CM86" s="418"/>
      <c r="CN86" s="418"/>
      <c r="CO86" s="418"/>
      <c r="CP86" s="418"/>
      <c r="CQ86" s="418"/>
      <c r="CR86" s="418"/>
      <c r="CS86" s="418"/>
      <c r="CT86" s="418"/>
      <c r="CU86" s="418"/>
      <c r="CV86" s="418"/>
      <c r="CW86" s="418"/>
      <c r="CX86" s="418"/>
      <c r="CY86" s="418"/>
      <c r="CZ86" s="418"/>
      <c r="DA86" s="418"/>
      <c r="DB86" s="418"/>
      <c r="DC86" s="418"/>
      <c r="DD86" s="418"/>
      <c r="DE86" s="418"/>
      <c r="DF86" s="418"/>
      <c r="DG86" s="418"/>
      <c r="DH86" s="418"/>
      <c r="DI86" s="418"/>
      <c r="DJ86" s="418"/>
      <c r="DK86" s="418"/>
      <c r="DL86" s="418"/>
      <c r="DM86" s="418"/>
      <c r="DN86" s="418"/>
      <c r="DO86" s="418"/>
      <c r="DP86" s="418"/>
      <c r="DQ86" s="418"/>
      <c r="DR86" s="418"/>
      <c r="DS86" s="418"/>
      <c r="DT86" s="418"/>
      <c r="DU86" s="418"/>
      <c r="DV86" s="418"/>
      <c r="DW86" s="418"/>
      <c r="DX86" s="418"/>
      <c r="DY86" s="418"/>
      <c r="DZ86" s="418"/>
      <c r="EA86" s="418"/>
      <c r="EB86" s="418"/>
      <c r="EC86" s="418"/>
      <c r="ED86" s="418"/>
      <c r="EE86" s="418"/>
      <c r="EF86" s="418"/>
      <c r="EG86" s="418"/>
      <c r="EH86" s="418"/>
      <c r="EI86" s="418"/>
      <c r="EJ86" s="418"/>
      <c r="EK86" s="418"/>
      <c r="EL86" s="418"/>
      <c r="EM86" s="418"/>
      <c r="EN86" s="418"/>
      <c r="EO86" s="418"/>
      <c r="EP86" s="418"/>
      <c r="EQ86" s="418"/>
      <c r="ER86" s="418"/>
      <c r="ES86" s="418"/>
      <c r="ET86" s="418"/>
      <c r="EU86" s="418"/>
      <c r="EV86" s="418"/>
      <c r="EW86" s="418"/>
      <c r="EX86" s="418"/>
      <c r="EY86" s="418"/>
      <c r="EZ86" s="418"/>
      <c r="FA86" s="418"/>
      <c r="FB86" s="418"/>
      <c r="FC86" s="418"/>
      <c r="FD86" s="418"/>
      <c r="FE86" s="418"/>
      <c r="FF86" s="418"/>
      <c r="FG86" s="418"/>
      <c r="FH86" s="418"/>
      <c r="FI86" s="418"/>
      <c r="FJ86" s="418"/>
      <c r="FK86" s="418"/>
      <c r="FL86" s="418"/>
      <c r="FM86" s="418"/>
      <c r="FN86" s="418"/>
      <c r="FO86" s="418"/>
      <c r="FP86" s="418"/>
      <c r="FQ86" s="418"/>
      <c r="FR86" s="418"/>
      <c r="FS86" s="418"/>
      <c r="FT86" s="418"/>
      <c r="FU86" s="418"/>
      <c r="FV86" s="418"/>
      <c r="FW86" s="418"/>
      <c r="FX86" s="418"/>
      <c r="FY86" s="418"/>
      <c r="FZ86" s="418"/>
      <c r="GA86" s="418"/>
      <c r="GB86" s="418"/>
      <c r="GC86" s="418"/>
      <c r="GD86" s="418"/>
      <c r="GE86" s="418"/>
      <c r="GF86" s="418"/>
      <c r="GG86" s="418"/>
      <c r="GH86" s="418"/>
      <c r="GI86" s="418"/>
      <c r="GJ86" s="418"/>
      <c r="GK86" s="418"/>
      <c r="GL86" s="418"/>
      <c r="GM86" s="418"/>
      <c r="GN86" s="418"/>
      <c r="GO86" s="418"/>
      <c r="GP86" s="418"/>
      <c r="GQ86" s="418"/>
      <c r="GR86" s="418"/>
      <c r="GS86" s="418"/>
      <c r="GT86" s="418"/>
      <c r="GU86" s="418"/>
      <c r="GV86" s="418"/>
      <c r="GW86" s="418"/>
      <c r="GX86" s="418"/>
      <c r="GY86" s="418"/>
      <c r="GZ86" s="418"/>
      <c r="HA86" s="418"/>
      <c r="HB86" s="418"/>
      <c r="HC86" s="418"/>
      <c r="HD86" s="418"/>
      <c r="HE86" s="418"/>
      <c r="HF86" s="418"/>
      <c r="HG86" s="418"/>
      <c r="HH86" s="418"/>
      <c r="HI86" s="418"/>
      <c r="HJ86" s="418"/>
      <c r="HK86" s="418"/>
      <c r="HL86" s="418"/>
      <c r="HM86" s="418"/>
      <c r="HN86" s="418"/>
      <c r="HO86" s="418"/>
      <c r="HP86" s="418"/>
      <c r="HQ86" s="418"/>
      <c r="HR86" s="418"/>
      <c r="HS86" s="418"/>
      <c r="HT86" s="418"/>
      <c r="HU86" s="418"/>
      <c r="HV86" s="418"/>
      <c r="HW86" s="418"/>
      <c r="HX86" s="418"/>
      <c r="HY86" s="418"/>
      <c r="HZ86" s="418"/>
      <c r="IA86" s="418"/>
      <c r="IB86" s="418"/>
      <c r="IC86" s="418"/>
      <c r="ID86" s="418"/>
      <c r="IE86" s="418"/>
      <c r="IF86" s="418"/>
      <c r="IG86" s="418"/>
      <c r="IH86" s="418"/>
      <c r="II86" s="418"/>
      <c r="IJ86" s="418"/>
      <c r="IK86" s="418"/>
      <c r="IL86" s="418"/>
      <c r="IM86" s="418"/>
      <c r="IN86" s="418"/>
      <c r="IO86" s="418"/>
      <c r="IP86" s="418"/>
      <c r="IQ86" s="418"/>
      <c r="IR86" s="418"/>
      <c r="IS86" s="418"/>
      <c r="IT86" s="418"/>
      <c r="IU86" s="418"/>
      <c r="IV86" s="418"/>
      <c r="IW86" s="418"/>
      <c r="IX86" s="418"/>
      <c r="IY86" s="418"/>
      <c r="IZ86" s="418"/>
      <c r="JA86" s="418"/>
    </row>
    <row r="87" spans="1:261" s="758" customFormat="1" ht="18" customHeight="1" x14ac:dyDescent="0.35">
      <c r="A87" s="773">
        <v>78</v>
      </c>
      <c r="B87" s="766"/>
      <c r="C87" s="420"/>
      <c r="D87" s="1318" t="s">
        <v>947</v>
      </c>
      <c r="E87" s="430"/>
      <c r="F87" s="762"/>
      <c r="G87" s="2017"/>
      <c r="H87" s="999"/>
      <c r="I87" s="995"/>
      <c r="J87" s="995"/>
      <c r="K87" s="995"/>
      <c r="L87" s="995"/>
      <c r="M87" s="1775"/>
      <c r="N87" s="995"/>
      <c r="O87" s="1741">
        <f>SUM(I87:N87)</f>
        <v>0</v>
      </c>
      <c r="P87" s="1499"/>
      <c r="Q87" s="418"/>
      <c r="R87" s="418"/>
      <c r="S87" s="418"/>
      <c r="T87" s="418"/>
      <c r="U87" s="418"/>
      <c r="V87" s="418"/>
      <c r="W87" s="418"/>
      <c r="X87" s="418"/>
      <c r="Y87" s="418"/>
      <c r="Z87" s="418"/>
      <c r="AA87" s="418"/>
      <c r="AB87" s="418"/>
      <c r="AC87" s="418"/>
      <c r="AD87" s="418"/>
      <c r="AE87" s="418"/>
      <c r="AF87" s="418"/>
      <c r="AG87" s="418"/>
      <c r="AH87" s="418"/>
      <c r="AI87" s="418"/>
      <c r="AJ87" s="418"/>
      <c r="AK87" s="418"/>
      <c r="AL87" s="418"/>
      <c r="AM87" s="418"/>
      <c r="AN87" s="418"/>
      <c r="AO87" s="418"/>
      <c r="AP87" s="418"/>
      <c r="AQ87" s="418"/>
      <c r="AR87" s="418"/>
      <c r="AS87" s="418"/>
      <c r="AT87" s="418"/>
      <c r="AU87" s="418"/>
      <c r="AV87" s="418"/>
      <c r="AW87" s="418"/>
      <c r="AX87" s="418"/>
      <c r="AY87" s="418"/>
      <c r="AZ87" s="418"/>
      <c r="BA87" s="418"/>
      <c r="BB87" s="418"/>
      <c r="BC87" s="418"/>
      <c r="BD87" s="418"/>
      <c r="BE87" s="418"/>
      <c r="BF87" s="418"/>
      <c r="BG87" s="418"/>
      <c r="BH87" s="418"/>
      <c r="BI87" s="418"/>
      <c r="BJ87" s="418"/>
      <c r="BK87" s="418"/>
      <c r="BL87" s="418"/>
      <c r="BM87" s="418"/>
      <c r="BN87" s="418"/>
      <c r="BO87" s="418"/>
      <c r="BP87" s="418"/>
      <c r="BQ87" s="418"/>
      <c r="BR87" s="418"/>
      <c r="BS87" s="418"/>
      <c r="BT87" s="418"/>
      <c r="BU87" s="418"/>
      <c r="BV87" s="418"/>
      <c r="BW87" s="418"/>
      <c r="BX87" s="418"/>
      <c r="BY87" s="418"/>
      <c r="BZ87" s="418"/>
      <c r="CA87" s="418"/>
      <c r="CB87" s="418"/>
      <c r="CC87" s="418"/>
      <c r="CD87" s="418"/>
      <c r="CE87" s="418"/>
      <c r="CF87" s="418"/>
      <c r="CG87" s="418"/>
      <c r="CH87" s="418"/>
      <c r="CI87" s="418"/>
      <c r="CJ87" s="418"/>
      <c r="CK87" s="418"/>
      <c r="CL87" s="418"/>
      <c r="CM87" s="418"/>
      <c r="CN87" s="418"/>
      <c r="CO87" s="418"/>
      <c r="CP87" s="418"/>
      <c r="CQ87" s="418"/>
      <c r="CR87" s="418"/>
      <c r="CS87" s="418"/>
      <c r="CT87" s="418"/>
      <c r="CU87" s="418"/>
      <c r="CV87" s="418"/>
      <c r="CW87" s="418"/>
      <c r="CX87" s="418"/>
      <c r="CY87" s="418"/>
      <c r="CZ87" s="418"/>
      <c r="DA87" s="418"/>
      <c r="DB87" s="418"/>
      <c r="DC87" s="418"/>
      <c r="DD87" s="418"/>
      <c r="DE87" s="418"/>
      <c r="DF87" s="418"/>
      <c r="DG87" s="418"/>
      <c r="DH87" s="418"/>
      <c r="DI87" s="418"/>
      <c r="DJ87" s="418"/>
      <c r="DK87" s="418"/>
      <c r="DL87" s="418"/>
      <c r="DM87" s="418"/>
      <c r="DN87" s="418"/>
      <c r="DO87" s="418"/>
      <c r="DP87" s="418"/>
      <c r="DQ87" s="418"/>
      <c r="DR87" s="418"/>
      <c r="DS87" s="418"/>
      <c r="DT87" s="418"/>
      <c r="DU87" s="418"/>
      <c r="DV87" s="418"/>
      <c r="DW87" s="418"/>
      <c r="DX87" s="418"/>
      <c r="DY87" s="418"/>
      <c r="DZ87" s="418"/>
      <c r="EA87" s="418"/>
      <c r="EB87" s="418"/>
      <c r="EC87" s="418"/>
      <c r="ED87" s="418"/>
      <c r="EE87" s="418"/>
      <c r="EF87" s="418"/>
      <c r="EG87" s="418"/>
      <c r="EH87" s="418"/>
      <c r="EI87" s="418"/>
      <c r="EJ87" s="418"/>
      <c r="EK87" s="418"/>
      <c r="EL87" s="418"/>
      <c r="EM87" s="418"/>
      <c r="EN87" s="418"/>
      <c r="EO87" s="418"/>
      <c r="EP87" s="418"/>
      <c r="EQ87" s="418"/>
      <c r="ER87" s="418"/>
      <c r="ES87" s="418"/>
      <c r="ET87" s="418"/>
      <c r="EU87" s="418"/>
      <c r="EV87" s="418"/>
      <c r="EW87" s="418"/>
      <c r="EX87" s="418"/>
      <c r="EY87" s="418"/>
      <c r="EZ87" s="418"/>
      <c r="FA87" s="418"/>
      <c r="FB87" s="418"/>
      <c r="FC87" s="418"/>
      <c r="FD87" s="418"/>
      <c r="FE87" s="418"/>
      <c r="FF87" s="418"/>
      <c r="FG87" s="418"/>
      <c r="FH87" s="418"/>
      <c r="FI87" s="418"/>
      <c r="FJ87" s="418"/>
      <c r="FK87" s="418"/>
      <c r="FL87" s="418"/>
      <c r="FM87" s="418"/>
      <c r="FN87" s="418"/>
      <c r="FO87" s="418"/>
      <c r="FP87" s="418"/>
      <c r="FQ87" s="418"/>
      <c r="FR87" s="418"/>
      <c r="FS87" s="418"/>
      <c r="FT87" s="418"/>
      <c r="FU87" s="418"/>
      <c r="FV87" s="418"/>
      <c r="FW87" s="418"/>
      <c r="FX87" s="418"/>
      <c r="FY87" s="418"/>
      <c r="FZ87" s="418"/>
      <c r="GA87" s="418"/>
      <c r="GB87" s="418"/>
      <c r="GC87" s="418"/>
      <c r="GD87" s="418"/>
      <c r="GE87" s="418"/>
      <c r="GF87" s="418"/>
      <c r="GG87" s="418"/>
      <c r="GH87" s="418"/>
      <c r="GI87" s="418"/>
      <c r="GJ87" s="418"/>
      <c r="GK87" s="418"/>
      <c r="GL87" s="418"/>
      <c r="GM87" s="418"/>
      <c r="GN87" s="418"/>
      <c r="GO87" s="418"/>
      <c r="GP87" s="418"/>
      <c r="GQ87" s="418"/>
      <c r="GR87" s="418"/>
      <c r="GS87" s="418"/>
      <c r="GT87" s="418"/>
      <c r="GU87" s="418"/>
      <c r="GV87" s="418"/>
      <c r="GW87" s="418"/>
      <c r="GX87" s="418"/>
      <c r="GY87" s="418"/>
      <c r="GZ87" s="418"/>
      <c r="HA87" s="418"/>
      <c r="HB87" s="418"/>
      <c r="HC87" s="418"/>
      <c r="HD87" s="418"/>
      <c r="HE87" s="418"/>
      <c r="HF87" s="418"/>
      <c r="HG87" s="418"/>
      <c r="HH87" s="418"/>
      <c r="HI87" s="418"/>
      <c r="HJ87" s="418"/>
      <c r="HK87" s="418"/>
      <c r="HL87" s="418"/>
      <c r="HM87" s="418"/>
      <c r="HN87" s="418"/>
      <c r="HO87" s="418"/>
      <c r="HP87" s="418"/>
      <c r="HQ87" s="418"/>
      <c r="HR87" s="418"/>
      <c r="HS87" s="418"/>
      <c r="HT87" s="418"/>
      <c r="HU87" s="418"/>
      <c r="HV87" s="418"/>
      <c r="HW87" s="418"/>
      <c r="HX87" s="418"/>
      <c r="HY87" s="418"/>
      <c r="HZ87" s="418"/>
      <c r="IA87" s="418"/>
      <c r="IB87" s="418"/>
      <c r="IC87" s="418"/>
      <c r="ID87" s="418"/>
      <c r="IE87" s="418"/>
      <c r="IF87" s="418"/>
      <c r="IG87" s="418"/>
      <c r="IH87" s="418"/>
      <c r="II87" s="418"/>
      <c r="IJ87" s="418"/>
      <c r="IK87" s="418"/>
      <c r="IL87" s="418"/>
      <c r="IM87" s="418"/>
      <c r="IN87" s="418"/>
      <c r="IO87" s="418"/>
      <c r="IP87" s="418"/>
      <c r="IQ87" s="418"/>
      <c r="IR87" s="418"/>
      <c r="IS87" s="418"/>
      <c r="IT87" s="418"/>
      <c r="IU87" s="418"/>
      <c r="IV87" s="418"/>
      <c r="IW87" s="418"/>
      <c r="IX87" s="418"/>
      <c r="IY87" s="418"/>
      <c r="IZ87" s="418"/>
      <c r="JA87" s="418"/>
    </row>
    <row r="88" spans="1:261" s="758" customFormat="1" ht="18" customHeight="1" x14ac:dyDescent="0.35">
      <c r="A88" s="773">
        <v>79</v>
      </c>
      <c r="B88" s="766"/>
      <c r="C88" s="420"/>
      <c r="D88" s="577" t="s">
        <v>1250</v>
      </c>
      <c r="E88" s="430"/>
      <c r="F88" s="762"/>
      <c r="G88" s="431"/>
      <c r="H88" s="999"/>
      <c r="I88" s="759"/>
      <c r="J88" s="759"/>
      <c r="K88" s="759"/>
      <c r="L88" s="759"/>
      <c r="M88" s="1524">
        <f>SUM(M86:M87)</f>
        <v>500000</v>
      </c>
      <c r="N88" s="759"/>
      <c r="O88" s="767">
        <f>SUM(I88:N88)</f>
        <v>500000</v>
      </c>
      <c r="P88" s="1499"/>
      <c r="Q88" s="418"/>
      <c r="R88" s="418"/>
      <c r="S88" s="418"/>
      <c r="T88" s="418"/>
      <c r="U88" s="418"/>
      <c r="V88" s="418"/>
      <c r="W88" s="418"/>
      <c r="X88" s="418"/>
      <c r="Y88" s="418"/>
      <c r="Z88" s="418"/>
      <c r="AA88" s="418"/>
      <c r="AB88" s="418"/>
      <c r="AC88" s="418"/>
      <c r="AD88" s="418"/>
      <c r="AE88" s="418"/>
      <c r="AF88" s="418"/>
      <c r="AG88" s="418"/>
      <c r="AH88" s="418"/>
      <c r="AI88" s="418"/>
      <c r="AJ88" s="418"/>
      <c r="AK88" s="418"/>
      <c r="AL88" s="418"/>
      <c r="AM88" s="418"/>
      <c r="AN88" s="418"/>
      <c r="AO88" s="418"/>
      <c r="AP88" s="418"/>
      <c r="AQ88" s="418"/>
      <c r="AR88" s="418"/>
      <c r="AS88" s="418"/>
      <c r="AT88" s="418"/>
      <c r="AU88" s="418"/>
      <c r="AV88" s="418"/>
      <c r="AW88" s="418"/>
      <c r="AX88" s="418"/>
      <c r="AY88" s="418"/>
      <c r="AZ88" s="418"/>
      <c r="BA88" s="418"/>
      <c r="BB88" s="418"/>
      <c r="BC88" s="418"/>
      <c r="BD88" s="418"/>
      <c r="BE88" s="418"/>
      <c r="BF88" s="418"/>
      <c r="BG88" s="418"/>
      <c r="BH88" s="418"/>
      <c r="BI88" s="418"/>
      <c r="BJ88" s="418"/>
      <c r="BK88" s="418"/>
      <c r="BL88" s="418"/>
      <c r="BM88" s="418"/>
      <c r="BN88" s="418"/>
      <c r="BO88" s="418"/>
      <c r="BP88" s="418"/>
      <c r="BQ88" s="418"/>
      <c r="BR88" s="418"/>
      <c r="BS88" s="418"/>
      <c r="BT88" s="418"/>
      <c r="BU88" s="418"/>
      <c r="BV88" s="418"/>
      <c r="BW88" s="418"/>
      <c r="BX88" s="418"/>
      <c r="BY88" s="418"/>
      <c r="BZ88" s="418"/>
      <c r="CA88" s="418"/>
      <c r="CB88" s="418"/>
      <c r="CC88" s="418"/>
      <c r="CD88" s="418"/>
      <c r="CE88" s="418"/>
      <c r="CF88" s="418"/>
      <c r="CG88" s="418"/>
      <c r="CH88" s="418"/>
      <c r="CI88" s="418"/>
      <c r="CJ88" s="418"/>
      <c r="CK88" s="418"/>
      <c r="CL88" s="418"/>
      <c r="CM88" s="418"/>
      <c r="CN88" s="418"/>
      <c r="CO88" s="418"/>
      <c r="CP88" s="418"/>
      <c r="CQ88" s="418"/>
      <c r="CR88" s="418"/>
      <c r="CS88" s="418"/>
      <c r="CT88" s="418"/>
      <c r="CU88" s="418"/>
      <c r="CV88" s="418"/>
      <c r="CW88" s="418"/>
      <c r="CX88" s="418"/>
      <c r="CY88" s="418"/>
      <c r="CZ88" s="418"/>
      <c r="DA88" s="418"/>
      <c r="DB88" s="418"/>
      <c r="DC88" s="418"/>
      <c r="DD88" s="418"/>
      <c r="DE88" s="418"/>
      <c r="DF88" s="418"/>
      <c r="DG88" s="418"/>
      <c r="DH88" s="418"/>
      <c r="DI88" s="418"/>
      <c r="DJ88" s="418"/>
      <c r="DK88" s="418"/>
      <c r="DL88" s="418"/>
      <c r="DM88" s="418"/>
      <c r="DN88" s="418"/>
      <c r="DO88" s="418"/>
      <c r="DP88" s="418"/>
      <c r="DQ88" s="418"/>
      <c r="DR88" s="418"/>
      <c r="DS88" s="418"/>
      <c r="DT88" s="418"/>
      <c r="DU88" s="418"/>
      <c r="DV88" s="418"/>
      <c r="DW88" s="418"/>
      <c r="DX88" s="418"/>
      <c r="DY88" s="418"/>
      <c r="DZ88" s="418"/>
      <c r="EA88" s="418"/>
      <c r="EB88" s="418"/>
      <c r="EC88" s="418"/>
      <c r="ED88" s="418"/>
      <c r="EE88" s="418"/>
      <c r="EF88" s="418"/>
      <c r="EG88" s="418"/>
      <c r="EH88" s="418"/>
      <c r="EI88" s="418"/>
      <c r="EJ88" s="418"/>
      <c r="EK88" s="418"/>
      <c r="EL88" s="418"/>
      <c r="EM88" s="418"/>
      <c r="EN88" s="418"/>
      <c r="EO88" s="418"/>
      <c r="EP88" s="418"/>
      <c r="EQ88" s="418"/>
      <c r="ER88" s="418"/>
      <c r="ES88" s="418"/>
      <c r="ET88" s="418"/>
      <c r="EU88" s="418"/>
      <c r="EV88" s="418"/>
      <c r="EW88" s="418"/>
      <c r="EX88" s="418"/>
      <c r="EY88" s="418"/>
      <c r="EZ88" s="418"/>
      <c r="FA88" s="418"/>
      <c r="FB88" s="418"/>
      <c r="FC88" s="418"/>
      <c r="FD88" s="418"/>
      <c r="FE88" s="418"/>
      <c r="FF88" s="418"/>
      <c r="FG88" s="418"/>
      <c r="FH88" s="418"/>
      <c r="FI88" s="418"/>
      <c r="FJ88" s="418"/>
      <c r="FK88" s="418"/>
      <c r="FL88" s="418"/>
      <c r="FM88" s="418"/>
      <c r="FN88" s="418"/>
      <c r="FO88" s="418"/>
      <c r="FP88" s="418"/>
      <c r="FQ88" s="418"/>
      <c r="FR88" s="418"/>
      <c r="FS88" s="418"/>
      <c r="FT88" s="418"/>
      <c r="FU88" s="418"/>
      <c r="FV88" s="418"/>
      <c r="FW88" s="418"/>
      <c r="FX88" s="418"/>
      <c r="FY88" s="418"/>
      <c r="FZ88" s="418"/>
      <c r="GA88" s="418"/>
      <c r="GB88" s="418"/>
      <c r="GC88" s="418"/>
      <c r="GD88" s="418"/>
      <c r="GE88" s="418"/>
      <c r="GF88" s="418"/>
      <c r="GG88" s="418"/>
      <c r="GH88" s="418"/>
      <c r="GI88" s="418"/>
      <c r="GJ88" s="418"/>
      <c r="GK88" s="418"/>
      <c r="GL88" s="418"/>
      <c r="GM88" s="418"/>
      <c r="GN88" s="418"/>
      <c r="GO88" s="418"/>
      <c r="GP88" s="418"/>
      <c r="GQ88" s="418"/>
      <c r="GR88" s="418"/>
      <c r="GS88" s="418"/>
      <c r="GT88" s="418"/>
      <c r="GU88" s="418"/>
      <c r="GV88" s="418"/>
      <c r="GW88" s="418"/>
      <c r="GX88" s="418"/>
      <c r="GY88" s="418"/>
      <c r="GZ88" s="418"/>
      <c r="HA88" s="418"/>
      <c r="HB88" s="418"/>
      <c r="HC88" s="418"/>
      <c r="HD88" s="418"/>
      <c r="HE88" s="418"/>
      <c r="HF88" s="418"/>
      <c r="HG88" s="418"/>
      <c r="HH88" s="418"/>
      <c r="HI88" s="418"/>
      <c r="HJ88" s="418"/>
      <c r="HK88" s="418"/>
      <c r="HL88" s="418"/>
      <c r="HM88" s="418"/>
      <c r="HN88" s="418"/>
      <c r="HO88" s="418"/>
      <c r="HP88" s="418"/>
      <c r="HQ88" s="418"/>
      <c r="HR88" s="418"/>
      <c r="HS88" s="418"/>
      <c r="HT88" s="418"/>
      <c r="HU88" s="418"/>
      <c r="HV88" s="418"/>
      <c r="HW88" s="418"/>
      <c r="HX88" s="418"/>
      <c r="HY88" s="418"/>
      <c r="HZ88" s="418"/>
      <c r="IA88" s="418"/>
      <c r="IB88" s="418"/>
      <c r="IC88" s="418"/>
      <c r="ID88" s="418"/>
      <c r="IE88" s="418"/>
      <c r="IF88" s="418"/>
      <c r="IG88" s="418"/>
      <c r="IH88" s="418"/>
      <c r="II88" s="418"/>
      <c r="IJ88" s="418"/>
      <c r="IK88" s="418"/>
      <c r="IL88" s="418"/>
      <c r="IM88" s="418"/>
      <c r="IN88" s="418"/>
      <c r="IO88" s="418"/>
      <c r="IP88" s="418"/>
      <c r="IQ88" s="418"/>
      <c r="IR88" s="418"/>
      <c r="IS88" s="418"/>
      <c r="IT88" s="418"/>
      <c r="IU88" s="418"/>
      <c r="IV88" s="418"/>
      <c r="IW88" s="418"/>
      <c r="IX88" s="418"/>
      <c r="IY88" s="418"/>
      <c r="IZ88" s="418"/>
      <c r="JA88" s="418"/>
    </row>
    <row r="89" spans="1:261" s="758" customFormat="1" ht="18" customHeight="1" x14ac:dyDescent="0.35">
      <c r="A89" s="773">
        <v>80</v>
      </c>
      <c r="B89" s="766"/>
      <c r="C89" s="420">
        <v>17</v>
      </c>
      <c r="D89" s="770" t="s">
        <v>1278</v>
      </c>
      <c r="E89" s="430"/>
      <c r="F89" s="762"/>
      <c r="G89" s="431"/>
      <c r="H89" s="999"/>
      <c r="I89" s="759"/>
      <c r="J89" s="759"/>
      <c r="K89" s="759"/>
      <c r="L89" s="759"/>
      <c r="M89" s="1524"/>
      <c r="N89" s="759"/>
      <c r="O89" s="767"/>
      <c r="P89" s="1499"/>
      <c r="Q89" s="418"/>
      <c r="R89" s="418"/>
      <c r="S89" s="418"/>
      <c r="T89" s="418"/>
      <c r="U89" s="418"/>
      <c r="V89" s="418"/>
      <c r="W89" s="418"/>
      <c r="X89" s="418"/>
      <c r="Y89" s="418"/>
      <c r="Z89" s="418"/>
      <c r="AA89" s="418"/>
      <c r="AB89" s="418"/>
      <c r="AC89" s="418"/>
      <c r="AD89" s="418"/>
      <c r="AE89" s="418"/>
      <c r="AF89" s="418"/>
      <c r="AG89" s="418"/>
      <c r="AH89" s="418"/>
      <c r="AI89" s="418"/>
      <c r="AJ89" s="418"/>
      <c r="AK89" s="418"/>
      <c r="AL89" s="418"/>
      <c r="AM89" s="418"/>
      <c r="AN89" s="418"/>
      <c r="AO89" s="418"/>
      <c r="AP89" s="418"/>
      <c r="AQ89" s="418"/>
      <c r="AR89" s="418"/>
      <c r="AS89" s="418"/>
      <c r="AT89" s="418"/>
      <c r="AU89" s="418"/>
      <c r="AV89" s="418"/>
      <c r="AW89" s="418"/>
      <c r="AX89" s="418"/>
      <c r="AY89" s="418"/>
      <c r="AZ89" s="418"/>
      <c r="BA89" s="418"/>
      <c r="BB89" s="418"/>
      <c r="BC89" s="418"/>
      <c r="BD89" s="418"/>
      <c r="BE89" s="418"/>
      <c r="BF89" s="418"/>
      <c r="BG89" s="418"/>
      <c r="BH89" s="418"/>
      <c r="BI89" s="418"/>
      <c r="BJ89" s="418"/>
      <c r="BK89" s="418"/>
      <c r="BL89" s="418"/>
      <c r="BM89" s="418"/>
      <c r="BN89" s="418"/>
      <c r="BO89" s="418"/>
      <c r="BP89" s="418"/>
      <c r="BQ89" s="418"/>
      <c r="BR89" s="418"/>
      <c r="BS89" s="418"/>
      <c r="BT89" s="418"/>
      <c r="BU89" s="418"/>
      <c r="BV89" s="418"/>
      <c r="BW89" s="418"/>
      <c r="BX89" s="418"/>
      <c r="BY89" s="418"/>
      <c r="BZ89" s="418"/>
      <c r="CA89" s="418"/>
      <c r="CB89" s="418"/>
      <c r="CC89" s="418"/>
      <c r="CD89" s="418"/>
      <c r="CE89" s="418"/>
      <c r="CF89" s="418"/>
      <c r="CG89" s="418"/>
      <c r="CH89" s="418"/>
      <c r="CI89" s="418"/>
      <c r="CJ89" s="418"/>
      <c r="CK89" s="418"/>
      <c r="CL89" s="418"/>
      <c r="CM89" s="418"/>
      <c r="CN89" s="418"/>
      <c r="CO89" s="418"/>
      <c r="CP89" s="418"/>
      <c r="CQ89" s="418"/>
      <c r="CR89" s="418"/>
      <c r="CS89" s="418"/>
      <c r="CT89" s="418"/>
      <c r="CU89" s="418"/>
      <c r="CV89" s="418"/>
      <c r="CW89" s="418"/>
      <c r="CX89" s="418"/>
      <c r="CY89" s="418"/>
      <c r="CZ89" s="418"/>
      <c r="DA89" s="418"/>
      <c r="DB89" s="418"/>
      <c r="DC89" s="418"/>
      <c r="DD89" s="418"/>
      <c r="DE89" s="418"/>
      <c r="DF89" s="418"/>
      <c r="DG89" s="418"/>
      <c r="DH89" s="418"/>
      <c r="DI89" s="418"/>
      <c r="DJ89" s="418"/>
      <c r="DK89" s="418"/>
      <c r="DL89" s="418"/>
      <c r="DM89" s="418"/>
      <c r="DN89" s="418"/>
      <c r="DO89" s="418"/>
      <c r="DP89" s="418"/>
      <c r="DQ89" s="418"/>
      <c r="DR89" s="418"/>
      <c r="DS89" s="418"/>
      <c r="DT89" s="418"/>
      <c r="DU89" s="418"/>
      <c r="DV89" s="418"/>
      <c r="DW89" s="418"/>
      <c r="DX89" s="418"/>
      <c r="DY89" s="418"/>
      <c r="DZ89" s="418"/>
      <c r="EA89" s="418"/>
      <c r="EB89" s="418"/>
      <c r="EC89" s="418"/>
      <c r="ED89" s="418"/>
      <c r="EE89" s="418"/>
      <c r="EF89" s="418"/>
      <c r="EG89" s="418"/>
      <c r="EH89" s="418"/>
      <c r="EI89" s="418"/>
      <c r="EJ89" s="418"/>
      <c r="EK89" s="418"/>
      <c r="EL89" s="418"/>
      <c r="EM89" s="418"/>
      <c r="EN89" s="418"/>
      <c r="EO89" s="418"/>
      <c r="EP89" s="418"/>
      <c r="EQ89" s="418"/>
      <c r="ER89" s="418"/>
      <c r="ES89" s="418"/>
      <c r="ET89" s="418"/>
      <c r="EU89" s="418"/>
      <c r="EV89" s="418"/>
      <c r="EW89" s="418"/>
      <c r="EX89" s="418"/>
      <c r="EY89" s="418"/>
      <c r="EZ89" s="418"/>
      <c r="FA89" s="418"/>
      <c r="FB89" s="418"/>
      <c r="FC89" s="418"/>
      <c r="FD89" s="418"/>
      <c r="FE89" s="418"/>
      <c r="FF89" s="418"/>
      <c r="FG89" s="418"/>
      <c r="FH89" s="418"/>
      <c r="FI89" s="418"/>
      <c r="FJ89" s="418"/>
      <c r="FK89" s="418"/>
      <c r="FL89" s="418"/>
      <c r="FM89" s="418"/>
      <c r="FN89" s="418"/>
      <c r="FO89" s="418"/>
      <c r="FP89" s="418"/>
      <c r="FQ89" s="418"/>
      <c r="FR89" s="418"/>
      <c r="FS89" s="418"/>
      <c r="FT89" s="418"/>
      <c r="FU89" s="418"/>
      <c r="FV89" s="418"/>
      <c r="FW89" s="418"/>
      <c r="FX89" s="418"/>
      <c r="FY89" s="418"/>
      <c r="FZ89" s="418"/>
      <c r="GA89" s="418"/>
      <c r="GB89" s="418"/>
      <c r="GC89" s="418"/>
      <c r="GD89" s="418"/>
      <c r="GE89" s="418"/>
      <c r="GF89" s="418"/>
      <c r="GG89" s="418"/>
      <c r="GH89" s="418"/>
      <c r="GI89" s="418"/>
      <c r="GJ89" s="418"/>
      <c r="GK89" s="418"/>
      <c r="GL89" s="418"/>
      <c r="GM89" s="418"/>
      <c r="GN89" s="418"/>
      <c r="GO89" s="418"/>
      <c r="GP89" s="418"/>
      <c r="GQ89" s="418"/>
      <c r="GR89" s="418"/>
      <c r="GS89" s="418"/>
      <c r="GT89" s="418"/>
      <c r="GU89" s="418"/>
      <c r="GV89" s="418"/>
      <c r="GW89" s="418"/>
      <c r="GX89" s="418"/>
      <c r="GY89" s="418"/>
      <c r="GZ89" s="418"/>
      <c r="HA89" s="418"/>
      <c r="HB89" s="418"/>
      <c r="HC89" s="418"/>
      <c r="HD89" s="418"/>
      <c r="HE89" s="418"/>
      <c r="HF89" s="418"/>
      <c r="HG89" s="418"/>
      <c r="HH89" s="418"/>
      <c r="HI89" s="418"/>
      <c r="HJ89" s="418"/>
      <c r="HK89" s="418"/>
      <c r="HL89" s="418"/>
      <c r="HM89" s="418"/>
      <c r="HN89" s="418"/>
      <c r="HO89" s="418"/>
      <c r="HP89" s="418"/>
      <c r="HQ89" s="418"/>
      <c r="HR89" s="418"/>
      <c r="HS89" s="418"/>
      <c r="HT89" s="418"/>
      <c r="HU89" s="418"/>
      <c r="HV89" s="418"/>
      <c r="HW89" s="418"/>
      <c r="HX89" s="418"/>
      <c r="HY89" s="418"/>
      <c r="HZ89" s="418"/>
      <c r="IA89" s="418"/>
      <c r="IB89" s="418"/>
      <c r="IC89" s="418"/>
      <c r="ID89" s="418"/>
      <c r="IE89" s="418"/>
      <c r="IF89" s="418"/>
      <c r="IG89" s="418"/>
      <c r="IH89" s="418"/>
      <c r="II89" s="418"/>
      <c r="IJ89" s="418"/>
      <c r="IK89" s="418"/>
      <c r="IL89" s="418"/>
      <c r="IM89" s="418"/>
      <c r="IN89" s="418"/>
      <c r="IO89" s="418"/>
      <c r="IP89" s="418"/>
      <c r="IQ89" s="418"/>
      <c r="IR89" s="418"/>
      <c r="IS89" s="418"/>
      <c r="IT89" s="418"/>
      <c r="IU89" s="418"/>
      <c r="IV89" s="418"/>
      <c r="IW89" s="418"/>
      <c r="IX89" s="418"/>
      <c r="IY89" s="418"/>
      <c r="IZ89" s="418"/>
      <c r="JA89" s="418"/>
    </row>
    <row r="90" spans="1:261" s="758" customFormat="1" ht="18" customHeight="1" x14ac:dyDescent="0.35">
      <c r="A90" s="773">
        <v>81</v>
      </c>
      <c r="B90" s="766"/>
      <c r="C90" s="420"/>
      <c r="D90" s="1318" t="s">
        <v>947</v>
      </c>
      <c r="E90" s="430"/>
      <c r="F90" s="762"/>
      <c r="G90" s="431"/>
      <c r="H90" s="999"/>
      <c r="I90" s="759"/>
      <c r="J90" s="759"/>
      <c r="K90" s="759"/>
      <c r="L90" s="759"/>
      <c r="M90" s="1771">
        <v>10</v>
      </c>
      <c r="N90" s="759"/>
      <c r="O90" s="1741">
        <f>SUM(I90:N90)</f>
        <v>10</v>
      </c>
      <c r="P90" s="1499"/>
      <c r="Q90" s="418"/>
      <c r="R90" s="418"/>
      <c r="S90" s="418"/>
      <c r="T90" s="418"/>
      <c r="U90" s="418"/>
      <c r="V90" s="418"/>
      <c r="W90" s="418"/>
      <c r="X90" s="418"/>
      <c r="Y90" s="418"/>
      <c r="Z90" s="418"/>
      <c r="AA90" s="418"/>
      <c r="AB90" s="418"/>
      <c r="AC90" s="418"/>
      <c r="AD90" s="418"/>
      <c r="AE90" s="418"/>
      <c r="AF90" s="418"/>
      <c r="AG90" s="418"/>
      <c r="AH90" s="418"/>
      <c r="AI90" s="418"/>
      <c r="AJ90" s="418"/>
      <c r="AK90" s="418"/>
      <c r="AL90" s="418"/>
      <c r="AM90" s="418"/>
      <c r="AN90" s="418"/>
      <c r="AO90" s="418"/>
      <c r="AP90" s="418"/>
      <c r="AQ90" s="418"/>
      <c r="AR90" s="418"/>
      <c r="AS90" s="418"/>
      <c r="AT90" s="418"/>
      <c r="AU90" s="418"/>
      <c r="AV90" s="418"/>
      <c r="AW90" s="418"/>
      <c r="AX90" s="418"/>
      <c r="AY90" s="418"/>
      <c r="AZ90" s="418"/>
      <c r="BA90" s="418"/>
      <c r="BB90" s="418"/>
      <c r="BC90" s="418"/>
      <c r="BD90" s="418"/>
      <c r="BE90" s="418"/>
      <c r="BF90" s="418"/>
      <c r="BG90" s="418"/>
      <c r="BH90" s="418"/>
      <c r="BI90" s="418"/>
      <c r="BJ90" s="418"/>
      <c r="BK90" s="418"/>
      <c r="BL90" s="418"/>
      <c r="BM90" s="418"/>
      <c r="BN90" s="418"/>
      <c r="BO90" s="418"/>
      <c r="BP90" s="418"/>
      <c r="BQ90" s="418"/>
      <c r="BR90" s="418"/>
      <c r="BS90" s="418"/>
      <c r="BT90" s="418"/>
      <c r="BU90" s="418"/>
      <c r="BV90" s="418"/>
      <c r="BW90" s="418"/>
      <c r="BX90" s="418"/>
      <c r="BY90" s="418"/>
      <c r="BZ90" s="418"/>
      <c r="CA90" s="418"/>
      <c r="CB90" s="418"/>
      <c r="CC90" s="418"/>
      <c r="CD90" s="418"/>
      <c r="CE90" s="418"/>
      <c r="CF90" s="418"/>
      <c r="CG90" s="418"/>
      <c r="CH90" s="418"/>
      <c r="CI90" s="418"/>
      <c r="CJ90" s="418"/>
      <c r="CK90" s="418"/>
      <c r="CL90" s="418"/>
      <c r="CM90" s="418"/>
      <c r="CN90" s="418"/>
      <c r="CO90" s="418"/>
      <c r="CP90" s="418"/>
      <c r="CQ90" s="418"/>
      <c r="CR90" s="418"/>
      <c r="CS90" s="418"/>
      <c r="CT90" s="418"/>
      <c r="CU90" s="418"/>
      <c r="CV90" s="418"/>
      <c r="CW90" s="418"/>
      <c r="CX90" s="418"/>
      <c r="CY90" s="418"/>
      <c r="CZ90" s="418"/>
      <c r="DA90" s="418"/>
      <c r="DB90" s="418"/>
      <c r="DC90" s="418"/>
      <c r="DD90" s="418"/>
      <c r="DE90" s="418"/>
      <c r="DF90" s="418"/>
      <c r="DG90" s="418"/>
      <c r="DH90" s="418"/>
      <c r="DI90" s="418"/>
      <c r="DJ90" s="418"/>
      <c r="DK90" s="418"/>
      <c r="DL90" s="418"/>
      <c r="DM90" s="418"/>
      <c r="DN90" s="418"/>
      <c r="DO90" s="418"/>
      <c r="DP90" s="418"/>
      <c r="DQ90" s="418"/>
      <c r="DR90" s="418"/>
      <c r="DS90" s="418"/>
      <c r="DT90" s="418"/>
      <c r="DU90" s="418"/>
      <c r="DV90" s="418"/>
      <c r="DW90" s="418"/>
      <c r="DX90" s="418"/>
      <c r="DY90" s="418"/>
      <c r="DZ90" s="418"/>
      <c r="EA90" s="418"/>
      <c r="EB90" s="418"/>
      <c r="EC90" s="418"/>
      <c r="ED90" s="418"/>
      <c r="EE90" s="418"/>
      <c r="EF90" s="418"/>
      <c r="EG90" s="418"/>
      <c r="EH90" s="418"/>
      <c r="EI90" s="418"/>
      <c r="EJ90" s="418"/>
      <c r="EK90" s="418"/>
      <c r="EL90" s="418"/>
      <c r="EM90" s="418"/>
      <c r="EN90" s="418"/>
      <c r="EO90" s="418"/>
      <c r="EP90" s="418"/>
      <c r="EQ90" s="418"/>
      <c r="ER90" s="418"/>
      <c r="ES90" s="418"/>
      <c r="ET90" s="418"/>
      <c r="EU90" s="418"/>
      <c r="EV90" s="418"/>
      <c r="EW90" s="418"/>
      <c r="EX90" s="418"/>
      <c r="EY90" s="418"/>
      <c r="EZ90" s="418"/>
      <c r="FA90" s="418"/>
      <c r="FB90" s="418"/>
      <c r="FC90" s="418"/>
      <c r="FD90" s="418"/>
      <c r="FE90" s="418"/>
      <c r="FF90" s="418"/>
      <c r="FG90" s="418"/>
      <c r="FH90" s="418"/>
      <c r="FI90" s="418"/>
      <c r="FJ90" s="418"/>
      <c r="FK90" s="418"/>
      <c r="FL90" s="418"/>
      <c r="FM90" s="418"/>
      <c r="FN90" s="418"/>
      <c r="FO90" s="418"/>
      <c r="FP90" s="418"/>
      <c r="FQ90" s="418"/>
      <c r="FR90" s="418"/>
      <c r="FS90" s="418"/>
      <c r="FT90" s="418"/>
      <c r="FU90" s="418"/>
      <c r="FV90" s="418"/>
      <c r="FW90" s="418"/>
      <c r="FX90" s="418"/>
      <c r="FY90" s="418"/>
      <c r="FZ90" s="418"/>
      <c r="GA90" s="418"/>
      <c r="GB90" s="418"/>
      <c r="GC90" s="418"/>
      <c r="GD90" s="418"/>
      <c r="GE90" s="418"/>
      <c r="GF90" s="418"/>
      <c r="GG90" s="418"/>
      <c r="GH90" s="418"/>
      <c r="GI90" s="418"/>
      <c r="GJ90" s="418"/>
      <c r="GK90" s="418"/>
      <c r="GL90" s="418"/>
      <c r="GM90" s="418"/>
      <c r="GN90" s="418"/>
      <c r="GO90" s="418"/>
      <c r="GP90" s="418"/>
      <c r="GQ90" s="418"/>
      <c r="GR90" s="418"/>
      <c r="GS90" s="418"/>
      <c r="GT90" s="418"/>
      <c r="GU90" s="418"/>
      <c r="GV90" s="418"/>
      <c r="GW90" s="418"/>
      <c r="GX90" s="418"/>
      <c r="GY90" s="418"/>
      <c r="GZ90" s="418"/>
      <c r="HA90" s="418"/>
      <c r="HB90" s="418"/>
      <c r="HC90" s="418"/>
      <c r="HD90" s="418"/>
      <c r="HE90" s="418"/>
      <c r="HF90" s="418"/>
      <c r="HG90" s="418"/>
      <c r="HH90" s="418"/>
      <c r="HI90" s="418"/>
      <c r="HJ90" s="418"/>
      <c r="HK90" s="418"/>
      <c r="HL90" s="418"/>
      <c r="HM90" s="418"/>
      <c r="HN90" s="418"/>
      <c r="HO90" s="418"/>
      <c r="HP90" s="418"/>
      <c r="HQ90" s="418"/>
      <c r="HR90" s="418"/>
      <c r="HS90" s="418"/>
      <c r="HT90" s="418"/>
      <c r="HU90" s="418"/>
      <c r="HV90" s="418"/>
      <c r="HW90" s="418"/>
      <c r="HX90" s="418"/>
      <c r="HY90" s="418"/>
      <c r="HZ90" s="418"/>
      <c r="IA90" s="418"/>
      <c r="IB90" s="418"/>
      <c r="IC90" s="418"/>
      <c r="ID90" s="418"/>
      <c r="IE90" s="418"/>
      <c r="IF90" s="418"/>
      <c r="IG90" s="418"/>
      <c r="IH90" s="418"/>
      <c r="II90" s="418"/>
      <c r="IJ90" s="418"/>
      <c r="IK90" s="418"/>
      <c r="IL90" s="418"/>
      <c r="IM90" s="418"/>
      <c r="IN90" s="418"/>
      <c r="IO90" s="418"/>
      <c r="IP90" s="418"/>
      <c r="IQ90" s="418"/>
      <c r="IR90" s="418"/>
      <c r="IS90" s="418"/>
      <c r="IT90" s="418"/>
      <c r="IU90" s="418"/>
      <c r="IV90" s="418"/>
      <c r="IW90" s="418"/>
      <c r="IX90" s="418"/>
      <c r="IY90" s="418"/>
      <c r="IZ90" s="418"/>
      <c r="JA90" s="418"/>
    </row>
    <row r="91" spans="1:261" s="758" customFormat="1" ht="18" customHeight="1" x14ac:dyDescent="0.35">
      <c r="A91" s="773">
        <v>82</v>
      </c>
      <c r="B91" s="766"/>
      <c r="C91" s="420"/>
      <c r="D91" s="577" t="s">
        <v>1250</v>
      </c>
      <c r="E91" s="430"/>
      <c r="F91" s="762"/>
      <c r="G91" s="431"/>
      <c r="H91" s="999"/>
      <c r="I91" s="759"/>
      <c r="J91" s="759"/>
      <c r="K91" s="759"/>
      <c r="L91" s="759"/>
      <c r="M91" s="1524">
        <f>SUM(M90)</f>
        <v>10</v>
      </c>
      <c r="N91" s="759"/>
      <c r="O91" s="767">
        <f>SUM(I91:N91)</f>
        <v>10</v>
      </c>
      <c r="P91" s="1499"/>
      <c r="Q91" s="418"/>
      <c r="R91" s="418"/>
      <c r="S91" s="418"/>
      <c r="T91" s="418"/>
      <c r="U91" s="418"/>
      <c r="V91" s="418"/>
      <c r="W91" s="418"/>
      <c r="X91" s="418"/>
      <c r="Y91" s="418"/>
      <c r="Z91" s="418"/>
      <c r="AA91" s="418"/>
      <c r="AB91" s="418"/>
      <c r="AC91" s="418"/>
      <c r="AD91" s="418"/>
      <c r="AE91" s="418"/>
      <c r="AF91" s="418"/>
      <c r="AG91" s="418"/>
      <c r="AH91" s="418"/>
      <c r="AI91" s="418"/>
      <c r="AJ91" s="418"/>
      <c r="AK91" s="418"/>
      <c r="AL91" s="418"/>
      <c r="AM91" s="418"/>
      <c r="AN91" s="418"/>
      <c r="AO91" s="418"/>
      <c r="AP91" s="418"/>
      <c r="AQ91" s="418"/>
      <c r="AR91" s="418"/>
      <c r="AS91" s="418"/>
      <c r="AT91" s="418"/>
      <c r="AU91" s="418"/>
      <c r="AV91" s="418"/>
      <c r="AW91" s="418"/>
      <c r="AX91" s="418"/>
      <c r="AY91" s="418"/>
      <c r="AZ91" s="418"/>
      <c r="BA91" s="418"/>
      <c r="BB91" s="418"/>
      <c r="BC91" s="418"/>
      <c r="BD91" s="418"/>
      <c r="BE91" s="418"/>
      <c r="BF91" s="418"/>
      <c r="BG91" s="418"/>
      <c r="BH91" s="418"/>
      <c r="BI91" s="418"/>
      <c r="BJ91" s="418"/>
      <c r="BK91" s="418"/>
      <c r="BL91" s="418"/>
      <c r="BM91" s="418"/>
      <c r="BN91" s="418"/>
      <c r="BO91" s="418"/>
      <c r="BP91" s="418"/>
      <c r="BQ91" s="418"/>
      <c r="BR91" s="418"/>
      <c r="BS91" s="418"/>
      <c r="BT91" s="418"/>
      <c r="BU91" s="418"/>
      <c r="BV91" s="418"/>
      <c r="BW91" s="418"/>
      <c r="BX91" s="418"/>
      <c r="BY91" s="418"/>
      <c r="BZ91" s="418"/>
      <c r="CA91" s="418"/>
      <c r="CB91" s="418"/>
      <c r="CC91" s="418"/>
      <c r="CD91" s="418"/>
      <c r="CE91" s="418"/>
      <c r="CF91" s="418"/>
      <c r="CG91" s="418"/>
      <c r="CH91" s="418"/>
      <c r="CI91" s="418"/>
      <c r="CJ91" s="418"/>
      <c r="CK91" s="418"/>
      <c r="CL91" s="418"/>
      <c r="CM91" s="418"/>
      <c r="CN91" s="418"/>
      <c r="CO91" s="418"/>
      <c r="CP91" s="418"/>
      <c r="CQ91" s="418"/>
      <c r="CR91" s="418"/>
      <c r="CS91" s="418"/>
      <c r="CT91" s="418"/>
      <c r="CU91" s="418"/>
      <c r="CV91" s="418"/>
      <c r="CW91" s="418"/>
      <c r="CX91" s="418"/>
      <c r="CY91" s="418"/>
      <c r="CZ91" s="418"/>
      <c r="DA91" s="418"/>
      <c r="DB91" s="418"/>
      <c r="DC91" s="418"/>
      <c r="DD91" s="418"/>
      <c r="DE91" s="418"/>
      <c r="DF91" s="418"/>
      <c r="DG91" s="418"/>
      <c r="DH91" s="418"/>
      <c r="DI91" s="418"/>
      <c r="DJ91" s="418"/>
      <c r="DK91" s="418"/>
      <c r="DL91" s="418"/>
      <c r="DM91" s="418"/>
      <c r="DN91" s="418"/>
      <c r="DO91" s="418"/>
      <c r="DP91" s="418"/>
      <c r="DQ91" s="418"/>
      <c r="DR91" s="418"/>
      <c r="DS91" s="418"/>
      <c r="DT91" s="418"/>
      <c r="DU91" s="418"/>
      <c r="DV91" s="418"/>
      <c r="DW91" s="418"/>
      <c r="DX91" s="418"/>
      <c r="DY91" s="418"/>
      <c r="DZ91" s="418"/>
      <c r="EA91" s="418"/>
      <c r="EB91" s="418"/>
      <c r="EC91" s="418"/>
      <c r="ED91" s="418"/>
      <c r="EE91" s="418"/>
      <c r="EF91" s="418"/>
      <c r="EG91" s="418"/>
      <c r="EH91" s="418"/>
      <c r="EI91" s="418"/>
      <c r="EJ91" s="418"/>
      <c r="EK91" s="418"/>
      <c r="EL91" s="418"/>
      <c r="EM91" s="418"/>
      <c r="EN91" s="418"/>
      <c r="EO91" s="418"/>
      <c r="EP91" s="418"/>
      <c r="EQ91" s="418"/>
      <c r="ER91" s="418"/>
      <c r="ES91" s="418"/>
      <c r="ET91" s="418"/>
      <c r="EU91" s="418"/>
      <c r="EV91" s="418"/>
      <c r="EW91" s="418"/>
      <c r="EX91" s="418"/>
      <c r="EY91" s="418"/>
      <c r="EZ91" s="418"/>
      <c r="FA91" s="418"/>
      <c r="FB91" s="418"/>
      <c r="FC91" s="418"/>
      <c r="FD91" s="418"/>
      <c r="FE91" s="418"/>
      <c r="FF91" s="418"/>
      <c r="FG91" s="418"/>
      <c r="FH91" s="418"/>
      <c r="FI91" s="418"/>
      <c r="FJ91" s="418"/>
      <c r="FK91" s="418"/>
      <c r="FL91" s="418"/>
      <c r="FM91" s="418"/>
      <c r="FN91" s="418"/>
      <c r="FO91" s="418"/>
      <c r="FP91" s="418"/>
      <c r="FQ91" s="418"/>
      <c r="FR91" s="418"/>
      <c r="FS91" s="418"/>
      <c r="FT91" s="418"/>
      <c r="FU91" s="418"/>
      <c r="FV91" s="418"/>
      <c r="FW91" s="418"/>
      <c r="FX91" s="418"/>
      <c r="FY91" s="418"/>
      <c r="FZ91" s="418"/>
      <c r="GA91" s="418"/>
      <c r="GB91" s="418"/>
      <c r="GC91" s="418"/>
      <c r="GD91" s="418"/>
      <c r="GE91" s="418"/>
      <c r="GF91" s="418"/>
      <c r="GG91" s="418"/>
      <c r="GH91" s="418"/>
      <c r="GI91" s="418"/>
      <c r="GJ91" s="418"/>
      <c r="GK91" s="418"/>
      <c r="GL91" s="418"/>
      <c r="GM91" s="418"/>
      <c r="GN91" s="418"/>
      <c r="GO91" s="418"/>
      <c r="GP91" s="418"/>
      <c r="GQ91" s="418"/>
      <c r="GR91" s="418"/>
      <c r="GS91" s="418"/>
      <c r="GT91" s="418"/>
      <c r="GU91" s="418"/>
      <c r="GV91" s="418"/>
      <c r="GW91" s="418"/>
      <c r="GX91" s="418"/>
      <c r="GY91" s="418"/>
      <c r="GZ91" s="418"/>
      <c r="HA91" s="418"/>
      <c r="HB91" s="418"/>
      <c r="HC91" s="418"/>
      <c r="HD91" s="418"/>
      <c r="HE91" s="418"/>
      <c r="HF91" s="418"/>
      <c r="HG91" s="418"/>
      <c r="HH91" s="418"/>
      <c r="HI91" s="418"/>
      <c r="HJ91" s="418"/>
      <c r="HK91" s="418"/>
      <c r="HL91" s="418"/>
      <c r="HM91" s="418"/>
      <c r="HN91" s="418"/>
      <c r="HO91" s="418"/>
      <c r="HP91" s="418"/>
      <c r="HQ91" s="418"/>
      <c r="HR91" s="418"/>
      <c r="HS91" s="418"/>
      <c r="HT91" s="418"/>
      <c r="HU91" s="418"/>
      <c r="HV91" s="418"/>
      <c r="HW91" s="418"/>
      <c r="HX91" s="418"/>
      <c r="HY91" s="418"/>
      <c r="HZ91" s="418"/>
      <c r="IA91" s="418"/>
      <c r="IB91" s="418"/>
      <c r="IC91" s="418"/>
      <c r="ID91" s="418"/>
      <c r="IE91" s="418"/>
      <c r="IF91" s="418"/>
      <c r="IG91" s="418"/>
      <c r="IH91" s="418"/>
      <c r="II91" s="418"/>
      <c r="IJ91" s="418"/>
      <c r="IK91" s="418"/>
      <c r="IL91" s="418"/>
      <c r="IM91" s="418"/>
      <c r="IN91" s="418"/>
      <c r="IO91" s="418"/>
      <c r="IP91" s="418"/>
      <c r="IQ91" s="418"/>
      <c r="IR91" s="418"/>
      <c r="IS91" s="418"/>
      <c r="IT91" s="418"/>
      <c r="IU91" s="418"/>
      <c r="IV91" s="418"/>
      <c r="IW91" s="418"/>
      <c r="IX91" s="418"/>
      <c r="IY91" s="418"/>
      <c r="IZ91" s="418"/>
      <c r="JA91" s="418"/>
    </row>
    <row r="92" spans="1:261" s="758" customFormat="1" ht="18" customHeight="1" x14ac:dyDescent="0.35">
      <c r="A92" s="773">
        <v>83</v>
      </c>
      <c r="B92" s="766"/>
      <c r="C92" s="420">
        <v>18</v>
      </c>
      <c r="D92" s="770" t="s">
        <v>1279</v>
      </c>
      <c r="E92" s="430"/>
      <c r="F92" s="762"/>
      <c r="G92" s="431"/>
      <c r="H92" s="999"/>
      <c r="I92" s="759"/>
      <c r="J92" s="759"/>
      <c r="K92" s="759"/>
      <c r="L92" s="759"/>
      <c r="M92" s="1771"/>
      <c r="N92" s="759"/>
      <c r="O92" s="767"/>
      <c r="P92" s="1499"/>
      <c r="Q92" s="418"/>
      <c r="R92" s="418"/>
      <c r="S92" s="418"/>
      <c r="T92" s="418"/>
      <c r="U92" s="418"/>
      <c r="V92" s="418"/>
      <c r="W92" s="418"/>
      <c r="X92" s="418"/>
      <c r="Y92" s="418"/>
      <c r="Z92" s="418"/>
      <c r="AA92" s="418"/>
      <c r="AB92" s="418"/>
      <c r="AC92" s="418"/>
      <c r="AD92" s="418"/>
      <c r="AE92" s="418"/>
      <c r="AF92" s="418"/>
      <c r="AG92" s="418"/>
      <c r="AH92" s="418"/>
      <c r="AI92" s="418"/>
      <c r="AJ92" s="418"/>
      <c r="AK92" s="418"/>
      <c r="AL92" s="418"/>
      <c r="AM92" s="418"/>
      <c r="AN92" s="418"/>
      <c r="AO92" s="418"/>
      <c r="AP92" s="418"/>
      <c r="AQ92" s="418"/>
      <c r="AR92" s="418"/>
      <c r="AS92" s="418"/>
      <c r="AT92" s="418"/>
      <c r="AU92" s="418"/>
      <c r="AV92" s="418"/>
      <c r="AW92" s="418"/>
      <c r="AX92" s="418"/>
      <c r="AY92" s="418"/>
      <c r="AZ92" s="418"/>
      <c r="BA92" s="418"/>
      <c r="BB92" s="418"/>
      <c r="BC92" s="418"/>
      <c r="BD92" s="418"/>
      <c r="BE92" s="418"/>
      <c r="BF92" s="418"/>
      <c r="BG92" s="418"/>
      <c r="BH92" s="418"/>
      <c r="BI92" s="418"/>
      <c r="BJ92" s="418"/>
      <c r="BK92" s="418"/>
      <c r="BL92" s="418"/>
      <c r="BM92" s="418"/>
      <c r="BN92" s="418"/>
      <c r="BO92" s="418"/>
      <c r="BP92" s="418"/>
      <c r="BQ92" s="418"/>
      <c r="BR92" s="418"/>
      <c r="BS92" s="418"/>
      <c r="BT92" s="418"/>
      <c r="BU92" s="418"/>
      <c r="BV92" s="418"/>
      <c r="BW92" s="418"/>
      <c r="BX92" s="418"/>
      <c r="BY92" s="418"/>
      <c r="BZ92" s="418"/>
      <c r="CA92" s="418"/>
      <c r="CB92" s="418"/>
      <c r="CC92" s="418"/>
      <c r="CD92" s="418"/>
      <c r="CE92" s="418"/>
      <c r="CF92" s="418"/>
      <c r="CG92" s="418"/>
      <c r="CH92" s="418"/>
      <c r="CI92" s="418"/>
      <c r="CJ92" s="418"/>
      <c r="CK92" s="418"/>
      <c r="CL92" s="418"/>
      <c r="CM92" s="418"/>
      <c r="CN92" s="418"/>
      <c r="CO92" s="418"/>
      <c r="CP92" s="418"/>
      <c r="CQ92" s="418"/>
      <c r="CR92" s="418"/>
      <c r="CS92" s="418"/>
      <c r="CT92" s="418"/>
      <c r="CU92" s="418"/>
      <c r="CV92" s="418"/>
      <c r="CW92" s="418"/>
      <c r="CX92" s="418"/>
      <c r="CY92" s="418"/>
      <c r="CZ92" s="418"/>
      <c r="DA92" s="418"/>
      <c r="DB92" s="418"/>
      <c r="DC92" s="418"/>
      <c r="DD92" s="418"/>
      <c r="DE92" s="418"/>
      <c r="DF92" s="418"/>
      <c r="DG92" s="418"/>
      <c r="DH92" s="418"/>
      <c r="DI92" s="418"/>
      <c r="DJ92" s="418"/>
      <c r="DK92" s="418"/>
      <c r="DL92" s="418"/>
      <c r="DM92" s="418"/>
      <c r="DN92" s="418"/>
      <c r="DO92" s="418"/>
      <c r="DP92" s="418"/>
      <c r="DQ92" s="418"/>
      <c r="DR92" s="418"/>
      <c r="DS92" s="418"/>
      <c r="DT92" s="418"/>
      <c r="DU92" s="418"/>
      <c r="DV92" s="418"/>
      <c r="DW92" s="418"/>
      <c r="DX92" s="418"/>
      <c r="DY92" s="418"/>
      <c r="DZ92" s="418"/>
      <c r="EA92" s="418"/>
      <c r="EB92" s="418"/>
      <c r="EC92" s="418"/>
      <c r="ED92" s="418"/>
      <c r="EE92" s="418"/>
      <c r="EF92" s="418"/>
      <c r="EG92" s="418"/>
      <c r="EH92" s="418"/>
      <c r="EI92" s="418"/>
      <c r="EJ92" s="418"/>
      <c r="EK92" s="418"/>
      <c r="EL92" s="418"/>
      <c r="EM92" s="418"/>
      <c r="EN92" s="418"/>
      <c r="EO92" s="418"/>
      <c r="EP92" s="418"/>
      <c r="EQ92" s="418"/>
      <c r="ER92" s="418"/>
      <c r="ES92" s="418"/>
      <c r="ET92" s="418"/>
      <c r="EU92" s="418"/>
      <c r="EV92" s="418"/>
      <c r="EW92" s="418"/>
      <c r="EX92" s="418"/>
      <c r="EY92" s="418"/>
      <c r="EZ92" s="418"/>
      <c r="FA92" s="418"/>
      <c r="FB92" s="418"/>
      <c r="FC92" s="418"/>
      <c r="FD92" s="418"/>
      <c r="FE92" s="418"/>
      <c r="FF92" s="418"/>
      <c r="FG92" s="418"/>
      <c r="FH92" s="418"/>
      <c r="FI92" s="418"/>
      <c r="FJ92" s="418"/>
      <c r="FK92" s="418"/>
      <c r="FL92" s="418"/>
      <c r="FM92" s="418"/>
      <c r="FN92" s="418"/>
      <c r="FO92" s="418"/>
      <c r="FP92" s="418"/>
      <c r="FQ92" s="418"/>
      <c r="FR92" s="418"/>
      <c r="FS92" s="418"/>
      <c r="FT92" s="418"/>
      <c r="FU92" s="418"/>
      <c r="FV92" s="418"/>
      <c r="FW92" s="418"/>
      <c r="FX92" s="418"/>
      <c r="FY92" s="418"/>
      <c r="FZ92" s="418"/>
      <c r="GA92" s="418"/>
      <c r="GB92" s="418"/>
      <c r="GC92" s="418"/>
      <c r="GD92" s="418"/>
      <c r="GE92" s="418"/>
      <c r="GF92" s="418"/>
      <c r="GG92" s="418"/>
      <c r="GH92" s="418"/>
      <c r="GI92" s="418"/>
      <c r="GJ92" s="418"/>
      <c r="GK92" s="418"/>
      <c r="GL92" s="418"/>
      <c r="GM92" s="418"/>
      <c r="GN92" s="418"/>
      <c r="GO92" s="418"/>
      <c r="GP92" s="418"/>
      <c r="GQ92" s="418"/>
      <c r="GR92" s="418"/>
      <c r="GS92" s="418"/>
      <c r="GT92" s="418"/>
      <c r="GU92" s="418"/>
      <c r="GV92" s="418"/>
      <c r="GW92" s="418"/>
      <c r="GX92" s="418"/>
      <c r="GY92" s="418"/>
      <c r="GZ92" s="418"/>
      <c r="HA92" s="418"/>
      <c r="HB92" s="418"/>
      <c r="HC92" s="418"/>
      <c r="HD92" s="418"/>
      <c r="HE92" s="418"/>
      <c r="HF92" s="418"/>
      <c r="HG92" s="418"/>
      <c r="HH92" s="418"/>
      <c r="HI92" s="418"/>
      <c r="HJ92" s="418"/>
      <c r="HK92" s="418"/>
      <c r="HL92" s="418"/>
      <c r="HM92" s="418"/>
      <c r="HN92" s="418"/>
      <c r="HO92" s="418"/>
      <c r="HP92" s="418"/>
      <c r="HQ92" s="418"/>
      <c r="HR92" s="418"/>
      <c r="HS92" s="418"/>
      <c r="HT92" s="418"/>
      <c r="HU92" s="418"/>
      <c r="HV92" s="418"/>
      <c r="HW92" s="418"/>
      <c r="HX92" s="418"/>
      <c r="HY92" s="418"/>
      <c r="HZ92" s="418"/>
      <c r="IA92" s="418"/>
      <c r="IB92" s="418"/>
      <c r="IC92" s="418"/>
      <c r="ID92" s="418"/>
      <c r="IE92" s="418"/>
      <c r="IF92" s="418"/>
      <c r="IG92" s="418"/>
      <c r="IH92" s="418"/>
      <c r="II92" s="418"/>
      <c r="IJ92" s="418"/>
      <c r="IK92" s="418"/>
      <c r="IL92" s="418"/>
      <c r="IM92" s="418"/>
      <c r="IN92" s="418"/>
      <c r="IO92" s="418"/>
      <c r="IP92" s="418"/>
      <c r="IQ92" s="418"/>
      <c r="IR92" s="418"/>
      <c r="IS92" s="418"/>
      <c r="IT92" s="418"/>
      <c r="IU92" s="418"/>
      <c r="IV92" s="418"/>
      <c r="IW92" s="418"/>
      <c r="IX92" s="418"/>
      <c r="IY92" s="418"/>
      <c r="IZ92" s="418"/>
      <c r="JA92" s="418"/>
    </row>
    <row r="93" spans="1:261" s="758" customFormat="1" ht="18" customHeight="1" x14ac:dyDescent="0.35">
      <c r="A93" s="773">
        <v>84</v>
      </c>
      <c r="B93" s="766"/>
      <c r="C93" s="420"/>
      <c r="D93" s="1318" t="s">
        <v>947</v>
      </c>
      <c r="E93" s="430"/>
      <c r="F93" s="762"/>
      <c r="G93" s="431"/>
      <c r="H93" s="999"/>
      <c r="I93" s="759"/>
      <c r="J93" s="759"/>
      <c r="K93" s="759"/>
      <c r="L93" s="759"/>
      <c r="M93" s="1771">
        <v>629990</v>
      </c>
      <c r="N93" s="759"/>
      <c r="O93" s="1741">
        <f>SUM(I93:N93)</f>
        <v>629990</v>
      </c>
      <c r="P93" s="1499"/>
      <c r="Q93" s="418"/>
      <c r="R93" s="418"/>
      <c r="S93" s="418"/>
      <c r="T93" s="418"/>
      <c r="U93" s="418"/>
      <c r="V93" s="418"/>
      <c r="W93" s="418"/>
      <c r="X93" s="418"/>
      <c r="Y93" s="418"/>
      <c r="Z93" s="418"/>
      <c r="AA93" s="418"/>
      <c r="AB93" s="418"/>
      <c r="AC93" s="418"/>
      <c r="AD93" s="418"/>
      <c r="AE93" s="418"/>
      <c r="AF93" s="418"/>
      <c r="AG93" s="418"/>
      <c r="AH93" s="418"/>
      <c r="AI93" s="418"/>
      <c r="AJ93" s="418"/>
      <c r="AK93" s="418"/>
      <c r="AL93" s="418"/>
      <c r="AM93" s="418"/>
      <c r="AN93" s="418"/>
      <c r="AO93" s="418"/>
      <c r="AP93" s="418"/>
      <c r="AQ93" s="418"/>
      <c r="AR93" s="418"/>
      <c r="AS93" s="418"/>
      <c r="AT93" s="418"/>
      <c r="AU93" s="418"/>
      <c r="AV93" s="418"/>
      <c r="AW93" s="418"/>
      <c r="AX93" s="418"/>
      <c r="AY93" s="418"/>
      <c r="AZ93" s="418"/>
      <c r="BA93" s="418"/>
      <c r="BB93" s="418"/>
      <c r="BC93" s="418"/>
      <c r="BD93" s="418"/>
      <c r="BE93" s="418"/>
      <c r="BF93" s="418"/>
      <c r="BG93" s="418"/>
      <c r="BH93" s="418"/>
      <c r="BI93" s="418"/>
      <c r="BJ93" s="418"/>
      <c r="BK93" s="418"/>
      <c r="BL93" s="418"/>
      <c r="BM93" s="418"/>
      <c r="BN93" s="418"/>
      <c r="BO93" s="418"/>
      <c r="BP93" s="418"/>
      <c r="BQ93" s="418"/>
      <c r="BR93" s="418"/>
      <c r="BS93" s="418"/>
      <c r="BT93" s="418"/>
      <c r="BU93" s="418"/>
      <c r="BV93" s="418"/>
      <c r="BW93" s="418"/>
      <c r="BX93" s="418"/>
      <c r="BY93" s="418"/>
      <c r="BZ93" s="418"/>
      <c r="CA93" s="418"/>
      <c r="CB93" s="418"/>
      <c r="CC93" s="418"/>
      <c r="CD93" s="418"/>
      <c r="CE93" s="418"/>
      <c r="CF93" s="418"/>
      <c r="CG93" s="418"/>
      <c r="CH93" s="418"/>
      <c r="CI93" s="418"/>
      <c r="CJ93" s="418"/>
      <c r="CK93" s="418"/>
      <c r="CL93" s="418"/>
      <c r="CM93" s="418"/>
      <c r="CN93" s="418"/>
      <c r="CO93" s="418"/>
      <c r="CP93" s="418"/>
      <c r="CQ93" s="418"/>
      <c r="CR93" s="418"/>
      <c r="CS93" s="418"/>
      <c r="CT93" s="418"/>
      <c r="CU93" s="418"/>
      <c r="CV93" s="418"/>
      <c r="CW93" s="418"/>
      <c r="CX93" s="418"/>
      <c r="CY93" s="418"/>
      <c r="CZ93" s="418"/>
      <c r="DA93" s="418"/>
      <c r="DB93" s="418"/>
      <c r="DC93" s="418"/>
      <c r="DD93" s="418"/>
      <c r="DE93" s="418"/>
      <c r="DF93" s="418"/>
      <c r="DG93" s="418"/>
      <c r="DH93" s="418"/>
      <c r="DI93" s="418"/>
      <c r="DJ93" s="418"/>
      <c r="DK93" s="418"/>
      <c r="DL93" s="418"/>
      <c r="DM93" s="418"/>
      <c r="DN93" s="418"/>
      <c r="DO93" s="418"/>
      <c r="DP93" s="418"/>
      <c r="DQ93" s="418"/>
      <c r="DR93" s="418"/>
      <c r="DS93" s="418"/>
      <c r="DT93" s="418"/>
      <c r="DU93" s="418"/>
      <c r="DV93" s="418"/>
      <c r="DW93" s="418"/>
      <c r="DX93" s="418"/>
      <c r="DY93" s="418"/>
      <c r="DZ93" s="418"/>
      <c r="EA93" s="418"/>
      <c r="EB93" s="418"/>
      <c r="EC93" s="418"/>
      <c r="ED93" s="418"/>
      <c r="EE93" s="418"/>
      <c r="EF93" s="418"/>
      <c r="EG93" s="418"/>
      <c r="EH93" s="418"/>
      <c r="EI93" s="418"/>
      <c r="EJ93" s="418"/>
      <c r="EK93" s="418"/>
      <c r="EL93" s="418"/>
      <c r="EM93" s="418"/>
      <c r="EN93" s="418"/>
      <c r="EO93" s="418"/>
      <c r="EP93" s="418"/>
      <c r="EQ93" s="418"/>
      <c r="ER93" s="418"/>
      <c r="ES93" s="418"/>
      <c r="ET93" s="418"/>
      <c r="EU93" s="418"/>
      <c r="EV93" s="418"/>
      <c r="EW93" s="418"/>
      <c r="EX93" s="418"/>
      <c r="EY93" s="418"/>
      <c r="EZ93" s="418"/>
      <c r="FA93" s="418"/>
      <c r="FB93" s="418"/>
      <c r="FC93" s="418"/>
      <c r="FD93" s="418"/>
      <c r="FE93" s="418"/>
      <c r="FF93" s="418"/>
      <c r="FG93" s="418"/>
      <c r="FH93" s="418"/>
      <c r="FI93" s="418"/>
      <c r="FJ93" s="418"/>
      <c r="FK93" s="418"/>
      <c r="FL93" s="418"/>
      <c r="FM93" s="418"/>
      <c r="FN93" s="418"/>
      <c r="FO93" s="418"/>
      <c r="FP93" s="418"/>
      <c r="FQ93" s="418"/>
      <c r="FR93" s="418"/>
      <c r="FS93" s="418"/>
      <c r="FT93" s="418"/>
      <c r="FU93" s="418"/>
      <c r="FV93" s="418"/>
      <c r="FW93" s="418"/>
      <c r="FX93" s="418"/>
      <c r="FY93" s="418"/>
      <c r="FZ93" s="418"/>
      <c r="GA93" s="418"/>
      <c r="GB93" s="418"/>
      <c r="GC93" s="418"/>
      <c r="GD93" s="418"/>
      <c r="GE93" s="418"/>
      <c r="GF93" s="418"/>
      <c r="GG93" s="418"/>
      <c r="GH93" s="418"/>
      <c r="GI93" s="418"/>
      <c r="GJ93" s="418"/>
      <c r="GK93" s="418"/>
      <c r="GL93" s="418"/>
      <c r="GM93" s="418"/>
      <c r="GN93" s="418"/>
      <c r="GO93" s="418"/>
      <c r="GP93" s="418"/>
      <c r="GQ93" s="418"/>
      <c r="GR93" s="418"/>
      <c r="GS93" s="418"/>
      <c r="GT93" s="418"/>
      <c r="GU93" s="418"/>
      <c r="GV93" s="418"/>
      <c r="GW93" s="418"/>
      <c r="GX93" s="418"/>
      <c r="GY93" s="418"/>
      <c r="GZ93" s="418"/>
      <c r="HA93" s="418"/>
      <c r="HB93" s="418"/>
      <c r="HC93" s="418"/>
      <c r="HD93" s="418"/>
      <c r="HE93" s="418"/>
      <c r="HF93" s="418"/>
      <c r="HG93" s="418"/>
      <c r="HH93" s="418"/>
      <c r="HI93" s="418"/>
      <c r="HJ93" s="418"/>
      <c r="HK93" s="418"/>
      <c r="HL93" s="418"/>
      <c r="HM93" s="418"/>
      <c r="HN93" s="418"/>
      <c r="HO93" s="418"/>
      <c r="HP93" s="418"/>
      <c r="HQ93" s="418"/>
      <c r="HR93" s="418"/>
      <c r="HS93" s="418"/>
      <c r="HT93" s="418"/>
      <c r="HU93" s="418"/>
      <c r="HV93" s="418"/>
      <c r="HW93" s="418"/>
      <c r="HX93" s="418"/>
      <c r="HY93" s="418"/>
      <c r="HZ93" s="418"/>
      <c r="IA93" s="418"/>
      <c r="IB93" s="418"/>
      <c r="IC93" s="418"/>
      <c r="ID93" s="418"/>
      <c r="IE93" s="418"/>
      <c r="IF93" s="418"/>
      <c r="IG93" s="418"/>
      <c r="IH93" s="418"/>
      <c r="II93" s="418"/>
      <c r="IJ93" s="418"/>
      <c r="IK93" s="418"/>
      <c r="IL93" s="418"/>
      <c r="IM93" s="418"/>
      <c r="IN93" s="418"/>
      <c r="IO93" s="418"/>
      <c r="IP93" s="418"/>
      <c r="IQ93" s="418"/>
      <c r="IR93" s="418"/>
      <c r="IS93" s="418"/>
      <c r="IT93" s="418"/>
      <c r="IU93" s="418"/>
      <c r="IV93" s="418"/>
      <c r="IW93" s="418"/>
      <c r="IX93" s="418"/>
      <c r="IY93" s="418"/>
      <c r="IZ93" s="418"/>
      <c r="JA93" s="418"/>
    </row>
    <row r="94" spans="1:261" s="758" customFormat="1" ht="18" customHeight="1" x14ac:dyDescent="0.35">
      <c r="A94" s="773">
        <v>85</v>
      </c>
      <c r="B94" s="766"/>
      <c r="C94" s="420"/>
      <c r="D94" s="577" t="s">
        <v>1250</v>
      </c>
      <c r="E94" s="430"/>
      <c r="F94" s="762"/>
      <c r="G94" s="431"/>
      <c r="H94" s="999"/>
      <c r="I94" s="759"/>
      <c r="J94" s="759"/>
      <c r="K94" s="759"/>
      <c r="L94" s="759"/>
      <c r="M94" s="1524">
        <f>SUM(M93)</f>
        <v>629990</v>
      </c>
      <c r="N94" s="759"/>
      <c r="O94" s="767">
        <f>SUM(I94:N94)</f>
        <v>629990</v>
      </c>
      <c r="P94" s="1499"/>
      <c r="Q94" s="418"/>
      <c r="R94" s="418"/>
      <c r="S94" s="418"/>
      <c r="T94" s="418"/>
      <c r="U94" s="418"/>
      <c r="V94" s="418"/>
      <c r="W94" s="418"/>
      <c r="X94" s="418"/>
      <c r="Y94" s="418"/>
      <c r="Z94" s="418"/>
      <c r="AA94" s="418"/>
      <c r="AB94" s="418"/>
      <c r="AC94" s="418"/>
      <c r="AD94" s="418"/>
      <c r="AE94" s="418"/>
      <c r="AF94" s="418"/>
      <c r="AG94" s="418"/>
      <c r="AH94" s="418"/>
      <c r="AI94" s="418"/>
      <c r="AJ94" s="418"/>
      <c r="AK94" s="418"/>
      <c r="AL94" s="418"/>
      <c r="AM94" s="418"/>
      <c r="AN94" s="418"/>
      <c r="AO94" s="418"/>
      <c r="AP94" s="418"/>
      <c r="AQ94" s="418"/>
      <c r="AR94" s="418"/>
      <c r="AS94" s="418"/>
      <c r="AT94" s="418"/>
      <c r="AU94" s="418"/>
      <c r="AV94" s="418"/>
      <c r="AW94" s="418"/>
      <c r="AX94" s="418"/>
      <c r="AY94" s="418"/>
      <c r="AZ94" s="418"/>
      <c r="BA94" s="418"/>
      <c r="BB94" s="418"/>
      <c r="BC94" s="418"/>
      <c r="BD94" s="418"/>
      <c r="BE94" s="418"/>
      <c r="BF94" s="418"/>
      <c r="BG94" s="418"/>
      <c r="BH94" s="418"/>
      <c r="BI94" s="418"/>
      <c r="BJ94" s="418"/>
      <c r="BK94" s="418"/>
      <c r="BL94" s="418"/>
      <c r="BM94" s="418"/>
      <c r="BN94" s="418"/>
      <c r="BO94" s="418"/>
      <c r="BP94" s="418"/>
      <c r="BQ94" s="418"/>
      <c r="BR94" s="418"/>
      <c r="BS94" s="418"/>
      <c r="BT94" s="418"/>
      <c r="BU94" s="418"/>
      <c r="BV94" s="418"/>
      <c r="BW94" s="418"/>
      <c r="BX94" s="418"/>
      <c r="BY94" s="418"/>
      <c r="BZ94" s="418"/>
      <c r="CA94" s="418"/>
      <c r="CB94" s="418"/>
      <c r="CC94" s="418"/>
      <c r="CD94" s="418"/>
      <c r="CE94" s="418"/>
      <c r="CF94" s="418"/>
      <c r="CG94" s="418"/>
      <c r="CH94" s="418"/>
      <c r="CI94" s="418"/>
      <c r="CJ94" s="418"/>
      <c r="CK94" s="418"/>
      <c r="CL94" s="418"/>
      <c r="CM94" s="418"/>
      <c r="CN94" s="418"/>
      <c r="CO94" s="418"/>
      <c r="CP94" s="418"/>
      <c r="CQ94" s="418"/>
      <c r="CR94" s="418"/>
      <c r="CS94" s="418"/>
      <c r="CT94" s="418"/>
      <c r="CU94" s="418"/>
      <c r="CV94" s="418"/>
      <c r="CW94" s="418"/>
      <c r="CX94" s="418"/>
      <c r="CY94" s="418"/>
      <c r="CZ94" s="418"/>
      <c r="DA94" s="418"/>
      <c r="DB94" s="418"/>
      <c r="DC94" s="418"/>
      <c r="DD94" s="418"/>
      <c r="DE94" s="418"/>
      <c r="DF94" s="418"/>
      <c r="DG94" s="418"/>
      <c r="DH94" s="418"/>
      <c r="DI94" s="418"/>
      <c r="DJ94" s="418"/>
      <c r="DK94" s="418"/>
      <c r="DL94" s="418"/>
      <c r="DM94" s="418"/>
      <c r="DN94" s="418"/>
      <c r="DO94" s="418"/>
      <c r="DP94" s="418"/>
      <c r="DQ94" s="418"/>
      <c r="DR94" s="418"/>
      <c r="DS94" s="418"/>
      <c r="DT94" s="418"/>
      <c r="DU94" s="418"/>
      <c r="DV94" s="418"/>
      <c r="DW94" s="418"/>
      <c r="DX94" s="418"/>
      <c r="DY94" s="418"/>
      <c r="DZ94" s="418"/>
      <c r="EA94" s="418"/>
      <c r="EB94" s="418"/>
      <c r="EC94" s="418"/>
      <c r="ED94" s="418"/>
      <c r="EE94" s="418"/>
      <c r="EF94" s="418"/>
      <c r="EG94" s="418"/>
      <c r="EH94" s="418"/>
      <c r="EI94" s="418"/>
      <c r="EJ94" s="418"/>
      <c r="EK94" s="418"/>
      <c r="EL94" s="418"/>
      <c r="EM94" s="418"/>
      <c r="EN94" s="418"/>
      <c r="EO94" s="418"/>
      <c r="EP94" s="418"/>
      <c r="EQ94" s="418"/>
      <c r="ER94" s="418"/>
      <c r="ES94" s="418"/>
      <c r="ET94" s="418"/>
      <c r="EU94" s="418"/>
      <c r="EV94" s="418"/>
      <c r="EW94" s="418"/>
      <c r="EX94" s="418"/>
      <c r="EY94" s="418"/>
      <c r="EZ94" s="418"/>
      <c r="FA94" s="418"/>
      <c r="FB94" s="418"/>
      <c r="FC94" s="418"/>
      <c r="FD94" s="418"/>
      <c r="FE94" s="418"/>
      <c r="FF94" s="418"/>
      <c r="FG94" s="418"/>
      <c r="FH94" s="418"/>
      <c r="FI94" s="418"/>
      <c r="FJ94" s="418"/>
      <c r="FK94" s="418"/>
      <c r="FL94" s="418"/>
      <c r="FM94" s="418"/>
      <c r="FN94" s="418"/>
      <c r="FO94" s="418"/>
      <c r="FP94" s="418"/>
      <c r="FQ94" s="418"/>
      <c r="FR94" s="418"/>
      <c r="FS94" s="418"/>
      <c r="FT94" s="418"/>
      <c r="FU94" s="418"/>
      <c r="FV94" s="418"/>
      <c r="FW94" s="418"/>
      <c r="FX94" s="418"/>
      <c r="FY94" s="418"/>
      <c r="FZ94" s="418"/>
      <c r="GA94" s="418"/>
      <c r="GB94" s="418"/>
      <c r="GC94" s="418"/>
      <c r="GD94" s="418"/>
      <c r="GE94" s="418"/>
      <c r="GF94" s="418"/>
      <c r="GG94" s="418"/>
      <c r="GH94" s="418"/>
      <c r="GI94" s="418"/>
      <c r="GJ94" s="418"/>
      <c r="GK94" s="418"/>
      <c r="GL94" s="418"/>
      <c r="GM94" s="418"/>
      <c r="GN94" s="418"/>
      <c r="GO94" s="418"/>
      <c r="GP94" s="418"/>
      <c r="GQ94" s="418"/>
      <c r="GR94" s="418"/>
      <c r="GS94" s="418"/>
      <c r="GT94" s="418"/>
      <c r="GU94" s="418"/>
      <c r="GV94" s="418"/>
      <c r="GW94" s="418"/>
      <c r="GX94" s="418"/>
      <c r="GY94" s="418"/>
      <c r="GZ94" s="418"/>
      <c r="HA94" s="418"/>
      <c r="HB94" s="418"/>
      <c r="HC94" s="418"/>
      <c r="HD94" s="418"/>
      <c r="HE94" s="418"/>
      <c r="HF94" s="418"/>
      <c r="HG94" s="418"/>
      <c r="HH94" s="418"/>
      <c r="HI94" s="418"/>
      <c r="HJ94" s="418"/>
      <c r="HK94" s="418"/>
      <c r="HL94" s="418"/>
      <c r="HM94" s="418"/>
      <c r="HN94" s="418"/>
      <c r="HO94" s="418"/>
      <c r="HP94" s="418"/>
      <c r="HQ94" s="418"/>
      <c r="HR94" s="418"/>
      <c r="HS94" s="418"/>
      <c r="HT94" s="418"/>
      <c r="HU94" s="418"/>
      <c r="HV94" s="418"/>
      <c r="HW94" s="418"/>
      <c r="HX94" s="418"/>
      <c r="HY94" s="418"/>
      <c r="HZ94" s="418"/>
      <c r="IA94" s="418"/>
      <c r="IB94" s="418"/>
      <c r="IC94" s="418"/>
      <c r="ID94" s="418"/>
      <c r="IE94" s="418"/>
      <c r="IF94" s="418"/>
      <c r="IG94" s="418"/>
      <c r="IH94" s="418"/>
      <c r="II94" s="418"/>
      <c r="IJ94" s="418"/>
      <c r="IK94" s="418"/>
      <c r="IL94" s="418"/>
      <c r="IM94" s="418"/>
      <c r="IN94" s="418"/>
      <c r="IO94" s="418"/>
      <c r="IP94" s="418"/>
      <c r="IQ94" s="418"/>
      <c r="IR94" s="418"/>
      <c r="IS94" s="418"/>
      <c r="IT94" s="418"/>
      <c r="IU94" s="418"/>
      <c r="IV94" s="418"/>
      <c r="IW94" s="418"/>
      <c r="IX94" s="418"/>
      <c r="IY94" s="418"/>
      <c r="IZ94" s="418"/>
      <c r="JA94" s="418"/>
    </row>
    <row r="95" spans="1:261" s="758" customFormat="1" ht="20.100000000000001" customHeight="1" x14ac:dyDescent="0.35">
      <c r="A95" s="773">
        <v>86</v>
      </c>
      <c r="B95" s="766"/>
      <c r="C95" s="420">
        <v>19</v>
      </c>
      <c r="D95" s="2079" t="s">
        <v>1280</v>
      </c>
      <c r="E95" s="430"/>
      <c r="F95" s="762"/>
      <c r="G95" s="431"/>
      <c r="H95" s="999"/>
      <c r="I95" s="759"/>
      <c r="J95" s="759"/>
      <c r="K95" s="759"/>
      <c r="L95" s="759"/>
      <c r="M95" s="1771"/>
      <c r="N95" s="759"/>
      <c r="O95" s="767"/>
      <c r="P95" s="1499"/>
      <c r="Q95" s="418"/>
      <c r="R95" s="418"/>
      <c r="S95" s="418"/>
      <c r="T95" s="418"/>
      <c r="U95" s="418"/>
      <c r="V95" s="418"/>
      <c r="W95" s="418"/>
      <c r="X95" s="418"/>
      <c r="Y95" s="418"/>
      <c r="Z95" s="418"/>
      <c r="AA95" s="418"/>
      <c r="AB95" s="418"/>
      <c r="AC95" s="418"/>
      <c r="AD95" s="418"/>
      <c r="AE95" s="418"/>
      <c r="AF95" s="418"/>
      <c r="AG95" s="418"/>
      <c r="AH95" s="418"/>
      <c r="AI95" s="418"/>
      <c r="AJ95" s="418"/>
      <c r="AK95" s="418"/>
      <c r="AL95" s="418"/>
      <c r="AM95" s="418"/>
      <c r="AN95" s="418"/>
      <c r="AO95" s="418"/>
      <c r="AP95" s="418"/>
      <c r="AQ95" s="418"/>
      <c r="AR95" s="418"/>
      <c r="AS95" s="418"/>
      <c r="AT95" s="418"/>
      <c r="AU95" s="418"/>
      <c r="AV95" s="418"/>
      <c r="AW95" s="418"/>
      <c r="AX95" s="418"/>
      <c r="AY95" s="418"/>
      <c r="AZ95" s="418"/>
      <c r="BA95" s="418"/>
      <c r="BB95" s="418"/>
      <c r="BC95" s="418"/>
      <c r="BD95" s="418"/>
      <c r="BE95" s="418"/>
      <c r="BF95" s="418"/>
      <c r="BG95" s="418"/>
      <c r="BH95" s="418"/>
      <c r="BI95" s="418"/>
      <c r="BJ95" s="418"/>
      <c r="BK95" s="418"/>
      <c r="BL95" s="418"/>
      <c r="BM95" s="418"/>
      <c r="BN95" s="418"/>
      <c r="BO95" s="418"/>
      <c r="BP95" s="418"/>
      <c r="BQ95" s="418"/>
      <c r="BR95" s="418"/>
      <c r="BS95" s="418"/>
      <c r="BT95" s="418"/>
      <c r="BU95" s="418"/>
      <c r="BV95" s="418"/>
      <c r="BW95" s="418"/>
      <c r="BX95" s="418"/>
      <c r="BY95" s="418"/>
      <c r="BZ95" s="418"/>
      <c r="CA95" s="418"/>
      <c r="CB95" s="418"/>
      <c r="CC95" s="418"/>
      <c r="CD95" s="418"/>
      <c r="CE95" s="418"/>
      <c r="CF95" s="418"/>
      <c r="CG95" s="418"/>
      <c r="CH95" s="418"/>
      <c r="CI95" s="418"/>
      <c r="CJ95" s="418"/>
      <c r="CK95" s="418"/>
      <c r="CL95" s="418"/>
      <c r="CM95" s="418"/>
      <c r="CN95" s="418"/>
      <c r="CO95" s="418"/>
      <c r="CP95" s="418"/>
      <c r="CQ95" s="418"/>
      <c r="CR95" s="418"/>
      <c r="CS95" s="418"/>
      <c r="CT95" s="418"/>
      <c r="CU95" s="418"/>
      <c r="CV95" s="418"/>
      <c r="CW95" s="418"/>
      <c r="CX95" s="418"/>
      <c r="CY95" s="418"/>
      <c r="CZ95" s="418"/>
      <c r="DA95" s="418"/>
      <c r="DB95" s="418"/>
      <c r="DC95" s="418"/>
      <c r="DD95" s="418"/>
      <c r="DE95" s="418"/>
      <c r="DF95" s="418"/>
      <c r="DG95" s="418"/>
      <c r="DH95" s="418"/>
      <c r="DI95" s="418"/>
      <c r="DJ95" s="418"/>
      <c r="DK95" s="418"/>
      <c r="DL95" s="418"/>
      <c r="DM95" s="418"/>
      <c r="DN95" s="418"/>
      <c r="DO95" s="418"/>
      <c r="DP95" s="418"/>
      <c r="DQ95" s="418"/>
      <c r="DR95" s="418"/>
      <c r="DS95" s="418"/>
      <c r="DT95" s="418"/>
      <c r="DU95" s="418"/>
      <c r="DV95" s="418"/>
      <c r="DW95" s="418"/>
      <c r="DX95" s="418"/>
      <c r="DY95" s="418"/>
      <c r="DZ95" s="418"/>
      <c r="EA95" s="418"/>
      <c r="EB95" s="418"/>
      <c r="EC95" s="418"/>
      <c r="ED95" s="418"/>
      <c r="EE95" s="418"/>
      <c r="EF95" s="418"/>
      <c r="EG95" s="418"/>
      <c r="EH95" s="418"/>
      <c r="EI95" s="418"/>
      <c r="EJ95" s="418"/>
      <c r="EK95" s="418"/>
      <c r="EL95" s="418"/>
      <c r="EM95" s="418"/>
      <c r="EN95" s="418"/>
      <c r="EO95" s="418"/>
      <c r="EP95" s="418"/>
      <c r="EQ95" s="418"/>
      <c r="ER95" s="418"/>
      <c r="ES95" s="418"/>
      <c r="ET95" s="418"/>
      <c r="EU95" s="418"/>
      <c r="EV95" s="418"/>
      <c r="EW95" s="418"/>
      <c r="EX95" s="418"/>
      <c r="EY95" s="418"/>
      <c r="EZ95" s="418"/>
      <c r="FA95" s="418"/>
      <c r="FB95" s="418"/>
      <c r="FC95" s="418"/>
      <c r="FD95" s="418"/>
      <c r="FE95" s="418"/>
      <c r="FF95" s="418"/>
      <c r="FG95" s="418"/>
      <c r="FH95" s="418"/>
      <c r="FI95" s="418"/>
      <c r="FJ95" s="418"/>
      <c r="FK95" s="418"/>
      <c r="FL95" s="418"/>
      <c r="FM95" s="418"/>
      <c r="FN95" s="418"/>
      <c r="FO95" s="418"/>
      <c r="FP95" s="418"/>
      <c r="FQ95" s="418"/>
      <c r="FR95" s="418"/>
      <c r="FS95" s="418"/>
      <c r="FT95" s="418"/>
      <c r="FU95" s="418"/>
      <c r="FV95" s="418"/>
      <c r="FW95" s="418"/>
      <c r="FX95" s="418"/>
      <c r="FY95" s="418"/>
      <c r="FZ95" s="418"/>
      <c r="GA95" s="418"/>
      <c r="GB95" s="418"/>
      <c r="GC95" s="418"/>
      <c r="GD95" s="418"/>
      <c r="GE95" s="418"/>
      <c r="GF95" s="418"/>
      <c r="GG95" s="418"/>
      <c r="GH95" s="418"/>
      <c r="GI95" s="418"/>
      <c r="GJ95" s="418"/>
      <c r="GK95" s="418"/>
      <c r="GL95" s="418"/>
      <c r="GM95" s="418"/>
      <c r="GN95" s="418"/>
      <c r="GO95" s="418"/>
      <c r="GP95" s="418"/>
      <c r="GQ95" s="418"/>
      <c r="GR95" s="418"/>
      <c r="GS95" s="418"/>
      <c r="GT95" s="418"/>
      <c r="GU95" s="418"/>
      <c r="GV95" s="418"/>
      <c r="GW95" s="418"/>
      <c r="GX95" s="418"/>
      <c r="GY95" s="418"/>
      <c r="GZ95" s="418"/>
      <c r="HA95" s="418"/>
      <c r="HB95" s="418"/>
      <c r="HC95" s="418"/>
      <c r="HD95" s="418"/>
      <c r="HE95" s="418"/>
      <c r="HF95" s="418"/>
      <c r="HG95" s="418"/>
      <c r="HH95" s="418"/>
      <c r="HI95" s="418"/>
      <c r="HJ95" s="418"/>
      <c r="HK95" s="418"/>
      <c r="HL95" s="418"/>
      <c r="HM95" s="418"/>
      <c r="HN95" s="418"/>
      <c r="HO95" s="418"/>
      <c r="HP95" s="418"/>
      <c r="HQ95" s="418"/>
      <c r="HR95" s="418"/>
      <c r="HS95" s="418"/>
      <c r="HT95" s="418"/>
      <c r="HU95" s="418"/>
      <c r="HV95" s="418"/>
      <c r="HW95" s="418"/>
      <c r="HX95" s="418"/>
      <c r="HY95" s="418"/>
      <c r="HZ95" s="418"/>
      <c r="IA95" s="418"/>
      <c r="IB95" s="418"/>
      <c r="IC95" s="418"/>
      <c r="ID95" s="418"/>
      <c r="IE95" s="418"/>
      <c r="IF95" s="418"/>
      <c r="IG95" s="418"/>
      <c r="IH95" s="418"/>
      <c r="II95" s="418"/>
      <c r="IJ95" s="418"/>
      <c r="IK95" s="418"/>
      <c r="IL95" s="418"/>
      <c r="IM95" s="418"/>
      <c r="IN95" s="418"/>
      <c r="IO95" s="418"/>
      <c r="IP95" s="418"/>
      <c r="IQ95" s="418"/>
      <c r="IR95" s="418"/>
      <c r="IS95" s="418"/>
      <c r="IT95" s="418"/>
      <c r="IU95" s="418"/>
      <c r="IV95" s="418"/>
      <c r="IW95" s="418"/>
      <c r="IX95" s="418"/>
      <c r="IY95" s="418"/>
      <c r="IZ95" s="418"/>
      <c r="JA95" s="418"/>
    </row>
    <row r="96" spans="1:261" s="758" customFormat="1" ht="18" customHeight="1" x14ac:dyDescent="0.35">
      <c r="A96" s="773">
        <v>87</v>
      </c>
      <c r="B96" s="766"/>
      <c r="C96" s="420"/>
      <c r="D96" s="440" t="s">
        <v>947</v>
      </c>
      <c r="E96" s="430"/>
      <c r="F96" s="762"/>
      <c r="G96" s="431"/>
      <c r="H96" s="999"/>
      <c r="I96" s="759"/>
      <c r="J96" s="759"/>
      <c r="K96" s="759"/>
      <c r="L96" s="759"/>
      <c r="M96" s="1771">
        <v>10</v>
      </c>
      <c r="N96" s="759"/>
      <c r="O96" s="1741">
        <f>SUM(I96:N96)</f>
        <v>10</v>
      </c>
      <c r="P96" s="1499"/>
      <c r="Q96" s="418"/>
      <c r="R96" s="418"/>
      <c r="S96" s="418"/>
      <c r="T96" s="418"/>
      <c r="U96" s="418"/>
      <c r="V96" s="418"/>
      <c r="W96" s="418"/>
      <c r="X96" s="418"/>
      <c r="Y96" s="418"/>
      <c r="Z96" s="418"/>
      <c r="AA96" s="418"/>
      <c r="AB96" s="418"/>
      <c r="AC96" s="418"/>
      <c r="AD96" s="418"/>
      <c r="AE96" s="418"/>
      <c r="AF96" s="418"/>
      <c r="AG96" s="418"/>
      <c r="AH96" s="418"/>
      <c r="AI96" s="418"/>
      <c r="AJ96" s="418"/>
      <c r="AK96" s="418"/>
      <c r="AL96" s="418"/>
      <c r="AM96" s="418"/>
      <c r="AN96" s="418"/>
      <c r="AO96" s="418"/>
      <c r="AP96" s="418"/>
      <c r="AQ96" s="418"/>
      <c r="AR96" s="418"/>
      <c r="AS96" s="418"/>
      <c r="AT96" s="418"/>
      <c r="AU96" s="418"/>
      <c r="AV96" s="418"/>
      <c r="AW96" s="418"/>
      <c r="AX96" s="418"/>
      <c r="AY96" s="418"/>
      <c r="AZ96" s="418"/>
      <c r="BA96" s="418"/>
      <c r="BB96" s="418"/>
      <c r="BC96" s="418"/>
      <c r="BD96" s="418"/>
      <c r="BE96" s="418"/>
      <c r="BF96" s="418"/>
      <c r="BG96" s="418"/>
      <c r="BH96" s="418"/>
      <c r="BI96" s="418"/>
      <c r="BJ96" s="418"/>
      <c r="BK96" s="418"/>
      <c r="BL96" s="418"/>
      <c r="BM96" s="418"/>
      <c r="BN96" s="418"/>
      <c r="BO96" s="418"/>
      <c r="BP96" s="418"/>
      <c r="BQ96" s="418"/>
      <c r="BR96" s="418"/>
      <c r="BS96" s="418"/>
      <c r="BT96" s="418"/>
      <c r="BU96" s="418"/>
      <c r="BV96" s="418"/>
      <c r="BW96" s="418"/>
      <c r="BX96" s="418"/>
      <c r="BY96" s="418"/>
      <c r="BZ96" s="418"/>
      <c r="CA96" s="418"/>
      <c r="CB96" s="418"/>
      <c r="CC96" s="418"/>
      <c r="CD96" s="418"/>
      <c r="CE96" s="418"/>
      <c r="CF96" s="418"/>
      <c r="CG96" s="418"/>
      <c r="CH96" s="418"/>
      <c r="CI96" s="418"/>
      <c r="CJ96" s="418"/>
      <c r="CK96" s="418"/>
      <c r="CL96" s="418"/>
      <c r="CM96" s="418"/>
      <c r="CN96" s="418"/>
      <c r="CO96" s="418"/>
      <c r="CP96" s="418"/>
      <c r="CQ96" s="418"/>
      <c r="CR96" s="418"/>
      <c r="CS96" s="418"/>
      <c r="CT96" s="418"/>
      <c r="CU96" s="418"/>
      <c r="CV96" s="418"/>
      <c r="CW96" s="418"/>
      <c r="CX96" s="418"/>
      <c r="CY96" s="418"/>
      <c r="CZ96" s="418"/>
      <c r="DA96" s="418"/>
      <c r="DB96" s="418"/>
      <c r="DC96" s="418"/>
      <c r="DD96" s="418"/>
      <c r="DE96" s="418"/>
      <c r="DF96" s="418"/>
      <c r="DG96" s="418"/>
      <c r="DH96" s="418"/>
      <c r="DI96" s="418"/>
      <c r="DJ96" s="418"/>
      <c r="DK96" s="418"/>
      <c r="DL96" s="418"/>
      <c r="DM96" s="418"/>
      <c r="DN96" s="418"/>
      <c r="DO96" s="418"/>
      <c r="DP96" s="418"/>
      <c r="DQ96" s="418"/>
      <c r="DR96" s="418"/>
      <c r="DS96" s="418"/>
      <c r="DT96" s="418"/>
      <c r="DU96" s="418"/>
      <c r="DV96" s="418"/>
      <c r="DW96" s="418"/>
      <c r="DX96" s="418"/>
      <c r="DY96" s="418"/>
      <c r="DZ96" s="418"/>
      <c r="EA96" s="418"/>
      <c r="EB96" s="418"/>
      <c r="EC96" s="418"/>
      <c r="ED96" s="418"/>
      <c r="EE96" s="418"/>
      <c r="EF96" s="418"/>
      <c r="EG96" s="418"/>
      <c r="EH96" s="418"/>
      <c r="EI96" s="418"/>
      <c r="EJ96" s="418"/>
      <c r="EK96" s="418"/>
      <c r="EL96" s="418"/>
      <c r="EM96" s="418"/>
      <c r="EN96" s="418"/>
      <c r="EO96" s="418"/>
      <c r="EP96" s="418"/>
      <c r="EQ96" s="418"/>
      <c r="ER96" s="418"/>
      <c r="ES96" s="418"/>
      <c r="ET96" s="418"/>
      <c r="EU96" s="418"/>
      <c r="EV96" s="418"/>
      <c r="EW96" s="418"/>
      <c r="EX96" s="418"/>
      <c r="EY96" s="418"/>
      <c r="EZ96" s="418"/>
      <c r="FA96" s="418"/>
      <c r="FB96" s="418"/>
      <c r="FC96" s="418"/>
      <c r="FD96" s="418"/>
      <c r="FE96" s="418"/>
      <c r="FF96" s="418"/>
      <c r="FG96" s="418"/>
      <c r="FH96" s="418"/>
      <c r="FI96" s="418"/>
      <c r="FJ96" s="418"/>
      <c r="FK96" s="418"/>
      <c r="FL96" s="418"/>
      <c r="FM96" s="418"/>
      <c r="FN96" s="418"/>
      <c r="FO96" s="418"/>
      <c r="FP96" s="418"/>
      <c r="FQ96" s="418"/>
      <c r="FR96" s="418"/>
      <c r="FS96" s="418"/>
      <c r="FT96" s="418"/>
      <c r="FU96" s="418"/>
      <c r="FV96" s="418"/>
      <c r="FW96" s="418"/>
      <c r="FX96" s="418"/>
      <c r="FY96" s="418"/>
      <c r="FZ96" s="418"/>
      <c r="GA96" s="418"/>
      <c r="GB96" s="418"/>
      <c r="GC96" s="418"/>
      <c r="GD96" s="418"/>
      <c r="GE96" s="418"/>
      <c r="GF96" s="418"/>
      <c r="GG96" s="418"/>
      <c r="GH96" s="418"/>
      <c r="GI96" s="418"/>
      <c r="GJ96" s="418"/>
      <c r="GK96" s="418"/>
      <c r="GL96" s="418"/>
      <c r="GM96" s="418"/>
      <c r="GN96" s="418"/>
      <c r="GO96" s="418"/>
      <c r="GP96" s="418"/>
      <c r="GQ96" s="418"/>
      <c r="GR96" s="418"/>
      <c r="GS96" s="418"/>
      <c r="GT96" s="418"/>
      <c r="GU96" s="418"/>
      <c r="GV96" s="418"/>
      <c r="GW96" s="418"/>
      <c r="GX96" s="418"/>
      <c r="GY96" s="418"/>
      <c r="GZ96" s="418"/>
      <c r="HA96" s="418"/>
      <c r="HB96" s="418"/>
      <c r="HC96" s="418"/>
      <c r="HD96" s="418"/>
      <c r="HE96" s="418"/>
      <c r="HF96" s="418"/>
      <c r="HG96" s="418"/>
      <c r="HH96" s="418"/>
      <c r="HI96" s="418"/>
      <c r="HJ96" s="418"/>
      <c r="HK96" s="418"/>
      <c r="HL96" s="418"/>
      <c r="HM96" s="418"/>
      <c r="HN96" s="418"/>
      <c r="HO96" s="418"/>
      <c r="HP96" s="418"/>
      <c r="HQ96" s="418"/>
      <c r="HR96" s="418"/>
      <c r="HS96" s="418"/>
      <c r="HT96" s="418"/>
      <c r="HU96" s="418"/>
      <c r="HV96" s="418"/>
      <c r="HW96" s="418"/>
      <c r="HX96" s="418"/>
      <c r="HY96" s="418"/>
      <c r="HZ96" s="418"/>
      <c r="IA96" s="418"/>
      <c r="IB96" s="418"/>
      <c r="IC96" s="418"/>
      <c r="ID96" s="418"/>
      <c r="IE96" s="418"/>
      <c r="IF96" s="418"/>
      <c r="IG96" s="418"/>
      <c r="IH96" s="418"/>
      <c r="II96" s="418"/>
      <c r="IJ96" s="418"/>
      <c r="IK96" s="418"/>
      <c r="IL96" s="418"/>
      <c r="IM96" s="418"/>
      <c r="IN96" s="418"/>
      <c r="IO96" s="418"/>
      <c r="IP96" s="418"/>
      <c r="IQ96" s="418"/>
      <c r="IR96" s="418"/>
      <c r="IS96" s="418"/>
      <c r="IT96" s="418"/>
      <c r="IU96" s="418"/>
      <c r="IV96" s="418"/>
      <c r="IW96" s="418"/>
      <c r="IX96" s="418"/>
      <c r="IY96" s="418"/>
      <c r="IZ96" s="418"/>
      <c r="JA96" s="418"/>
    </row>
    <row r="97" spans="1:261" s="758" customFormat="1" ht="18" customHeight="1" x14ac:dyDescent="0.35">
      <c r="A97" s="773">
        <v>88</v>
      </c>
      <c r="B97" s="766"/>
      <c r="C97" s="420"/>
      <c r="D97" s="577" t="s">
        <v>1250</v>
      </c>
      <c r="E97" s="430"/>
      <c r="F97" s="762"/>
      <c r="G97" s="431"/>
      <c r="H97" s="999"/>
      <c r="I97" s="759"/>
      <c r="J97" s="759"/>
      <c r="K97" s="759"/>
      <c r="L97" s="759"/>
      <c r="M97" s="1524">
        <f>SUM(M96)</f>
        <v>10</v>
      </c>
      <c r="N97" s="759"/>
      <c r="O97" s="767">
        <f>SUM(I97:N97)</f>
        <v>10</v>
      </c>
      <c r="P97" s="1499"/>
      <c r="Q97" s="418"/>
      <c r="R97" s="418"/>
      <c r="S97" s="418"/>
      <c r="T97" s="418"/>
      <c r="U97" s="418"/>
      <c r="V97" s="418"/>
      <c r="W97" s="418"/>
      <c r="X97" s="418"/>
      <c r="Y97" s="418"/>
      <c r="Z97" s="418"/>
      <c r="AA97" s="418"/>
      <c r="AB97" s="418"/>
      <c r="AC97" s="418"/>
      <c r="AD97" s="418"/>
      <c r="AE97" s="418"/>
      <c r="AF97" s="418"/>
      <c r="AG97" s="418"/>
      <c r="AH97" s="418"/>
      <c r="AI97" s="418"/>
      <c r="AJ97" s="418"/>
      <c r="AK97" s="418"/>
      <c r="AL97" s="418"/>
      <c r="AM97" s="418"/>
      <c r="AN97" s="418"/>
      <c r="AO97" s="418"/>
      <c r="AP97" s="418"/>
      <c r="AQ97" s="418"/>
      <c r="AR97" s="418"/>
      <c r="AS97" s="418"/>
      <c r="AT97" s="418"/>
      <c r="AU97" s="418"/>
      <c r="AV97" s="418"/>
      <c r="AW97" s="418"/>
      <c r="AX97" s="418"/>
      <c r="AY97" s="418"/>
      <c r="AZ97" s="418"/>
      <c r="BA97" s="418"/>
      <c r="BB97" s="418"/>
      <c r="BC97" s="418"/>
      <c r="BD97" s="418"/>
      <c r="BE97" s="418"/>
      <c r="BF97" s="418"/>
      <c r="BG97" s="418"/>
      <c r="BH97" s="418"/>
      <c r="BI97" s="418"/>
      <c r="BJ97" s="418"/>
      <c r="BK97" s="418"/>
      <c r="BL97" s="418"/>
      <c r="BM97" s="418"/>
      <c r="BN97" s="418"/>
      <c r="BO97" s="418"/>
      <c r="BP97" s="418"/>
      <c r="BQ97" s="418"/>
      <c r="BR97" s="418"/>
      <c r="BS97" s="418"/>
      <c r="BT97" s="418"/>
      <c r="BU97" s="418"/>
      <c r="BV97" s="418"/>
      <c r="BW97" s="418"/>
      <c r="BX97" s="418"/>
      <c r="BY97" s="418"/>
      <c r="BZ97" s="418"/>
      <c r="CA97" s="418"/>
      <c r="CB97" s="418"/>
      <c r="CC97" s="418"/>
      <c r="CD97" s="418"/>
      <c r="CE97" s="418"/>
      <c r="CF97" s="418"/>
      <c r="CG97" s="418"/>
      <c r="CH97" s="418"/>
      <c r="CI97" s="418"/>
      <c r="CJ97" s="418"/>
      <c r="CK97" s="418"/>
      <c r="CL97" s="418"/>
      <c r="CM97" s="418"/>
      <c r="CN97" s="418"/>
      <c r="CO97" s="418"/>
      <c r="CP97" s="418"/>
      <c r="CQ97" s="418"/>
      <c r="CR97" s="418"/>
      <c r="CS97" s="418"/>
      <c r="CT97" s="418"/>
      <c r="CU97" s="418"/>
      <c r="CV97" s="418"/>
      <c r="CW97" s="418"/>
      <c r="CX97" s="418"/>
      <c r="CY97" s="418"/>
      <c r="CZ97" s="418"/>
      <c r="DA97" s="418"/>
      <c r="DB97" s="418"/>
      <c r="DC97" s="418"/>
      <c r="DD97" s="418"/>
      <c r="DE97" s="418"/>
      <c r="DF97" s="418"/>
      <c r="DG97" s="418"/>
      <c r="DH97" s="418"/>
      <c r="DI97" s="418"/>
      <c r="DJ97" s="418"/>
      <c r="DK97" s="418"/>
      <c r="DL97" s="418"/>
      <c r="DM97" s="418"/>
      <c r="DN97" s="418"/>
      <c r="DO97" s="418"/>
      <c r="DP97" s="418"/>
      <c r="DQ97" s="418"/>
      <c r="DR97" s="418"/>
      <c r="DS97" s="418"/>
      <c r="DT97" s="418"/>
      <c r="DU97" s="418"/>
      <c r="DV97" s="418"/>
      <c r="DW97" s="418"/>
      <c r="DX97" s="418"/>
      <c r="DY97" s="418"/>
      <c r="DZ97" s="418"/>
      <c r="EA97" s="418"/>
      <c r="EB97" s="418"/>
      <c r="EC97" s="418"/>
      <c r="ED97" s="418"/>
      <c r="EE97" s="418"/>
      <c r="EF97" s="418"/>
      <c r="EG97" s="418"/>
      <c r="EH97" s="418"/>
      <c r="EI97" s="418"/>
      <c r="EJ97" s="418"/>
      <c r="EK97" s="418"/>
      <c r="EL97" s="418"/>
      <c r="EM97" s="418"/>
      <c r="EN97" s="418"/>
      <c r="EO97" s="418"/>
      <c r="EP97" s="418"/>
      <c r="EQ97" s="418"/>
      <c r="ER97" s="418"/>
      <c r="ES97" s="418"/>
      <c r="ET97" s="418"/>
      <c r="EU97" s="418"/>
      <c r="EV97" s="418"/>
      <c r="EW97" s="418"/>
      <c r="EX97" s="418"/>
      <c r="EY97" s="418"/>
      <c r="EZ97" s="418"/>
      <c r="FA97" s="418"/>
      <c r="FB97" s="418"/>
      <c r="FC97" s="418"/>
      <c r="FD97" s="418"/>
      <c r="FE97" s="418"/>
      <c r="FF97" s="418"/>
      <c r="FG97" s="418"/>
      <c r="FH97" s="418"/>
      <c r="FI97" s="418"/>
      <c r="FJ97" s="418"/>
      <c r="FK97" s="418"/>
      <c r="FL97" s="418"/>
      <c r="FM97" s="418"/>
      <c r="FN97" s="418"/>
      <c r="FO97" s="418"/>
      <c r="FP97" s="418"/>
      <c r="FQ97" s="418"/>
      <c r="FR97" s="418"/>
      <c r="FS97" s="418"/>
      <c r="FT97" s="418"/>
      <c r="FU97" s="418"/>
      <c r="FV97" s="418"/>
      <c r="FW97" s="418"/>
      <c r="FX97" s="418"/>
      <c r="FY97" s="418"/>
      <c r="FZ97" s="418"/>
      <c r="GA97" s="418"/>
      <c r="GB97" s="418"/>
      <c r="GC97" s="418"/>
      <c r="GD97" s="418"/>
      <c r="GE97" s="418"/>
      <c r="GF97" s="418"/>
      <c r="GG97" s="418"/>
      <c r="GH97" s="418"/>
      <c r="GI97" s="418"/>
      <c r="GJ97" s="418"/>
      <c r="GK97" s="418"/>
      <c r="GL97" s="418"/>
      <c r="GM97" s="418"/>
      <c r="GN97" s="418"/>
      <c r="GO97" s="418"/>
      <c r="GP97" s="418"/>
      <c r="GQ97" s="418"/>
      <c r="GR97" s="418"/>
      <c r="GS97" s="418"/>
      <c r="GT97" s="418"/>
      <c r="GU97" s="418"/>
      <c r="GV97" s="418"/>
      <c r="GW97" s="418"/>
      <c r="GX97" s="418"/>
      <c r="GY97" s="418"/>
      <c r="GZ97" s="418"/>
      <c r="HA97" s="418"/>
      <c r="HB97" s="418"/>
      <c r="HC97" s="418"/>
      <c r="HD97" s="418"/>
      <c r="HE97" s="418"/>
      <c r="HF97" s="418"/>
      <c r="HG97" s="418"/>
      <c r="HH97" s="418"/>
      <c r="HI97" s="418"/>
      <c r="HJ97" s="418"/>
      <c r="HK97" s="418"/>
      <c r="HL97" s="418"/>
      <c r="HM97" s="418"/>
      <c r="HN97" s="418"/>
      <c r="HO97" s="418"/>
      <c r="HP97" s="418"/>
      <c r="HQ97" s="418"/>
      <c r="HR97" s="418"/>
      <c r="HS97" s="418"/>
      <c r="HT97" s="418"/>
      <c r="HU97" s="418"/>
      <c r="HV97" s="418"/>
      <c r="HW97" s="418"/>
      <c r="HX97" s="418"/>
      <c r="HY97" s="418"/>
      <c r="HZ97" s="418"/>
      <c r="IA97" s="418"/>
      <c r="IB97" s="418"/>
      <c r="IC97" s="418"/>
      <c r="ID97" s="418"/>
      <c r="IE97" s="418"/>
      <c r="IF97" s="418"/>
      <c r="IG97" s="418"/>
      <c r="IH97" s="418"/>
      <c r="II97" s="418"/>
      <c r="IJ97" s="418"/>
      <c r="IK97" s="418"/>
      <c r="IL97" s="418"/>
      <c r="IM97" s="418"/>
      <c r="IN97" s="418"/>
      <c r="IO97" s="418"/>
      <c r="IP97" s="418"/>
      <c r="IQ97" s="418"/>
      <c r="IR97" s="418"/>
      <c r="IS97" s="418"/>
      <c r="IT97" s="418"/>
      <c r="IU97" s="418"/>
      <c r="IV97" s="418"/>
      <c r="IW97" s="418"/>
      <c r="IX97" s="418"/>
      <c r="IY97" s="418"/>
      <c r="IZ97" s="418"/>
      <c r="JA97" s="418"/>
    </row>
    <row r="98" spans="1:261" s="758" customFormat="1" ht="20.100000000000001" customHeight="1" x14ac:dyDescent="0.35">
      <c r="A98" s="773">
        <v>89</v>
      </c>
      <c r="B98" s="766"/>
      <c r="C98" s="420">
        <v>20</v>
      </c>
      <c r="D98" s="2412" t="s">
        <v>1281</v>
      </c>
      <c r="E98" s="2413"/>
      <c r="F98" s="2414"/>
      <c r="G98" s="431"/>
      <c r="H98" s="999"/>
      <c r="I98" s="759"/>
      <c r="J98" s="759"/>
      <c r="K98" s="759"/>
      <c r="L98" s="759"/>
      <c r="M98" s="1771"/>
      <c r="N98" s="759"/>
      <c r="O98" s="767"/>
      <c r="P98" s="1499"/>
      <c r="Q98" s="418"/>
      <c r="R98" s="418"/>
      <c r="S98" s="418"/>
      <c r="T98" s="418"/>
      <c r="U98" s="418"/>
      <c r="V98" s="418"/>
      <c r="W98" s="418"/>
      <c r="X98" s="418"/>
      <c r="Y98" s="418"/>
      <c r="Z98" s="418"/>
      <c r="AA98" s="418"/>
      <c r="AB98" s="418"/>
      <c r="AC98" s="418"/>
      <c r="AD98" s="418"/>
      <c r="AE98" s="418"/>
      <c r="AF98" s="418"/>
      <c r="AG98" s="418"/>
      <c r="AH98" s="418"/>
      <c r="AI98" s="418"/>
      <c r="AJ98" s="418"/>
      <c r="AK98" s="418"/>
      <c r="AL98" s="418"/>
      <c r="AM98" s="418"/>
      <c r="AN98" s="418"/>
      <c r="AO98" s="418"/>
      <c r="AP98" s="418"/>
      <c r="AQ98" s="418"/>
      <c r="AR98" s="418"/>
      <c r="AS98" s="418"/>
      <c r="AT98" s="418"/>
      <c r="AU98" s="418"/>
      <c r="AV98" s="418"/>
      <c r="AW98" s="418"/>
      <c r="AX98" s="418"/>
      <c r="AY98" s="418"/>
      <c r="AZ98" s="418"/>
      <c r="BA98" s="418"/>
      <c r="BB98" s="418"/>
      <c r="BC98" s="418"/>
      <c r="BD98" s="418"/>
      <c r="BE98" s="418"/>
      <c r="BF98" s="418"/>
      <c r="BG98" s="418"/>
      <c r="BH98" s="418"/>
      <c r="BI98" s="418"/>
      <c r="BJ98" s="418"/>
      <c r="BK98" s="418"/>
      <c r="BL98" s="418"/>
      <c r="BM98" s="418"/>
      <c r="BN98" s="418"/>
      <c r="BO98" s="418"/>
      <c r="BP98" s="418"/>
      <c r="BQ98" s="418"/>
      <c r="BR98" s="418"/>
      <c r="BS98" s="418"/>
      <c r="BT98" s="418"/>
      <c r="BU98" s="418"/>
      <c r="BV98" s="418"/>
      <c r="BW98" s="418"/>
      <c r="BX98" s="418"/>
      <c r="BY98" s="418"/>
      <c r="BZ98" s="418"/>
      <c r="CA98" s="418"/>
      <c r="CB98" s="418"/>
      <c r="CC98" s="418"/>
      <c r="CD98" s="418"/>
      <c r="CE98" s="418"/>
      <c r="CF98" s="418"/>
      <c r="CG98" s="418"/>
      <c r="CH98" s="418"/>
      <c r="CI98" s="418"/>
      <c r="CJ98" s="418"/>
      <c r="CK98" s="418"/>
      <c r="CL98" s="418"/>
      <c r="CM98" s="418"/>
      <c r="CN98" s="418"/>
      <c r="CO98" s="418"/>
      <c r="CP98" s="418"/>
      <c r="CQ98" s="418"/>
      <c r="CR98" s="418"/>
      <c r="CS98" s="418"/>
      <c r="CT98" s="418"/>
      <c r="CU98" s="418"/>
      <c r="CV98" s="418"/>
      <c r="CW98" s="418"/>
      <c r="CX98" s="418"/>
      <c r="CY98" s="418"/>
      <c r="CZ98" s="418"/>
      <c r="DA98" s="418"/>
      <c r="DB98" s="418"/>
      <c r="DC98" s="418"/>
      <c r="DD98" s="418"/>
      <c r="DE98" s="418"/>
      <c r="DF98" s="418"/>
      <c r="DG98" s="418"/>
      <c r="DH98" s="418"/>
      <c r="DI98" s="418"/>
      <c r="DJ98" s="418"/>
      <c r="DK98" s="418"/>
      <c r="DL98" s="418"/>
      <c r="DM98" s="418"/>
      <c r="DN98" s="418"/>
      <c r="DO98" s="418"/>
      <c r="DP98" s="418"/>
      <c r="DQ98" s="418"/>
      <c r="DR98" s="418"/>
      <c r="DS98" s="418"/>
      <c r="DT98" s="418"/>
      <c r="DU98" s="418"/>
      <c r="DV98" s="418"/>
      <c r="DW98" s="418"/>
      <c r="DX98" s="418"/>
      <c r="DY98" s="418"/>
      <c r="DZ98" s="418"/>
      <c r="EA98" s="418"/>
      <c r="EB98" s="418"/>
      <c r="EC98" s="418"/>
      <c r="ED98" s="418"/>
      <c r="EE98" s="418"/>
      <c r="EF98" s="418"/>
      <c r="EG98" s="418"/>
      <c r="EH98" s="418"/>
      <c r="EI98" s="418"/>
      <c r="EJ98" s="418"/>
      <c r="EK98" s="418"/>
      <c r="EL98" s="418"/>
      <c r="EM98" s="418"/>
      <c r="EN98" s="418"/>
      <c r="EO98" s="418"/>
      <c r="EP98" s="418"/>
      <c r="EQ98" s="418"/>
      <c r="ER98" s="418"/>
      <c r="ES98" s="418"/>
      <c r="ET98" s="418"/>
      <c r="EU98" s="418"/>
      <c r="EV98" s="418"/>
      <c r="EW98" s="418"/>
      <c r="EX98" s="418"/>
      <c r="EY98" s="418"/>
      <c r="EZ98" s="418"/>
      <c r="FA98" s="418"/>
      <c r="FB98" s="418"/>
      <c r="FC98" s="418"/>
      <c r="FD98" s="418"/>
      <c r="FE98" s="418"/>
      <c r="FF98" s="418"/>
      <c r="FG98" s="418"/>
      <c r="FH98" s="418"/>
      <c r="FI98" s="418"/>
      <c r="FJ98" s="418"/>
      <c r="FK98" s="418"/>
      <c r="FL98" s="418"/>
      <c r="FM98" s="418"/>
      <c r="FN98" s="418"/>
      <c r="FO98" s="418"/>
      <c r="FP98" s="418"/>
      <c r="FQ98" s="418"/>
      <c r="FR98" s="418"/>
      <c r="FS98" s="418"/>
      <c r="FT98" s="418"/>
      <c r="FU98" s="418"/>
      <c r="FV98" s="418"/>
      <c r="FW98" s="418"/>
      <c r="FX98" s="418"/>
      <c r="FY98" s="418"/>
      <c r="FZ98" s="418"/>
      <c r="GA98" s="418"/>
      <c r="GB98" s="418"/>
      <c r="GC98" s="418"/>
      <c r="GD98" s="418"/>
      <c r="GE98" s="418"/>
      <c r="GF98" s="418"/>
      <c r="GG98" s="418"/>
      <c r="GH98" s="418"/>
      <c r="GI98" s="418"/>
      <c r="GJ98" s="418"/>
      <c r="GK98" s="418"/>
      <c r="GL98" s="418"/>
      <c r="GM98" s="418"/>
      <c r="GN98" s="418"/>
      <c r="GO98" s="418"/>
      <c r="GP98" s="418"/>
      <c r="GQ98" s="418"/>
      <c r="GR98" s="418"/>
      <c r="GS98" s="418"/>
      <c r="GT98" s="418"/>
      <c r="GU98" s="418"/>
      <c r="GV98" s="418"/>
      <c r="GW98" s="418"/>
      <c r="GX98" s="418"/>
      <c r="GY98" s="418"/>
      <c r="GZ98" s="418"/>
      <c r="HA98" s="418"/>
      <c r="HB98" s="418"/>
      <c r="HC98" s="418"/>
      <c r="HD98" s="418"/>
      <c r="HE98" s="418"/>
      <c r="HF98" s="418"/>
      <c r="HG98" s="418"/>
      <c r="HH98" s="418"/>
      <c r="HI98" s="418"/>
      <c r="HJ98" s="418"/>
      <c r="HK98" s="418"/>
      <c r="HL98" s="418"/>
      <c r="HM98" s="418"/>
      <c r="HN98" s="418"/>
      <c r="HO98" s="418"/>
      <c r="HP98" s="418"/>
      <c r="HQ98" s="418"/>
      <c r="HR98" s="418"/>
      <c r="HS98" s="418"/>
      <c r="HT98" s="418"/>
      <c r="HU98" s="418"/>
      <c r="HV98" s="418"/>
      <c r="HW98" s="418"/>
      <c r="HX98" s="418"/>
      <c r="HY98" s="418"/>
      <c r="HZ98" s="418"/>
      <c r="IA98" s="418"/>
      <c r="IB98" s="418"/>
      <c r="IC98" s="418"/>
      <c r="ID98" s="418"/>
      <c r="IE98" s="418"/>
      <c r="IF98" s="418"/>
      <c r="IG98" s="418"/>
      <c r="IH98" s="418"/>
      <c r="II98" s="418"/>
      <c r="IJ98" s="418"/>
      <c r="IK98" s="418"/>
      <c r="IL98" s="418"/>
      <c r="IM98" s="418"/>
      <c r="IN98" s="418"/>
      <c r="IO98" s="418"/>
      <c r="IP98" s="418"/>
      <c r="IQ98" s="418"/>
      <c r="IR98" s="418"/>
      <c r="IS98" s="418"/>
      <c r="IT98" s="418"/>
      <c r="IU98" s="418"/>
      <c r="IV98" s="418"/>
      <c r="IW98" s="418"/>
      <c r="IX98" s="418"/>
      <c r="IY98" s="418"/>
      <c r="IZ98" s="418"/>
      <c r="JA98" s="418"/>
    </row>
    <row r="99" spans="1:261" s="758" customFormat="1" ht="18" customHeight="1" x14ac:dyDescent="0.35">
      <c r="A99" s="773">
        <v>90</v>
      </c>
      <c r="B99" s="766"/>
      <c r="C99" s="420"/>
      <c r="D99" s="440" t="s">
        <v>947</v>
      </c>
      <c r="E99" s="430"/>
      <c r="F99" s="762"/>
      <c r="G99" s="431"/>
      <c r="H99" s="999"/>
      <c r="I99" s="759"/>
      <c r="J99" s="759"/>
      <c r="K99" s="759"/>
      <c r="L99" s="759"/>
      <c r="M99" s="1771">
        <v>117990</v>
      </c>
      <c r="N99" s="759"/>
      <c r="O99" s="1741">
        <f>SUM(I99:N99)</f>
        <v>117990</v>
      </c>
      <c r="P99" s="1499"/>
      <c r="Q99" s="418"/>
      <c r="R99" s="418"/>
      <c r="S99" s="418"/>
      <c r="T99" s="418"/>
      <c r="U99" s="418"/>
      <c r="V99" s="418"/>
      <c r="W99" s="418"/>
      <c r="X99" s="418"/>
      <c r="Y99" s="418"/>
      <c r="Z99" s="418"/>
      <c r="AA99" s="418"/>
      <c r="AB99" s="418"/>
      <c r="AC99" s="418"/>
      <c r="AD99" s="418"/>
      <c r="AE99" s="418"/>
      <c r="AF99" s="418"/>
      <c r="AG99" s="418"/>
      <c r="AH99" s="418"/>
      <c r="AI99" s="418"/>
      <c r="AJ99" s="418"/>
      <c r="AK99" s="418"/>
      <c r="AL99" s="418"/>
      <c r="AM99" s="418"/>
      <c r="AN99" s="418"/>
      <c r="AO99" s="418"/>
      <c r="AP99" s="418"/>
      <c r="AQ99" s="418"/>
      <c r="AR99" s="418"/>
      <c r="AS99" s="418"/>
      <c r="AT99" s="418"/>
      <c r="AU99" s="418"/>
      <c r="AV99" s="418"/>
      <c r="AW99" s="418"/>
      <c r="AX99" s="418"/>
      <c r="AY99" s="418"/>
      <c r="AZ99" s="418"/>
      <c r="BA99" s="418"/>
      <c r="BB99" s="418"/>
      <c r="BC99" s="418"/>
      <c r="BD99" s="418"/>
      <c r="BE99" s="418"/>
      <c r="BF99" s="418"/>
      <c r="BG99" s="418"/>
      <c r="BH99" s="418"/>
      <c r="BI99" s="418"/>
      <c r="BJ99" s="418"/>
      <c r="BK99" s="418"/>
      <c r="BL99" s="418"/>
      <c r="BM99" s="418"/>
      <c r="BN99" s="418"/>
      <c r="BO99" s="418"/>
      <c r="BP99" s="418"/>
      <c r="BQ99" s="418"/>
      <c r="BR99" s="418"/>
      <c r="BS99" s="418"/>
      <c r="BT99" s="418"/>
      <c r="BU99" s="418"/>
      <c r="BV99" s="418"/>
      <c r="BW99" s="418"/>
      <c r="BX99" s="418"/>
      <c r="BY99" s="418"/>
      <c r="BZ99" s="418"/>
      <c r="CA99" s="418"/>
      <c r="CB99" s="418"/>
      <c r="CC99" s="418"/>
      <c r="CD99" s="418"/>
      <c r="CE99" s="418"/>
      <c r="CF99" s="418"/>
      <c r="CG99" s="418"/>
      <c r="CH99" s="418"/>
      <c r="CI99" s="418"/>
      <c r="CJ99" s="418"/>
      <c r="CK99" s="418"/>
      <c r="CL99" s="418"/>
      <c r="CM99" s="418"/>
      <c r="CN99" s="418"/>
      <c r="CO99" s="418"/>
      <c r="CP99" s="418"/>
      <c r="CQ99" s="418"/>
      <c r="CR99" s="418"/>
      <c r="CS99" s="418"/>
      <c r="CT99" s="418"/>
      <c r="CU99" s="418"/>
      <c r="CV99" s="418"/>
      <c r="CW99" s="418"/>
      <c r="CX99" s="418"/>
      <c r="CY99" s="418"/>
      <c r="CZ99" s="418"/>
      <c r="DA99" s="418"/>
      <c r="DB99" s="418"/>
      <c r="DC99" s="418"/>
      <c r="DD99" s="418"/>
      <c r="DE99" s="418"/>
      <c r="DF99" s="418"/>
      <c r="DG99" s="418"/>
      <c r="DH99" s="418"/>
      <c r="DI99" s="418"/>
      <c r="DJ99" s="418"/>
      <c r="DK99" s="418"/>
      <c r="DL99" s="418"/>
      <c r="DM99" s="418"/>
      <c r="DN99" s="418"/>
      <c r="DO99" s="418"/>
      <c r="DP99" s="418"/>
      <c r="DQ99" s="418"/>
      <c r="DR99" s="418"/>
      <c r="DS99" s="418"/>
      <c r="DT99" s="418"/>
      <c r="DU99" s="418"/>
      <c r="DV99" s="418"/>
      <c r="DW99" s="418"/>
      <c r="DX99" s="418"/>
      <c r="DY99" s="418"/>
      <c r="DZ99" s="418"/>
      <c r="EA99" s="418"/>
      <c r="EB99" s="418"/>
      <c r="EC99" s="418"/>
      <c r="ED99" s="418"/>
      <c r="EE99" s="418"/>
      <c r="EF99" s="418"/>
      <c r="EG99" s="418"/>
      <c r="EH99" s="418"/>
      <c r="EI99" s="418"/>
      <c r="EJ99" s="418"/>
      <c r="EK99" s="418"/>
      <c r="EL99" s="418"/>
      <c r="EM99" s="418"/>
      <c r="EN99" s="418"/>
      <c r="EO99" s="418"/>
      <c r="EP99" s="418"/>
      <c r="EQ99" s="418"/>
      <c r="ER99" s="418"/>
      <c r="ES99" s="418"/>
      <c r="ET99" s="418"/>
      <c r="EU99" s="418"/>
      <c r="EV99" s="418"/>
      <c r="EW99" s="418"/>
      <c r="EX99" s="418"/>
      <c r="EY99" s="418"/>
      <c r="EZ99" s="418"/>
      <c r="FA99" s="418"/>
      <c r="FB99" s="418"/>
      <c r="FC99" s="418"/>
      <c r="FD99" s="418"/>
      <c r="FE99" s="418"/>
      <c r="FF99" s="418"/>
      <c r="FG99" s="418"/>
      <c r="FH99" s="418"/>
      <c r="FI99" s="418"/>
      <c r="FJ99" s="418"/>
      <c r="FK99" s="418"/>
      <c r="FL99" s="418"/>
      <c r="FM99" s="418"/>
      <c r="FN99" s="418"/>
      <c r="FO99" s="418"/>
      <c r="FP99" s="418"/>
      <c r="FQ99" s="418"/>
      <c r="FR99" s="418"/>
      <c r="FS99" s="418"/>
      <c r="FT99" s="418"/>
      <c r="FU99" s="418"/>
      <c r="FV99" s="418"/>
      <c r="FW99" s="418"/>
      <c r="FX99" s="418"/>
      <c r="FY99" s="418"/>
      <c r="FZ99" s="418"/>
      <c r="GA99" s="418"/>
      <c r="GB99" s="418"/>
      <c r="GC99" s="418"/>
      <c r="GD99" s="418"/>
      <c r="GE99" s="418"/>
      <c r="GF99" s="418"/>
      <c r="GG99" s="418"/>
      <c r="GH99" s="418"/>
      <c r="GI99" s="418"/>
      <c r="GJ99" s="418"/>
      <c r="GK99" s="418"/>
      <c r="GL99" s="418"/>
      <c r="GM99" s="418"/>
      <c r="GN99" s="418"/>
      <c r="GO99" s="418"/>
      <c r="GP99" s="418"/>
      <c r="GQ99" s="418"/>
      <c r="GR99" s="418"/>
      <c r="GS99" s="418"/>
      <c r="GT99" s="418"/>
      <c r="GU99" s="418"/>
      <c r="GV99" s="418"/>
      <c r="GW99" s="418"/>
      <c r="GX99" s="418"/>
      <c r="GY99" s="418"/>
      <c r="GZ99" s="418"/>
      <c r="HA99" s="418"/>
      <c r="HB99" s="418"/>
      <c r="HC99" s="418"/>
      <c r="HD99" s="418"/>
      <c r="HE99" s="418"/>
      <c r="HF99" s="418"/>
      <c r="HG99" s="418"/>
      <c r="HH99" s="418"/>
      <c r="HI99" s="418"/>
      <c r="HJ99" s="418"/>
      <c r="HK99" s="418"/>
      <c r="HL99" s="418"/>
      <c r="HM99" s="418"/>
      <c r="HN99" s="418"/>
      <c r="HO99" s="418"/>
      <c r="HP99" s="418"/>
      <c r="HQ99" s="418"/>
      <c r="HR99" s="418"/>
      <c r="HS99" s="418"/>
      <c r="HT99" s="418"/>
      <c r="HU99" s="418"/>
      <c r="HV99" s="418"/>
      <c r="HW99" s="418"/>
      <c r="HX99" s="418"/>
      <c r="HY99" s="418"/>
      <c r="HZ99" s="418"/>
      <c r="IA99" s="418"/>
      <c r="IB99" s="418"/>
      <c r="IC99" s="418"/>
      <c r="ID99" s="418"/>
      <c r="IE99" s="418"/>
      <c r="IF99" s="418"/>
      <c r="IG99" s="418"/>
      <c r="IH99" s="418"/>
      <c r="II99" s="418"/>
      <c r="IJ99" s="418"/>
      <c r="IK99" s="418"/>
      <c r="IL99" s="418"/>
      <c r="IM99" s="418"/>
      <c r="IN99" s="418"/>
      <c r="IO99" s="418"/>
      <c r="IP99" s="418"/>
      <c r="IQ99" s="418"/>
      <c r="IR99" s="418"/>
      <c r="IS99" s="418"/>
      <c r="IT99" s="418"/>
      <c r="IU99" s="418"/>
      <c r="IV99" s="418"/>
      <c r="IW99" s="418"/>
      <c r="IX99" s="418"/>
      <c r="IY99" s="418"/>
      <c r="IZ99" s="418"/>
      <c r="JA99" s="418"/>
    </row>
    <row r="100" spans="1:261" s="758" customFormat="1" ht="18" customHeight="1" x14ac:dyDescent="0.35">
      <c r="A100" s="773">
        <v>91</v>
      </c>
      <c r="B100" s="766"/>
      <c r="C100" s="420"/>
      <c r="D100" s="577" t="s">
        <v>1250</v>
      </c>
      <c r="E100" s="430"/>
      <c r="F100" s="762"/>
      <c r="G100" s="431"/>
      <c r="H100" s="999"/>
      <c r="I100" s="759"/>
      <c r="J100" s="759"/>
      <c r="K100" s="759"/>
      <c r="L100" s="759"/>
      <c r="M100" s="1524">
        <f>SUM(M99)</f>
        <v>117990</v>
      </c>
      <c r="N100" s="759"/>
      <c r="O100" s="767">
        <f>SUM(I100:N100)</f>
        <v>117990</v>
      </c>
      <c r="P100" s="1499"/>
      <c r="Q100" s="418"/>
      <c r="R100" s="418"/>
      <c r="S100" s="418"/>
      <c r="T100" s="418"/>
      <c r="U100" s="418"/>
      <c r="V100" s="418"/>
      <c r="W100" s="418"/>
      <c r="X100" s="418"/>
      <c r="Y100" s="418"/>
      <c r="Z100" s="418"/>
      <c r="AA100" s="418"/>
      <c r="AB100" s="418"/>
      <c r="AC100" s="418"/>
      <c r="AD100" s="418"/>
      <c r="AE100" s="418"/>
      <c r="AF100" s="418"/>
      <c r="AG100" s="418"/>
      <c r="AH100" s="418"/>
      <c r="AI100" s="418"/>
      <c r="AJ100" s="418"/>
      <c r="AK100" s="418"/>
      <c r="AL100" s="418"/>
      <c r="AM100" s="418"/>
      <c r="AN100" s="418"/>
      <c r="AO100" s="418"/>
      <c r="AP100" s="418"/>
      <c r="AQ100" s="418"/>
      <c r="AR100" s="418"/>
      <c r="AS100" s="418"/>
      <c r="AT100" s="418"/>
      <c r="AU100" s="418"/>
      <c r="AV100" s="418"/>
      <c r="AW100" s="418"/>
      <c r="AX100" s="418"/>
      <c r="AY100" s="418"/>
      <c r="AZ100" s="418"/>
      <c r="BA100" s="418"/>
      <c r="BB100" s="418"/>
      <c r="BC100" s="418"/>
      <c r="BD100" s="418"/>
      <c r="BE100" s="418"/>
      <c r="BF100" s="418"/>
      <c r="BG100" s="418"/>
      <c r="BH100" s="418"/>
      <c r="BI100" s="418"/>
      <c r="BJ100" s="418"/>
      <c r="BK100" s="418"/>
      <c r="BL100" s="418"/>
      <c r="BM100" s="418"/>
      <c r="BN100" s="418"/>
      <c r="BO100" s="418"/>
      <c r="BP100" s="418"/>
      <c r="BQ100" s="418"/>
      <c r="BR100" s="418"/>
      <c r="BS100" s="418"/>
      <c r="BT100" s="418"/>
      <c r="BU100" s="418"/>
      <c r="BV100" s="418"/>
      <c r="BW100" s="418"/>
      <c r="BX100" s="418"/>
      <c r="BY100" s="418"/>
      <c r="BZ100" s="418"/>
      <c r="CA100" s="418"/>
      <c r="CB100" s="418"/>
      <c r="CC100" s="418"/>
      <c r="CD100" s="418"/>
      <c r="CE100" s="418"/>
      <c r="CF100" s="418"/>
      <c r="CG100" s="418"/>
      <c r="CH100" s="418"/>
      <c r="CI100" s="418"/>
      <c r="CJ100" s="418"/>
      <c r="CK100" s="418"/>
      <c r="CL100" s="418"/>
      <c r="CM100" s="418"/>
      <c r="CN100" s="418"/>
      <c r="CO100" s="418"/>
      <c r="CP100" s="418"/>
      <c r="CQ100" s="418"/>
      <c r="CR100" s="418"/>
      <c r="CS100" s="418"/>
      <c r="CT100" s="418"/>
      <c r="CU100" s="418"/>
      <c r="CV100" s="418"/>
      <c r="CW100" s="418"/>
      <c r="CX100" s="418"/>
      <c r="CY100" s="418"/>
      <c r="CZ100" s="418"/>
      <c r="DA100" s="418"/>
      <c r="DB100" s="418"/>
      <c r="DC100" s="418"/>
      <c r="DD100" s="418"/>
      <c r="DE100" s="418"/>
      <c r="DF100" s="418"/>
      <c r="DG100" s="418"/>
      <c r="DH100" s="418"/>
      <c r="DI100" s="418"/>
      <c r="DJ100" s="418"/>
      <c r="DK100" s="418"/>
      <c r="DL100" s="418"/>
      <c r="DM100" s="418"/>
      <c r="DN100" s="418"/>
      <c r="DO100" s="418"/>
      <c r="DP100" s="418"/>
      <c r="DQ100" s="418"/>
      <c r="DR100" s="418"/>
      <c r="DS100" s="418"/>
      <c r="DT100" s="418"/>
      <c r="DU100" s="418"/>
      <c r="DV100" s="418"/>
      <c r="DW100" s="418"/>
      <c r="DX100" s="418"/>
      <c r="DY100" s="418"/>
      <c r="DZ100" s="418"/>
      <c r="EA100" s="418"/>
      <c r="EB100" s="418"/>
      <c r="EC100" s="418"/>
      <c r="ED100" s="418"/>
      <c r="EE100" s="418"/>
      <c r="EF100" s="418"/>
      <c r="EG100" s="418"/>
      <c r="EH100" s="418"/>
      <c r="EI100" s="418"/>
      <c r="EJ100" s="418"/>
      <c r="EK100" s="418"/>
      <c r="EL100" s="418"/>
      <c r="EM100" s="418"/>
      <c r="EN100" s="418"/>
      <c r="EO100" s="418"/>
      <c r="EP100" s="418"/>
      <c r="EQ100" s="418"/>
      <c r="ER100" s="418"/>
      <c r="ES100" s="418"/>
      <c r="ET100" s="418"/>
      <c r="EU100" s="418"/>
      <c r="EV100" s="418"/>
      <c r="EW100" s="418"/>
      <c r="EX100" s="418"/>
      <c r="EY100" s="418"/>
      <c r="EZ100" s="418"/>
      <c r="FA100" s="418"/>
      <c r="FB100" s="418"/>
      <c r="FC100" s="418"/>
      <c r="FD100" s="418"/>
      <c r="FE100" s="418"/>
      <c r="FF100" s="418"/>
      <c r="FG100" s="418"/>
      <c r="FH100" s="418"/>
      <c r="FI100" s="418"/>
      <c r="FJ100" s="418"/>
      <c r="FK100" s="418"/>
      <c r="FL100" s="418"/>
      <c r="FM100" s="418"/>
      <c r="FN100" s="418"/>
      <c r="FO100" s="418"/>
      <c r="FP100" s="418"/>
      <c r="FQ100" s="418"/>
      <c r="FR100" s="418"/>
      <c r="FS100" s="418"/>
      <c r="FT100" s="418"/>
      <c r="FU100" s="418"/>
      <c r="FV100" s="418"/>
      <c r="FW100" s="418"/>
      <c r="FX100" s="418"/>
      <c r="FY100" s="418"/>
      <c r="FZ100" s="418"/>
      <c r="GA100" s="418"/>
      <c r="GB100" s="418"/>
      <c r="GC100" s="418"/>
      <c r="GD100" s="418"/>
      <c r="GE100" s="418"/>
      <c r="GF100" s="418"/>
      <c r="GG100" s="418"/>
      <c r="GH100" s="418"/>
      <c r="GI100" s="418"/>
      <c r="GJ100" s="418"/>
      <c r="GK100" s="418"/>
      <c r="GL100" s="418"/>
      <c r="GM100" s="418"/>
      <c r="GN100" s="418"/>
      <c r="GO100" s="418"/>
      <c r="GP100" s="418"/>
      <c r="GQ100" s="418"/>
      <c r="GR100" s="418"/>
      <c r="GS100" s="418"/>
      <c r="GT100" s="418"/>
      <c r="GU100" s="418"/>
      <c r="GV100" s="418"/>
      <c r="GW100" s="418"/>
      <c r="GX100" s="418"/>
      <c r="GY100" s="418"/>
      <c r="GZ100" s="418"/>
      <c r="HA100" s="418"/>
      <c r="HB100" s="418"/>
      <c r="HC100" s="418"/>
      <c r="HD100" s="418"/>
      <c r="HE100" s="418"/>
      <c r="HF100" s="418"/>
      <c r="HG100" s="418"/>
      <c r="HH100" s="418"/>
      <c r="HI100" s="418"/>
      <c r="HJ100" s="418"/>
      <c r="HK100" s="418"/>
      <c r="HL100" s="418"/>
      <c r="HM100" s="418"/>
      <c r="HN100" s="418"/>
      <c r="HO100" s="418"/>
      <c r="HP100" s="418"/>
      <c r="HQ100" s="418"/>
      <c r="HR100" s="418"/>
      <c r="HS100" s="418"/>
      <c r="HT100" s="418"/>
      <c r="HU100" s="418"/>
      <c r="HV100" s="418"/>
      <c r="HW100" s="418"/>
      <c r="HX100" s="418"/>
      <c r="HY100" s="418"/>
      <c r="HZ100" s="418"/>
      <c r="IA100" s="418"/>
      <c r="IB100" s="418"/>
      <c r="IC100" s="418"/>
      <c r="ID100" s="418"/>
      <c r="IE100" s="418"/>
      <c r="IF100" s="418"/>
      <c r="IG100" s="418"/>
      <c r="IH100" s="418"/>
      <c r="II100" s="418"/>
      <c r="IJ100" s="418"/>
      <c r="IK100" s="418"/>
      <c r="IL100" s="418"/>
      <c r="IM100" s="418"/>
      <c r="IN100" s="418"/>
      <c r="IO100" s="418"/>
      <c r="IP100" s="418"/>
      <c r="IQ100" s="418"/>
      <c r="IR100" s="418"/>
      <c r="IS100" s="418"/>
      <c r="IT100" s="418"/>
      <c r="IU100" s="418"/>
      <c r="IV100" s="418"/>
      <c r="IW100" s="418"/>
      <c r="IX100" s="418"/>
      <c r="IY100" s="418"/>
      <c r="IZ100" s="418"/>
      <c r="JA100" s="418"/>
    </row>
    <row r="101" spans="1:261" s="758" customFormat="1" ht="24" customHeight="1" x14ac:dyDescent="0.35">
      <c r="A101" s="773">
        <v>92</v>
      </c>
      <c r="B101" s="766"/>
      <c r="C101" s="420"/>
      <c r="D101" s="2415" t="s">
        <v>1282</v>
      </c>
      <c r="E101" s="2416"/>
      <c r="F101" s="2417"/>
      <c r="G101" s="431"/>
      <c r="H101" s="999"/>
      <c r="I101" s="759"/>
      <c r="J101" s="759"/>
      <c r="K101" s="759"/>
      <c r="L101" s="759"/>
      <c r="M101" s="1771"/>
      <c r="N101" s="759"/>
      <c r="O101" s="767"/>
      <c r="P101" s="1499"/>
      <c r="Q101" s="418"/>
      <c r="R101" s="418"/>
      <c r="S101" s="418"/>
      <c r="T101" s="418"/>
      <c r="U101" s="418"/>
      <c r="V101" s="418"/>
      <c r="W101" s="418"/>
      <c r="X101" s="418"/>
      <c r="Y101" s="418"/>
      <c r="Z101" s="418"/>
      <c r="AA101" s="418"/>
      <c r="AB101" s="418"/>
      <c r="AC101" s="418"/>
      <c r="AD101" s="418"/>
      <c r="AE101" s="418"/>
      <c r="AF101" s="418"/>
      <c r="AG101" s="418"/>
      <c r="AH101" s="418"/>
      <c r="AI101" s="418"/>
      <c r="AJ101" s="418"/>
      <c r="AK101" s="418"/>
      <c r="AL101" s="418"/>
      <c r="AM101" s="418"/>
      <c r="AN101" s="418"/>
      <c r="AO101" s="418"/>
      <c r="AP101" s="418"/>
      <c r="AQ101" s="418"/>
      <c r="AR101" s="418"/>
      <c r="AS101" s="418"/>
      <c r="AT101" s="418"/>
      <c r="AU101" s="418"/>
      <c r="AV101" s="418"/>
      <c r="AW101" s="418"/>
      <c r="AX101" s="418"/>
      <c r="AY101" s="418"/>
      <c r="AZ101" s="418"/>
      <c r="BA101" s="418"/>
      <c r="BB101" s="418"/>
      <c r="BC101" s="418"/>
      <c r="BD101" s="418"/>
      <c r="BE101" s="418"/>
      <c r="BF101" s="418"/>
      <c r="BG101" s="418"/>
      <c r="BH101" s="418"/>
      <c r="BI101" s="418"/>
      <c r="BJ101" s="418"/>
      <c r="BK101" s="418"/>
      <c r="BL101" s="418"/>
      <c r="BM101" s="418"/>
      <c r="BN101" s="418"/>
      <c r="BO101" s="418"/>
      <c r="BP101" s="418"/>
      <c r="BQ101" s="418"/>
      <c r="BR101" s="418"/>
      <c r="BS101" s="418"/>
      <c r="BT101" s="418"/>
      <c r="BU101" s="418"/>
      <c r="BV101" s="418"/>
      <c r="BW101" s="418"/>
      <c r="BX101" s="418"/>
      <c r="BY101" s="418"/>
      <c r="BZ101" s="418"/>
      <c r="CA101" s="418"/>
      <c r="CB101" s="418"/>
      <c r="CC101" s="418"/>
      <c r="CD101" s="418"/>
      <c r="CE101" s="418"/>
      <c r="CF101" s="418"/>
      <c r="CG101" s="418"/>
      <c r="CH101" s="418"/>
      <c r="CI101" s="418"/>
      <c r="CJ101" s="418"/>
      <c r="CK101" s="418"/>
      <c r="CL101" s="418"/>
      <c r="CM101" s="418"/>
      <c r="CN101" s="418"/>
      <c r="CO101" s="418"/>
      <c r="CP101" s="418"/>
      <c r="CQ101" s="418"/>
      <c r="CR101" s="418"/>
      <c r="CS101" s="418"/>
      <c r="CT101" s="418"/>
      <c r="CU101" s="418"/>
      <c r="CV101" s="418"/>
      <c r="CW101" s="418"/>
      <c r="CX101" s="418"/>
      <c r="CY101" s="418"/>
      <c r="CZ101" s="418"/>
      <c r="DA101" s="418"/>
      <c r="DB101" s="418"/>
      <c r="DC101" s="418"/>
      <c r="DD101" s="418"/>
      <c r="DE101" s="418"/>
      <c r="DF101" s="418"/>
      <c r="DG101" s="418"/>
      <c r="DH101" s="418"/>
      <c r="DI101" s="418"/>
      <c r="DJ101" s="418"/>
      <c r="DK101" s="418"/>
      <c r="DL101" s="418"/>
      <c r="DM101" s="418"/>
      <c r="DN101" s="418"/>
      <c r="DO101" s="418"/>
      <c r="DP101" s="418"/>
      <c r="DQ101" s="418"/>
      <c r="DR101" s="418"/>
      <c r="DS101" s="418"/>
      <c r="DT101" s="418"/>
      <c r="DU101" s="418"/>
      <c r="DV101" s="418"/>
      <c r="DW101" s="418"/>
      <c r="DX101" s="418"/>
      <c r="DY101" s="418"/>
      <c r="DZ101" s="418"/>
      <c r="EA101" s="418"/>
      <c r="EB101" s="418"/>
      <c r="EC101" s="418"/>
      <c r="ED101" s="418"/>
      <c r="EE101" s="418"/>
      <c r="EF101" s="418"/>
      <c r="EG101" s="418"/>
      <c r="EH101" s="418"/>
      <c r="EI101" s="418"/>
      <c r="EJ101" s="418"/>
      <c r="EK101" s="418"/>
      <c r="EL101" s="418"/>
      <c r="EM101" s="418"/>
      <c r="EN101" s="418"/>
      <c r="EO101" s="418"/>
      <c r="EP101" s="418"/>
      <c r="EQ101" s="418"/>
      <c r="ER101" s="418"/>
      <c r="ES101" s="418"/>
      <c r="ET101" s="418"/>
      <c r="EU101" s="418"/>
      <c r="EV101" s="418"/>
      <c r="EW101" s="418"/>
      <c r="EX101" s="418"/>
      <c r="EY101" s="418"/>
      <c r="EZ101" s="418"/>
      <c r="FA101" s="418"/>
      <c r="FB101" s="418"/>
      <c r="FC101" s="418"/>
      <c r="FD101" s="418"/>
      <c r="FE101" s="418"/>
      <c r="FF101" s="418"/>
      <c r="FG101" s="418"/>
      <c r="FH101" s="418"/>
      <c r="FI101" s="418"/>
      <c r="FJ101" s="418"/>
      <c r="FK101" s="418"/>
      <c r="FL101" s="418"/>
      <c r="FM101" s="418"/>
      <c r="FN101" s="418"/>
      <c r="FO101" s="418"/>
      <c r="FP101" s="418"/>
      <c r="FQ101" s="418"/>
      <c r="FR101" s="418"/>
      <c r="FS101" s="418"/>
      <c r="FT101" s="418"/>
      <c r="FU101" s="418"/>
      <c r="FV101" s="418"/>
      <c r="FW101" s="418"/>
      <c r="FX101" s="418"/>
      <c r="FY101" s="418"/>
      <c r="FZ101" s="418"/>
      <c r="GA101" s="418"/>
      <c r="GB101" s="418"/>
      <c r="GC101" s="418"/>
      <c r="GD101" s="418"/>
      <c r="GE101" s="418"/>
      <c r="GF101" s="418"/>
      <c r="GG101" s="418"/>
      <c r="GH101" s="418"/>
      <c r="GI101" s="418"/>
      <c r="GJ101" s="418"/>
      <c r="GK101" s="418"/>
      <c r="GL101" s="418"/>
      <c r="GM101" s="418"/>
      <c r="GN101" s="418"/>
      <c r="GO101" s="418"/>
      <c r="GP101" s="418"/>
      <c r="GQ101" s="418"/>
      <c r="GR101" s="418"/>
      <c r="GS101" s="418"/>
      <c r="GT101" s="418"/>
      <c r="GU101" s="418"/>
      <c r="GV101" s="418"/>
      <c r="GW101" s="418"/>
      <c r="GX101" s="418"/>
      <c r="GY101" s="418"/>
      <c r="GZ101" s="418"/>
      <c r="HA101" s="418"/>
      <c r="HB101" s="418"/>
      <c r="HC101" s="418"/>
      <c r="HD101" s="418"/>
      <c r="HE101" s="418"/>
      <c r="HF101" s="418"/>
      <c r="HG101" s="418"/>
      <c r="HH101" s="418"/>
      <c r="HI101" s="418"/>
      <c r="HJ101" s="418"/>
      <c r="HK101" s="418"/>
      <c r="HL101" s="418"/>
      <c r="HM101" s="418"/>
      <c r="HN101" s="418"/>
      <c r="HO101" s="418"/>
      <c r="HP101" s="418"/>
      <c r="HQ101" s="418"/>
      <c r="HR101" s="418"/>
      <c r="HS101" s="418"/>
      <c r="HT101" s="418"/>
      <c r="HU101" s="418"/>
      <c r="HV101" s="418"/>
      <c r="HW101" s="418"/>
      <c r="HX101" s="418"/>
      <c r="HY101" s="418"/>
      <c r="HZ101" s="418"/>
      <c r="IA101" s="418"/>
      <c r="IB101" s="418"/>
      <c r="IC101" s="418"/>
      <c r="ID101" s="418"/>
      <c r="IE101" s="418"/>
      <c r="IF101" s="418"/>
      <c r="IG101" s="418"/>
      <c r="IH101" s="418"/>
      <c r="II101" s="418"/>
      <c r="IJ101" s="418"/>
      <c r="IK101" s="418"/>
      <c r="IL101" s="418"/>
      <c r="IM101" s="418"/>
      <c r="IN101" s="418"/>
      <c r="IO101" s="418"/>
      <c r="IP101" s="418"/>
      <c r="IQ101" s="418"/>
      <c r="IR101" s="418"/>
      <c r="IS101" s="418"/>
      <c r="IT101" s="418"/>
      <c r="IU101" s="418"/>
      <c r="IV101" s="418"/>
      <c r="IW101" s="418"/>
      <c r="IX101" s="418"/>
      <c r="IY101" s="418"/>
      <c r="IZ101" s="418"/>
      <c r="JA101" s="418"/>
    </row>
    <row r="102" spans="1:261" s="758" customFormat="1" ht="18" customHeight="1" x14ac:dyDescent="0.35">
      <c r="A102" s="773">
        <v>93</v>
      </c>
      <c r="B102" s="766"/>
      <c r="C102" s="420">
        <v>21</v>
      </c>
      <c r="D102" s="2079" t="s">
        <v>1283</v>
      </c>
      <c r="E102" s="427"/>
      <c r="F102" s="425"/>
      <c r="G102" s="431"/>
      <c r="H102" s="999"/>
      <c r="I102" s="759"/>
      <c r="J102" s="759"/>
      <c r="K102" s="759"/>
      <c r="L102" s="759"/>
      <c r="M102" s="1771"/>
      <c r="N102" s="759"/>
      <c r="O102" s="1741"/>
      <c r="P102" s="1499"/>
      <c r="Q102" s="418"/>
      <c r="R102" s="418"/>
      <c r="S102" s="418"/>
      <c r="T102" s="418"/>
      <c r="U102" s="418"/>
      <c r="V102" s="418"/>
      <c r="W102" s="418"/>
      <c r="X102" s="418"/>
      <c r="Y102" s="418"/>
      <c r="Z102" s="418"/>
      <c r="AA102" s="418"/>
      <c r="AB102" s="418"/>
      <c r="AC102" s="418"/>
      <c r="AD102" s="418"/>
      <c r="AE102" s="418"/>
      <c r="AF102" s="418"/>
      <c r="AG102" s="418"/>
      <c r="AH102" s="418"/>
      <c r="AI102" s="418"/>
      <c r="AJ102" s="418"/>
      <c r="AK102" s="418"/>
      <c r="AL102" s="418"/>
      <c r="AM102" s="418"/>
      <c r="AN102" s="418"/>
      <c r="AO102" s="418"/>
      <c r="AP102" s="418"/>
      <c r="AQ102" s="418"/>
      <c r="AR102" s="418"/>
      <c r="AS102" s="418"/>
      <c r="AT102" s="418"/>
      <c r="AU102" s="418"/>
      <c r="AV102" s="418"/>
      <c r="AW102" s="418"/>
      <c r="AX102" s="418"/>
      <c r="AY102" s="418"/>
      <c r="AZ102" s="418"/>
      <c r="BA102" s="418"/>
      <c r="BB102" s="418"/>
      <c r="BC102" s="418"/>
      <c r="BD102" s="418"/>
      <c r="BE102" s="418"/>
      <c r="BF102" s="418"/>
      <c r="BG102" s="418"/>
      <c r="BH102" s="418"/>
      <c r="BI102" s="418"/>
      <c r="BJ102" s="418"/>
      <c r="BK102" s="418"/>
      <c r="BL102" s="418"/>
      <c r="BM102" s="418"/>
      <c r="BN102" s="418"/>
      <c r="BO102" s="418"/>
      <c r="BP102" s="418"/>
      <c r="BQ102" s="418"/>
      <c r="BR102" s="418"/>
      <c r="BS102" s="418"/>
      <c r="BT102" s="418"/>
      <c r="BU102" s="418"/>
      <c r="BV102" s="418"/>
      <c r="BW102" s="418"/>
      <c r="BX102" s="418"/>
      <c r="BY102" s="418"/>
      <c r="BZ102" s="418"/>
      <c r="CA102" s="418"/>
      <c r="CB102" s="418"/>
      <c r="CC102" s="418"/>
      <c r="CD102" s="418"/>
      <c r="CE102" s="418"/>
      <c r="CF102" s="418"/>
      <c r="CG102" s="418"/>
      <c r="CH102" s="418"/>
      <c r="CI102" s="418"/>
      <c r="CJ102" s="418"/>
      <c r="CK102" s="418"/>
      <c r="CL102" s="418"/>
      <c r="CM102" s="418"/>
      <c r="CN102" s="418"/>
      <c r="CO102" s="418"/>
      <c r="CP102" s="418"/>
      <c r="CQ102" s="418"/>
      <c r="CR102" s="418"/>
      <c r="CS102" s="418"/>
      <c r="CT102" s="418"/>
      <c r="CU102" s="418"/>
      <c r="CV102" s="418"/>
      <c r="CW102" s="418"/>
      <c r="CX102" s="418"/>
      <c r="CY102" s="418"/>
      <c r="CZ102" s="418"/>
      <c r="DA102" s="418"/>
      <c r="DB102" s="418"/>
      <c r="DC102" s="418"/>
      <c r="DD102" s="418"/>
      <c r="DE102" s="418"/>
      <c r="DF102" s="418"/>
      <c r="DG102" s="418"/>
      <c r="DH102" s="418"/>
      <c r="DI102" s="418"/>
      <c r="DJ102" s="418"/>
      <c r="DK102" s="418"/>
      <c r="DL102" s="418"/>
      <c r="DM102" s="418"/>
      <c r="DN102" s="418"/>
      <c r="DO102" s="418"/>
      <c r="DP102" s="418"/>
      <c r="DQ102" s="418"/>
      <c r="DR102" s="418"/>
      <c r="DS102" s="418"/>
      <c r="DT102" s="418"/>
      <c r="DU102" s="418"/>
      <c r="DV102" s="418"/>
      <c r="DW102" s="418"/>
      <c r="DX102" s="418"/>
      <c r="DY102" s="418"/>
      <c r="DZ102" s="418"/>
      <c r="EA102" s="418"/>
      <c r="EB102" s="418"/>
      <c r="EC102" s="418"/>
      <c r="ED102" s="418"/>
      <c r="EE102" s="418"/>
      <c r="EF102" s="418"/>
      <c r="EG102" s="418"/>
      <c r="EH102" s="418"/>
      <c r="EI102" s="418"/>
      <c r="EJ102" s="418"/>
      <c r="EK102" s="418"/>
      <c r="EL102" s="418"/>
      <c r="EM102" s="418"/>
      <c r="EN102" s="418"/>
      <c r="EO102" s="418"/>
      <c r="EP102" s="418"/>
      <c r="EQ102" s="418"/>
      <c r="ER102" s="418"/>
      <c r="ES102" s="418"/>
      <c r="ET102" s="418"/>
      <c r="EU102" s="418"/>
      <c r="EV102" s="418"/>
      <c r="EW102" s="418"/>
      <c r="EX102" s="418"/>
      <c r="EY102" s="418"/>
      <c r="EZ102" s="418"/>
      <c r="FA102" s="418"/>
      <c r="FB102" s="418"/>
      <c r="FC102" s="418"/>
      <c r="FD102" s="418"/>
      <c r="FE102" s="418"/>
      <c r="FF102" s="418"/>
      <c r="FG102" s="418"/>
      <c r="FH102" s="418"/>
      <c r="FI102" s="418"/>
      <c r="FJ102" s="418"/>
      <c r="FK102" s="418"/>
      <c r="FL102" s="418"/>
      <c r="FM102" s="418"/>
      <c r="FN102" s="418"/>
      <c r="FO102" s="418"/>
      <c r="FP102" s="418"/>
      <c r="FQ102" s="418"/>
      <c r="FR102" s="418"/>
      <c r="FS102" s="418"/>
      <c r="FT102" s="418"/>
      <c r="FU102" s="418"/>
      <c r="FV102" s="418"/>
      <c r="FW102" s="418"/>
      <c r="FX102" s="418"/>
      <c r="FY102" s="418"/>
      <c r="FZ102" s="418"/>
      <c r="GA102" s="418"/>
      <c r="GB102" s="418"/>
      <c r="GC102" s="418"/>
      <c r="GD102" s="418"/>
      <c r="GE102" s="418"/>
      <c r="GF102" s="418"/>
      <c r="GG102" s="418"/>
      <c r="GH102" s="418"/>
      <c r="GI102" s="418"/>
      <c r="GJ102" s="418"/>
      <c r="GK102" s="418"/>
      <c r="GL102" s="418"/>
      <c r="GM102" s="418"/>
      <c r="GN102" s="418"/>
      <c r="GO102" s="418"/>
      <c r="GP102" s="418"/>
      <c r="GQ102" s="418"/>
      <c r="GR102" s="418"/>
      <c r="GS102" s="418"/>
      <c r="GT102" s="418"/>
      <c r="GU102" s="418"/>
      <c r="GV102" s="418"/>
      <c r="GW102" s="418"/>
      <c r="GX102" s="418"/>
      <c r="GY102" s="418"/>
      <c r="GZ102" s="418"/>
      <c r="HA102" s="418"/>
      <c r="HB102" s="418"/>
      <c r="HC102" s="418"/>
      <c r="HD102" s="418"/>
      <c r="HE102" s="418"/>
      <c r="HF102" s="418"/>
      <c r="HG102" s="418"/>
      <c r="HH102" s="418"/>
      <c r="HI102" s="418"/>
      <c r="HJ102" s="418"/>
      <c r="HK102" s="418"/>
      <c r="HL102" s="418"/>
      <c r="HM102" s="418"/>
      <c r="HN102" s="418"/>
      <c r="HO102" s="418"/>
      <c r="HP102" s="418"/>
      <c r="HQ102" s="418"/>
      <c r="HR102" s="418"/>
      <c r="HS102" s="418"/>
      <c r="HT102" s="418"/>
      <c r="HU102" s="418"/>
      <c r="HV102" s="418"/>
      <c r="HW102" s="418"/>
      <c r="HX102" s="418"/>
      <c r="HY102" s="418"/>
      <c r="HZ102" s="418"/>
      <c r="IA102" s="418"/>
      <c r="IB102" s="418"/>
      <c r="IC102" s="418"/>
      <c r="ID102" s="418"/>
      <c r="IE102" s="418"/>
      <c r="IF102" s="418"/>
      <c r="IG102" s="418"/>
      <c r="IH102" s="418"/>
      <c r="II102" s="418"/>
      <c r="IJ102" s="418"/>
      <c r="IK102" s="418"/>
      <c r="IL102" s="418"/>
      <c r="IM102" s="418"/>
      <c r="IN102" s="418"/>
      <c r="IO102" s="418"/>
      <c r="IP102" s="418"/>
      <c r="IQ102" s="418"/>
      <c r="IR102" s="418"/>
      <c r="IS102" s="418"/>
      <c r="IT102" s="418"/>
      <c r="IU102" s="418"/>
      <c r="IV102" s="418"/>
      <c r="IW102" s="418"/>
      <c r="IX102" s="418"/>
      <c r="IY102" s="418"/>
      <c r="IZ102" s="418"/>
      <c r="JA102" s="418"/>
    </row>
    <row r="103" spans="1:261" s="758" customFormat="1" ht="18" customHeight="1" x14ac:dyDescent="0.35">
      <c r="A103" s="773">
        <v>94</v>
      </c>
      <c r="B103" s="766"/>
      <c r="C103" s="420"/>
      <c r="D103" s="440" t="s">
        <v>947</v>
      </c>
      <c r="E103" s="430"/>
      <c r="F103" s="762"/>
      <c r="G103" s="431"/>
      <c r="H103" s="999"/>
      <c r="I103" s="759"/>
      <c r="J103" s="759"/>
      <c r="K103" s="759"/>
      <c r="L103" s="759"/>
      <c r="M103" s="1771">
        <v>100</v>
      </c>
      <c r="N103" s="759"/>
      <c r="O103" s="1741">
        <f>SUM(I103:N103)</f>
        <v>100</v>
      </c>
      <c r="P103" s="1499"/>
      <c r="Q103" s="418"/>
      <c r="R103" s="418"/>
      <c r="S103" s="418"/>
      <c r="T103" s="418"/>
      <c r="U103" s="418"/>
      <c r="V103" s="418"/>
      <c r="W103" s="418"/>
      <c r="X103" s="418"/>
      <c r="Y103" s="418"/>
      <c r="Z103" s="418"/>
      <c r="AA103" s="418"/>
      <c r="AB103" s="418"/>
      <c r="AC103" s="418"/>
      <c r="AD103" s="418"/>
      <c r="AE103" s="418"/>
      <c r="AF103" s="418"/>
      <c r="AG103" s="418"/>
      <c r="AH103" s="418"/>
      <c r="AI103" s="418"/>
      <c r="AJ103" s="418"/>
      <c r="AK103" s="418"/>
      <c r="AL103" s="418"/>
      <c r="AM103" s="418"/>
      <c r="AN103" s="418"/>
      <c r="AO103" s="418"/>
      <c r="AP103" s="418"/>
      <c r="AQ103" s="418"/>
      <c r="AR103" s="418"/>
      <c r="AS103" s="418"/>
      <c r="AT103" s="418"/>
      <c r="AU103" s="418"/>
      <c r="AV103" s="418"/>
      <c r="AW103" s="418"/>
      <c r="AX103" s="418"/>
      <c r="AY103" s="418"/>
      <c r="AZ103" s="418"/>
      <c r="BA103" s="418"/>
      <c r="BB103" s="418"/>
      <c r="BC103" s="418"/>
      <c r="BD103" s="418"/>
      <c r="BE103" s="418"/>
      <c r="BF103" s="418"/>
      <c r="BG103" s="418"/>
      <c r="BH103" s="418"/>
      <c r="BI103" s="418"/>
      <c r="BJ103" s="418"/>
      <c r="BK103" s="418"/>
      <c r="BL103" s="418"/>
      <c r="BM103" s="418"/>
      <c r="BN103" s="418"/>
      <c r="BO103" s="418"/>
      <c r="BP103" s="418"/>
      <c r="BQ103" s="418"/>
      <c r="BR103" s="418"/>
      <c r="BS103" s="418"/>
      <c r="BT103" s="418"/>
      <c r="BU103" s="418"/>
      <c r="BV103" s="418"/>
      <c r="BW103" s="418"/>
      <c r="BX103" s="418"/>
      <c r="BY103" s="418"/>
      <c r="BZ103" s="418"/>
      <c r="CA103" s="418"/>
      <c r="CB103" s="418"/>
      <c r="CC103" s="418"/>
      <c r="CD103" s="418"/>
      <c r="CE103" s="418"/>
      <c r="CF103" s="418"/>
      <c r="CG103" s="418"/>
      <c r="CH103" s="418"/>
      <c r="CI103" s="418"/>
      <c r="CJ103" s="418"/>
      <c r="CK103" s="418"/>
      <c r="CL103" s="418"/>
      <c r="CM103" s="418"/>
      <c r="CN103" s="418"/>
      <c r="CO103" s="418"/>
      <c r="CP103" s="418"/>
      <c r="CQ103" s="418"/>
      <c r="CR103" s="418"/>
      <c r="CS103" s="418"/>
      <c r="CT103" s="418"/>
      <c r="CU103" s="418"/>
      <c r="CV103" s="418"/>
      <c r="CW103" s="418"/>
      <c r="CX103" s="418"/>
      <c r="CY103" s="418"/>
      <c r="CZ103" s="418"/>
      <c r="DA103" s="418"/>
      <c r="DB103" s="418"/>
      <c r="DC103" s="418"/>
      <c r="DD103" s="418"/>
      <c r="DE103" s="418"/>
      <c r="DF103" s="418"/>
      <c r="DG103" s="418"/>
      <c r="DH103" s="418"/>
      <c r="DI103" s="418"/>
      <c r="DJ103" s="418"/>
      <c r="DK103" s="418"/>
      <c r="DL103" s="418"/>
      <c r="DM103" s="418"/>
      <c r="DN103" s="418"/>
      <c r="DO103" s="418"/>
      <c r="DP103" s="418"/>
      <c r="DQ103" s="418"/>
      <c r="DR103" s="418"/>
      <c r="DS103" s="418"/>
      <c r="DT103" s="418"/>
      <c r="DU103" s="418"/>
      <c r="DV103" s="418"/>
      <c r="DW103" s="418"/>
      <c r="DX103" s="418"/>
      <c r="DY103" s="418"/>
      <c r="DZ103" s="418"/>
      <c r="EA103" s="418"/>
      <c r="EB103" s="418"/>
      <c r="EC103" s="418"/>
      <c r="ED103" s="418"/>
      <c r="EE103" s="418"/>
      <c r="EF103" s="418"/>
      <c r="EG103" s="418"/>
      <c r="EH103" s="418"/>
      <c r="EI103" s="418"/>
      <c r="EJ103" s="418"/>
      <c r="EK103" s="418"/>
      <c r="EL103" s="418"/>
      <c r="EM103" s="418"/>
      <c r="EN103" s="418"/>
      <c r="EO103" s="418"/>
      <c r="EP103" s="418"/>
      <c r="EQ103" s="418"/>
      <c r="ER103" s="418"/>
      <c r="ES103" s="418"/>
      <c r="ET103" s="418"/>
      <c r="EU103" s="418"/>
      <c r="EV103" s="418"/>
      <c r="EW103" s="418"/>
      <c r="EX103" s="418"/>
      <c r="EY103" s="418"/>
      <c r="EZ103" s="418"/>
      <c r="FA103" s="418"/>
      <c r="FB103" s="418"/>
      <c r="FC103" s="418"/>
      <c r="FD103" s="418"/>
      <c r="FE103" s="418"/>
      <c r="FF103" s="418"/>
      <c r="FG103" s="418"/>
      <c r="FH103" s="418"/>
      <c r="FI103" s="418"/>
      <c r="FJ103" s="418"/>
      <c r="FK103" s="418"/>
      <c r="FL103" s="418"/>
      <c r="FM103" s="418"/>
      <c r="FN103" s="418"/>
      <c r="FO103" s="418"/>
      <c r="FP103" s="418"/>
      <c r="FQ103" s="418"/>
      <c r="FR103" s="418"/>
      <c r="FS103" s="418"/>
      <c r="FT103" s="418"/>
      <c r="FU103" s="418"/>
      <c r="FV103" s="418"/>
      <c r="FW103" s="418"/>
      <c r="FX103" s="418"/>
      <c r="FY103" s="418"/>
      <c r="FZ103" s="418"/>
      <c r="GA103" s="418"/>
      <c r="GB103" s="418"/>
      <c r="GC103" s="418"/>
      <c r="GD103" s="418"/>
      <c r="GE103" s="418"/>
      <c r="GF103" s="418"/>
      <c r="GG103" s="418"/>
      <c r="GH103" s="418"/>
      <c r="GI103" s="418"/>
      <c r="GJ103" s="418"/>
      <c r="GK103" s="418"/>
      <c r="GL103" s="418"/>
      <c r="GM103" s="418"/>
      <c r="GN103" s="418"/>
      <c r="GO103" s="418"/>
      <c r="GP103" s="418"/>
      <c r="GQ103" s="418"/>
      <c r="GR103" s="418"/>
      <c r="GS103" s="418"/>
      <c r="GT103" s="418"/>
      <c r="GU103" s="418"/>
      <c r="GV103" s="418"/>
      <c r="GW103" s="418"/>
      <c r="GX103" s="418"/>
      <c r="GY103" s="418"/>
      <c r="GZ103" s="418"/>
      <c r="HA103" s="418"/>
      <c r="HB103" s="418"/>
      <c r="HC103" s="418"/>
      <c r="HD103" s="418"/>
      <c r="HE103" s="418"/>
      <c r="HF103" s="418"/>
      <c r="HG103" s="418"/>
      <c r="HH103" s="418"/>
      <c r="HI103" s="418"/>
      <c r="HJ103" s="418"/>
      <c r="HK103" s="418"/>
      <c r="HL103" s="418"/>
      <c r="HM103" s="418"/>
      <c r="HN103" s="418"/>
      <c r="HO103" s="418"/>
      <c r="HP103" s="418"/>
      <c r="HQ103" s="418"/>
      <c r="HR103" s="418"/>
      <c r="HS103" s="418"/>
      <c r="HT103" s="418"/>
      <c r="HU103" s="418"/>
      <c r="HV103" s="418"/>
      <c r="HW103" s="418"/>
      <c r="HX103" s="418"/>
      <c r="HY103" s="418"/>
      <c r="HZ103" s="418"/>
      <c r="IA103" s="418"/>
      <c r="IB103" s="418"/>
      <c r="IC103" s="418"/>
      <c r="ID103" s="418"/>
      <c r="IE103" s="418"/>
      <c r="IF103" s="418"/>
      <c r="IG103" s="418"/>
      <c r="IH103" s="418"/>
      <c r="II103" s="418"/>
      <c r="IJ103" s="418"/>
      <c r="IK103" s="418"/>
      <c r="IL103" s="418"/>
      <c r="IM103" s="418"/>
      <c r="IN103" s="418"/>
      <c r="IO103" s="418"/>
      <c r="IP103" s="418"/>
      <c r="IQ103" s="418"/>
      <c r="IR103" s="418"/>
      <c r="IS103" s="418"/>
      <c r="IT103" s="418"/>
      <c r="IU103" s="418"/>
      <c r="IV103" s="418"/>
      <c r="IW103" s="418"/>
      <c r="IX103" s="418"/>
      <c r="IY103" s="418"/>
      <c r="IZ103" s="418"/>
      <c r="JA103" s="418"/>
    </row>
    <row r="104" spans="1:261" s="758" customFormat="1" ht="18" customHeight="1" x14ac:dyDescent="0.35">
      <c r="A104" s="773">
        <v>95</v>
      </c>
      <c r="B104" s="766"/>
      <c r="C104" s="420"/>
      <c r="D104" s="577" t="s">
        <v>1250</v>
      </c>
      <c r="E104" s="430"/>
      <c r="F104" s="762"/>
      <c r="G104" s="431"/>
      <c r="H104" s="999"/>
      <c r="I104" s="759"/>
      <c r="J104" s="759"/>
      <c r="K104" s="759"/>
      <c r="L104" s="759"/>
      <c r="M104" s="1524">
        <f>SUM(M103)</f>
        <v>100</v>
      </c>
      <c r="N104" s="759"/>
      <c r="O104" s="767">
        <f>SUM(I104:N104)</f>
        <v>100</v>
      </c>
      <c r="P104" s="1499"/>
      <c r="Q104" s="418"/>
      <c r="R104" s="418"/>
      <c r="S104" s="418"/>
      <c r="T104" s="418"/>
      <c r="U104" s="418"/>
      <c r="V104" s="418"/>
      <c r="W104" s="418"/>
      <c r="X104" s="418"/>
      <c r="Y104" s="418"/>
      <c r="Z104" s="418"/>
      <c r="AA104" s="418"/>
      <c r="AB104" s="418"/>
      <c r="AC104" s="418"/>
      <c r="AD104" s="418"/>
      <c r="AE104" s="418"/>
      <c r="AF104" s="418"/>
      <c r="AG104" s="418"/>
      <c r="AH104" s="418"/>
      <c r="AI104" s="418"/>
      <c r="AJ104" s="418"/>
      <c r="AK104" s="418"/>
      <c r="AL104" s="418"/>
      <c r="AM104" s="418"/>
      <c r="AN104" s="418"/>
      <c r="AO104" s="418"/>
      <c r="AP104" s="418"/>
      <c r="AQ104" s="418"/>
      <c r="AR104" s="418"/>
      <c r="AS104" s="418"/>
      <c r="AT104" s="418"/>
      <c r="AU104" s="418"/>
      <c r="AV104" s="418"/>
      <c r="AW104" s="418"/>
      <c r="AX104" s="418"/>
      <c r="AY104" s="418"/>
      <c r="AZ104" s="418"/>
      <c r="BA104" s="418"/>
      <c r="BB104" s="418"/>
      <c r="BC104" s="418"/>
      <c r="BD104" s="418"/>
      <c r="BE104" s="418"/>
      <c r="BF104" s="418"/>
      <c r="BG104" s="418"/>
      <c r="BH104" s="418"/>
      <c r="BI104" s="418"/>
      <c r="BJ104" s="418"/>
      <c r="BK104" s="418"/>
      <c r="BL104" s="418"/>
      <c r="BM104" s="418"/>
      <c r="BN104" s="418"/>
      <c r="BO104" s="418"/>
      <c r="BP104" s="418"/>
      <c r="BQ104" s="418"/>
      <c r="BR104" s="418"/>
      <c r="BS104" s="418"/>
      <c r="BT104" s="418"/>
      <c r="BU104" s="418"/>
      <c r="BV104" s="418"/>
      <c r="BW104" s="418"/>
      <c r="BX104" s="418"/>
      <c r="BY104" s="418"/>
      <c r="BZ104" s="418"/>
      <c r="CA104" s="418"/>
      <c r="CB104" s="418"/>
      <c r="CC104" s="418"/>
      <c r="CD104" s="418"/>
      <c r="CE104" s="418"/>
      <c r="CF104" s="418"/>
      <c r="CG104" s="418"/>
      <c r="CH104" s="418"/>
      <c r="CI104" s="418"/>
      <c r="CJ104" s="418"/>
      <c r="CK104" s="418"/>
      <c r="CL104" s="418"/>
      <c r="CM104" s="418"/>
      <c r="CN104" s="418"/>
      <c r="CO104" s="418"/>
      <c r="CP104" s="418"/>
      <c r="CQ104" s="418"/>
      <c r="CR104" s="418"/>
      <c r="CS104" s="418"/>
      <c r="CT104" s="418"/>
      <c r="CU104" s="418"/>
      <c r="CV104" s="418"/>
      <c r="CW104" s="418"/>
      <c r="CX104" s="418"/>
      <c r="CY104" s="418"/>
      <c r="CZ104" s="418"/>
      <c r="DA104" s="418"/>
      <c r="DB104" s="418"/>
      <c r="DC104" s="418"/>
      <c r="DD104" s="418"/>
      <c r="DE104" s="418"/>
      <c r="DF104" s="418"/>
      <c r="DG104" s="418"/>
      <c r="DH104" s="418"/>
      <c r="DI104" s="418"/>
      <c r="DJ104" s="418"/>
      <c r="DK104" s="418"/>
      <c r="DL104" s="418"/>
      <c r="DM104" s="418"/>
      <c r="DN104" s="418"/>
      <c r="DO104" s="418"/>
      <c r="DP104" s="418"/>
      <c r="DQ104" s="418"/>
      <c r="DR104" s="418"/>
      <c r="DS104" s="418"/>
      <c r="DT104" s="418"/>
      <c r="DU104" s="418"/>
      <c r="DV104" s="418"/>
      <c r="DW104" s="418"/>
      <c r="DX104" s="418"/>
      <c r="DY104" s="418"/>
      <c r="DZ104" s="418"/>
      <c r="EA104" s="418"/>
      <c r="EB104" s="418"/>
      <c r="EC104" s="418"/>
      <c r="ED104" s="418"/>
      <c r="EE104" s="418"/>
      <c r="EF104" s="418"/>
      <c r="EG104" s="418"/>
      <c r="EH104" s="418"/>
      <c r="EI104" s="418"/>
      <c r="EJ104" s="418"/>
      <c r="EK104" s="418"/>
      <c r="EL104" s="418"/>
      <c r="EM104" s="418"/>
      <c r="EN104" s="418"/>
      <c r="EO104" s="418"/>
      <c r="EP104" s="418"/>
      <c r="EQ104" s="418"/>
      <c r="ER104" s="418"/>
      <c r="ES104" s="418"/>
      <c r="ET104" s="418"/>
      <c r="EU104" s="418"/>
      <c r="EV104" s="418"/>
      <c r="EW104" s="418"/>
      <c r="EX104" s="418"/>
      <c r="EY104" s="418"/>
      <c r="EZ104" s="418"/>
      <c r="FA104" s="418"/>
      <c r="FB104" s="418"/>
      <c r="FC104" s="418"/>
      <c r="FD104" s="418"/>
      <c r="FE104" s="418"/>
      <c r="FF104" s="418"/>
      <c r="FG104" s="418"/>
      <c r="FH104" s="418"/>
      <c r="FI104" s="418"/>
      <c r="FJ104" s="418"/>
      <c r="FK104" s="418"/>
      <c r="FL104" s="418"/>
      <c r="FM104" s="418"/>
      <c r="FN104" s="418"/>
      <c r="FO104" s="418"/>
      <c r="FP104" s="418"/>
      <c r="FQ104" s="418"/>
      <c r="FR104" s="418"/>
      <c r="FS104" s="418"/>
      <c r="FT104" s="418"/>
      <c r="FU104" s="418"/>
      <c r="FV104" s="418"/>
      <c r="FW104" s="418"/>
      <c r="FX104" s="418"/>
      <c r="FY104" s="418"/>
      <c r="FZ104" s="418"/>
      <c r="GA104" s="418"/>
      <c r="GB104" s="418"/>
      <c r="GC104" s="418"/>
      <c r="GD104" s="418"/>
      <c r="GE104" s="418"/>
      <c r="GF104" s="418"/>
      <c r="GG104" s="418"/>
      <c r="GH104" s="418"/>
      <c r="GI104" s="418"/>
      <c r="GJ104" s="418"/>
      <c r="GK104" s="418"/>
      <c r="GL104" s="418"/>
      <c r="GM104" s="418"/>
      <c r="GN104" s="418"/>
      <c r="GO104" s="418"/>
      <c r="GP104" s="418"/>
      <c r="GQ104" s="418"/>
      <c r="GR104" s="418"/>
      <c r="GS104" s="418"/>
      <c r="GT104" s="418"/>
      <c r="GU104" s="418"/>
      <c r="GV104" s="418"/>
      <c r="GW104" s="418"/>
      <c r="GX104" s="418"/>
      <c r="GY104" s="418"/>
      <c r="GZ104" s="418"/>
      <c r="HA104" s="418"/>
      <c r="HB104" s="418"/>
      <c r="HC104" s="418"/>
      <c r="HD104" s="418"/>
      <c r="HE104" s="418"/>
      <c r="HF104" s="418"/>
      <c r="HG104" s="418"/>
      <c r="HH104" s="418"/>
      <c r="HI104" s="418"/>
      <c r="HJ104" s="418"/>
      <c r="HK104" s="418"/>
      <c r="HL104" s="418"/>
      <c r="HM104" s="418"/>
      <c r="HN104" s="418"/>
      <c r="HO104" s="418"/>
      <c r="HP104" s="418"/>
      <c r="HQ104" s="418"/>
      <c r="HR104" s="418"/>
      <c r="HS104" s="418"/>
      <c r="HT104" s="418"/>
      <c r="HU104" s="418"/>
      <c r="HV104" s="418"/>
      <c r="HW104" s="418"/>
      <c r="HX104" s="418"/>
      <c r="HY104" s="418"/>
      <c r="HZ104" s="418"/>
      <c r="IA104" s="418"/>
      <c r="IB104" s="418"/>
      <c r="IC104" s="418"/>
      <c r="ID104" s="418"/>
      <c r="IE104" s="418"/>
      <c r="IF104" s="418"/>
      <c r="IG104" s="418"/>
      <c r="IH104" s="418"/>
      <c r="II104" s="418"/>
      <c r="IJ104" s="418"/>
      <c r="IK104" s="418"/>
      <c r="IL104" s="418"/>
      <c r="IM104" s="418"/>
      <c r="IN104" s="418"/>
      <c r="IO104" s="418"/>
      <c r="IP104" s="418"/>
      <c r="IQ104" s="418"/>
      <c r="IR104" s="418"/>
      <c r="IS104" s="418"/>
      <c r="IT104" s="418"/>
      <c r="IU104" s="418"/>
      <c r="IV104" s="418"/>
      <c r="IW104" s="418"/>
      <c r="IX104" s="418"/>
      <c r="IY104" s="418"/>
      <c r="IZ104" s="418"/>
      <c r="JA104" s="418"/>
    </row>
    <row r="105" spans="1:261" s="758" customFormat="1" ht="18" customHeight="1" x14ac:dyDescent="0.35">
      <c r="A105" s="773">
        <v>96</v>
      </c>
      <c r="B105" s="766"/>
      <c r="C105" s="420">
        <v>22</v>
      </c>
      <c r="D105" s="2079" t="s">
        <v>1276</v>
      </c>
      <c r="E105" s="430"/>
      <c r="F105" s="762"/>
      <c r="G105" s="431"/>
      <c r="H105" s="999"/>
      <c r="I105" s="759"/>
      <c r="J105" s="759"/>
      <c r="K105" s="759"/>
      <c r="L105" s="759"/>
      <c r="M105" s="1771"/>
      <c r="N105" s="759"/>
      <c r="O105" s="767"/>
      <c r="P105" s="1499"/>
      <c r="Q105" s="418"/>
      <c r="R105" s="418"/>
      <c r="S105" s="418"/>
      <c r="T105" s="418"/>
      <c r="U105" s="418"/>
      <c r="V105" s="418"/>
      <c r="W105" s="418"/>
      <c r="X105" s="418"/>
      <c r="Y105" s="418"/>
      <c r="Z105" s="418"/>
      <c r="AA105" s="418"/>
      <c r="AB105" s="418"/>
      <c r="AC105" s="418"/>
      <c r="AD105" s="418"/>
      <c r="AE105" s="418"/>
      <c r="AF105" s="418"/>
      <c r="AG105" s="418"/>
      <c r="AH105" s="418"/>
      <c r="AI105" s="418"/>
      <c r="AJ105" s="418"/>
      <c r="AK105" s="418"/>
      <c r="AL105" s="418"/>
      <c r="AM105" s="418"/>
      <c r="AN105" s="418"/>
      <c r="AO105" s="418"/>
      <c r="AP105" s="418"/>
      <c r="AQ105" s="418"/>
      <c r="AR105" s="418"/>
      <c r="AS105" s="418"/>
      <c r="AT105" s="418"/>
      <c r="AU105" s="418"/>
      <c r="AV105" s="418"/>
      <c r="AW105" s="418"/>
      <c r="AX105" s="418"/>
      <c r="AY105" s="418"/>
      <c r="AZ105" s="418"/>
      <c r="BA105" s="418"/>
      <c r="BB105" s="418"/>
      <c r="BC105" s="418"/>
      <c r="BD105" s="418"/>
      <c r="BE105" s="418"/>
      <c r="BF105" s="418"/>
      <c r="BG105" s="418"/>
      <c r="BH105" s="418"/>
      <c r="BI105" s="418"/>
      <c r="BJ105" s="418"/>
      <c r="BK105" s="418"/>
      <c r="BL105" s="418"/>
      <c r="BM105" s="418"/>
      <c r="BN105" s="418"/>
      <c r="BO105" s="418"/>
      <c r="BP105" s="418"/>
      <c r="BQ105" s="418"/>
      <c r="BR105" s="418"/>
      <c r="BS105" s="418"/>
      <c r="BT105" s="418"/>
      <c r="BU105" s="418"/>
      <c r="BV105" s="418"/>
      <c r="BW105" s="418"/>
      <c r="BX105" s="418"/>
      <c r="BY105" s="418"/>
      <c r="BZ105" s="418"/>
      <c r="CA105" s="418"/>
      <c r="CB105" s="418"/>
      <c r="CC105" s="418"/>
      <c r="CD105" s="418"/>
      <c r="CE105" s="418"/>
      <c r="CF105" s="418"/>
      <c r="CG105" s="418"/>
      <c r="CH105" s="418"/>
      <c r="CI105" s="418"/>
      <c r="CJ105" s="418"/>
      <c r="CK105" s="418"/>
      <c r="CL105" s="418"/>
      <c r="CM105" s="418"/>
      <c r="CN105" s="418"/>
      <c r="CO105" s="418"/>
      <c r="CP105" s="418"/>
      <c r="CQ105" s="418"/>
      <c r="CR105" s="418"/>
      <c r="CS105" s="418"/>
      <c r="CT105" s="418"/>
      <c r="CU105" s="418"/>
      <c r="CV105" s="418"/>
      <c r="CW105" s="418"/>
      <c r="CX105" s="418"/>
      <c r="CY105" s="418"/>
      <c r="CZ105" s="418"/>
      <c r="DA105" s="418"/>
      <c r="DB105" s="418"/>
      <c r="DC105" s="418"/>
      <c r="DD105" s="418"/>
      <c r="DE105" s="418"/>
      <c r="DF105" s="418"/>
      <c r="DG105" s="418"/>
      <c r="DH105" s="418"/>
      <c r="DI105" s="418"/>
      <c r="DJ105" s="418"/>
      <c r="DK105" s="418"/>
      <c r="DL105" s="418"/>
      <c r="DM105" s="418"/>
      <c r="DN105" s="418"/>
      <c r="DO105" s="418"/>
      <c r="DP105" s="418"/>
      <c r="DQ105" s="418"/>
      <c r="DR105" s="418"/>
      <c r="DS105" s="418"/>
      <c r="DT105" s="418"/>
      <c r="DU105" s="418"/>
      <c r="DV105" s="418"/>
      <c r="DW105" s="418"/>
      <c r="DX105" s="418"/>
      <c r="DY105" s="418"/>
      <c r="DZ105" s="418"/>
      <c r="EA105" s="418"/>
      <c r="EB105" s="418"/>
      <c r="EC105" s="418"/>
      <c r="ED105" s="418"/>
      <c r="EE105" s="418"/>
      <c r="EF105" s="418"/>
      <c r="EG105" s="418"/>
      <c r="EH105" s="418"/>
      <c r="EI105" s="418"/>
      <c r="EJ105" s="418"/>
      <c r="EK105" s="418"/>
      <c r="EL105" s="418"/>
      <c r="EM105" s="418"/>
      <c r="EN105" s="418"/>
      <c r="EO105" s="418"/>
      <c r="EP105" s="418"/>
      <c r="EQ105" s="418"/>
      <c r="ER105" s="418"/>
      <c r="ES105" s="418"/>
      <c r="ET105" s="418"/>
      <c r="EU105" s="418"/>
      <c r="EV105" s="418"/>
      <c r="EW105" s="418"/>
      <c r="EX105" s="418"/>
      <c r="EY105" s="418"/>
      <c r="EZ105" s="418"/>
      <c r="FA105" s="418"/>
      <c r="FB105" s="418"/>
      <c r="FC105" s="418"/>
      <c r="FD105" s="418"/>
      <c r="FE105" s="418"/>
      <c r="FF105" s="418"/>
      <c r="FG105" s="418"/>
      <c r="FH105" s="418"/>
      <c r="FI105" s="418"/>
      <c r="FJ105" s="418"/>
      <c r="FK105" s="418"/>
      <c r="FL105" s="418"/>
      <c r="FM105" s="418"/>
      <c r="FN105" s="418"/>
      <c r="FO105" s="418"/>
      <c r="FP105" s="418"/>
      <c r="FQ105" s="418"/>
      <c r="FR105" s="418"/>
      <c r="FS105" s="418"/>
      <c r="FT105" s="418"/>
      <c r="FU105" s="418"/>
      <c r="FV105" s="418"/>
      <c r="FW105" s="418"/>
      <c r="FX105" s="418"/>
      <c r="FY105" s="418"/>
      <c r="FZ105" s="418"/>
      <c r="GA105" s="418"/>
      <c r="GB105" s="418"/>
      <c r="GC105" s="418"/>
      <c r="GD105" s="418"/>
      <c r="GE105" s="418"/>
      <c r="GF105" s="418"/>
      <c r="GG105" s="418"/>
      <c r="GH105" s="418"/>
      <c r="GI105" s="418"/>
      <c r="GJ105" s="418"/>
      <c r="GK105" s="418"/>
      <c r="GL105" s="418"/>
      <c r="GM105" s="418"/>
      <c r="GN105" s="418"/>
      <c r="GO105" s="418"/>
      <c r="GP105" s="418"/>
      <c r="GQ105" s="418"/>
      <c r="GR105" s="418"/>
      <c r="GS105" s="418"/>
      <c r="GT105" s="418"/>
      <c r="GU105" s="418"/>
      <c r="GV105" s="418"/>
      <c r="GW105" s="418"/>
      <c r="GX105" s="418"/>
      <c r="GY105" s="418"/>
      <c r="GZ105" s="418"/>
      <c r="HA105" s="418"/>
      <c r="HB105" s="418"/>
      <c r="HC105" s="418"/>
      <c r="HD105" s="418"/>
      <c r="HE105" s="418"/>
      <c r="HF105" s="418"/>
      <c r="HG105" s="418"/>
      <c r="HH105" s="418"/>
      <c r="HI105" s="418"/>
      <c r="HJ105" s="418"/>
      <c r="HK105" s="418"/>
      <c r="HL105" s="418"/>
      <c r="HM105" s="418"/>
      <c r="HN105" s="418"/>
      <c r="HO105" s="418"/>
      <c r="HP105" s="418"/>
      <c r="HQ105" s="418"/>
      <c r="HR105" s="418"/>
      <c r="HS105" s="418"/>
      <c r="HT105" s="418"/>
      <c r="HU105" s="418"/>
      <c r="HV105" s="418"/>
      <c r="HW105" s="418"/>
      <c r="HX105" s="418"/>
      <c r="HY105" s="418"/>
      <c r="HZ105" s="418"/>
      <c r="IA105" s="418"/>
      <c r="IB105" s="418"/>
      <c r="IC105" s="418"/>
      <c r="ID105" s="418"/>
      <c r="IE105" s="418"/>
      <c r="IF105" s="418"/>
      <c r="IG105" s="418"/>
      <c r="IH105" s="418"/>
      <c r="II105" s="418"/>
      <c r="IJ105" s="418"/>
      <c r="IK105" s="418"/>
      <c r="IL105" s="418"/>
      <c r="IM105" s="418"/>
      <c r="IN105" s="418"/>
      <c r="IO105" s="418"/>
      <c r="IP105" s="418"/>
      <c r="IQ105" s="418"/>
      <c r="IR105" s="418"/>
      <c r="IS105" s="418"/>
      <c r="IT105" s="418"/>
      <c r="IU105" s="418"/>
      <c r="IV105" s="418"/>
      <c r="IW105" s="418"/>
      <c r="IX105" s="418"/>
      <c r="IY105" s="418"/>
      <c r="IZ105" s="418"/>
      <c r="JA105" s="418"/>
    </row>
    <row r="106" spans="1:261" s="758" customFormat="1" ht="18" customHeight="1" x14ac:dyDescent="0.35">
      <c r="A106" s="773">
        <v>97</v>
      </c>
      <c r="B106" s="766"/>
      <c r="C106" s="420"/>
      <c r="D106" s="440" t="s">
        <v>947</v>
      </c>
      <c r="E106" s="430"/>
      <c r="F106" s="762"/>
      <c r="G106" s="431"/>
      <c r="H106" s="999"/>
      <c r="I106" s="759"/>
      <c r="J106" s="759"/>
      <c r="K106" s="759"/>
      <c r="L106" s="759"/>
      <c r="M106" s="1771">
        <v>631900</v>
      </c>
      <c r="N106" s="759"/>
      <c r="O106" s="1741">
        <f>SUM(I106:N106)</f>
        <v>631900</v>
      </c>
      <c r="P106" s="1499"/>
      <c r="Q106" s="418"/>
      <c r="R106" s="418"/>
      <c r="S106" s="418"/>
      <c r="T106" s="418"/>
      <c r="U106" s="418"/>
      <c r="V106" s="418"/>
      <c r="W106" s="418"/>
      <c r="X106" s="418"/>
      <c r="Y106" s="418"/>
      <c r="Z106" s="418"/>
      <c r="AA106" s="418"/>
      <c r="AB106" s="418"/>
      <c r="AC106" s="418"/>
      <c r="AD106" s="418"/>
      <c r="AE106" s="418"/>
      <c r="AF106" s="418"/>
      <c r="AG106" s="418"/>
      <c r="AH106" s="418"/>
      <c r="AI106" s="418"/>
      <c r="AJ106" s="418"/>
      <c r="AK106" s="418"/>
      <c r="AL106" s="418"/>
      <c r="AM106" s="418"/>
      <c r="AN106" s="418"/>
      <c r="AO106" s="418"/>
      <c r="AP106" s="418"/>
      <c r="AQ106" s="418"/>
      <c r="AR106" s="418"/>
      <c r="AS106" s="418"/>
      <c r="AT106" s="418"/>
      <c r="AU106" s="418"/>
      <c r="AV106" s="418"/>
      <c r="AW106" s="418"/>
      <c r="AX106" s="418"/>
      <c r="AY106" s="418"/>
      <c r="AZ106" s="418"/>
      <c r="BA106" s="418"/>
      <c r="BB106" s="418"/>
      <c r="BC106" s="418"/>
      <c r="BD106" s="418"/>
      <c r="BE106" s="418"/>
      <c r="BF106" s="418"/>
      <c r="BG106" s="418"/>
      <c r="BH106" s="418"/>
      <c r="BI106" s="418"/>
      <c r="BJ106" s="418"/>
      <c r="BK106" s="418"/>
      <c r="BL106" s="418"/>
      <c r="BM106" s="418"/>
      <c r="BN106" s="418"/>
      <c r="BO106" s="418"/>
      <c r="BP106" s="418"/>
      <c r="BQ106" s="418"/>
      <c r="BR106" s="418"/>
      <c r="BS106" s="418"/>
      <c r="BT106" s="418"/>
      <c r="BU106" s="418"/>
      <c r="BV106" s="418"/>
      <c r="BW106" s="418"/>
      <c r="BX106" s="418"/>
      <c r="BY106" s="418"/>
      <c r="BZ106" s="418"/>
      <c r="CA106" s="418"/>
      <c r="CB106" s="418"/>
      <c r="CC106" s="418"/>
      <c r="CD106" s="418"/>
      <c r="CE106" s="418"/>
      <c r="CF106" s="418"/>
      <c r="CG106" s="418"/>
      <c r="CH106" s="418"/>
      <c r="CI106" s="418"/>
      <c r="CJ106" s="418"/>
      <c r="CK106" s="418"/>
      <c r="CL106" s="418"/>
      <c r="CM106" s="418"/>
      <c r="CN106" s="418"/>
      <c r="CO106" s="418"/>
      <c r="CP106" s="418"/>
      <c r="CQ106" s="418"/>
      <c r="CR106" s="418"/>
      <c r="CS106" s="418"/>
      <c r="CT106" s="418"/>
      <c r="CU106" s="418"/>
      <c r="CV106" s="418"/>
      <c r="CW106" s="418"/>
      <c r="CX106" s="418"/>
      <c r="CY106" s="418"/>
      <c r="CZ106" s="418"/>
      <c r="DA106" s="418"/>
      <c r="DB106" s="418"/>
      <c r="DC106" s="418"/>
      <c r="DD106" s="418"/>
      <c r="DE106" s="418"/>
      <c r="DF106" s="418"/>
      <c r="DG106" s="418"/>
      <c r="DH106" s="418"/>
      <c r="DI106" s="418"/>
      <c r="DJ106" s="418"/>
      <c r="DK106" s="418"/>
      <c r="DL106" s="418"/>
      <c r="DM106" s="418"/>
      <c r="DN106" s="418"/>
      <c r="DO106" s="418"/>
      <c r="DP106" s="418"/>
      <c r="DQ106" s="418"/>
      <c r="DR106" s="418"/>
      <c r="DS106" s="418"/>
      <c r="DT106" s="418"/>
      <c r="DU106" s="418"/>
      <c r="DV106" s="418"/>
      <c r="DW106" s="418"/>
      <c r="DX106" s="418"/>
      <c r="DY106" s="418"/>
      <c r="DZ106" s="418"/>
      <c r="EA106" s="418"/>
      <c r="EB106" s="418"/>
      <c r="EC106" s="418"/>
      <c r="ED106" s="418"/>
      <c r="EE106" s="418"/>
      <c r="EF106" s="418"/>
      <c r="EG106" s="418"/>
      <c r="EH106" s="418"/>
      <c r="EI106" s="418"/>
      <c r="EJ106" s="418"/>
      <c r="EK106" s="418"/>
      <c r="EL106" s="418"/>
      <c r="EM106" s="418"/>
      <c r="EN106" s="418"/>
      <c r="EO106" s="418"/>
      <c r="EP106" s="418"/>
      <c r="EQ106" s="418"/>
      <c r="ER106" s="418"/>
      <c r="ES106" s="418"/>
      <c r="ET106" s="418"/>
      <c r="EU106" s="418"/>
      <c r="EV106" s="418"/>
      <c r="EW106" s="418"/>
      <c r="EX106" s="418"/>
      <c r="EY106" s="418"/>
      <c r="EZ106" s="418"/>
      <c r="FA106" s="418"/>
      <c r="FB106" s="418"/>
      <c r="FC106" s="418"/>
      <c r="FD106" s="418"/>
      <c r="FE106" s="418"/>
      <c r="FF106" s="418"/>
      <c r="FG106" s="418"/>
      <c r="FH106" s="418"/>
      <c r="FI106" s="418"/>
      <c r="FJ106" s="418"/>
      <c r="FK106" s="418"/>
      <c r="FL106" s="418"/>
      <c r="FM106" s="418"/>
      <c r="FN106" s="418"/>
      <c r="FO106" s="418"/>
      <c r="FP106" s="418"/>
      <c r="FQ106" s="418"/>
      <c r="FR106" s="418"/>
      <c r="FS106" s="418"/>
      <c r="FT106" s="418"/>
      <c r="FU106" s="418"/>
      <c r="FV106" s="418"/>
      <c r="FW106" s="418"/>
      <c r="FX106" s="418"/>
      <c r="FY106" s="418"/>
      <c r="FZ106" s="418"/>
      <c r="GA106" s="418"/>
      <c r="GB106" s="418"/>
      <c r="GC106" s="418"/>
      <c r="GD106" s="418"/>
      <c r="GE106" s="418"/>
      <c r="GF106" s="418"/>
      <c r="GG106" s="418"/>
      <c r="GH106" s="418"/>
      <c r="GI106" s="418"/>
      <c r="GJ106" s="418"/>
      <c r="GK106" s="418"/>
      <c r="GL106" s="418"/>
      <c r="GM106" s="418"/>
      <c r="GN106" s="418"/>
      <c r="GO106" s="418"/>
      <c r="GP106" s="418"/>
      <c r="GQ106" s="418"/>
      <c r="GR106" s="418"/>
      <c r="GS106" s="418"/>
      <c r="GT106" s="418"/>
      <c r="GU106" s="418"/>
      <c r="GV106" s="418"/>
      <c r="GW106" s="418"/>
      <c r="GX106" s="418"/>
      <c r="GY106" s="418"/>
      <c r="GZ106" s="418"/>
      <c r="HA106" s="418"/>
      <c r="HB106" s="418"/>
      <c r="HC106" s="418"/>
      <c r="HD106" s="418"/>
      <c r="HE106" s="418"/>
      <c r="HF106" s="418"/>
      <c r="HG106" s="418"/>
      <c r="HH106" s="418"/>
      <c r="HI106" s="418"/>
      <c r="HJ106" s="418"/>
      <c r="HK106" s="418"/>
      <c r="HL106" s="418"/>
      <c r="HM106" s="418"/>
      <c r="HN106" s="418"/>
      <c r="HO106" s="418"/>
      <c r="HP106" s="418"/>
      <c r="HQ106" s="418"/>
      <c r="HR106" s="418"/>
      <c r="HS106" s="418"/>
      <c r="HT106" s="418"/>
      <c r="HU106" s="418"/>
      <c r="HV106" s="418"/>
      <c r="HW106" s="418"/>
      <c r="HX106" s="418"/>
      <c r="HY106" s="418"/>
      <c r="HZ106" s="418"/>
      <c r="IA106" s="418"/>
      <c r="IB106" s="418"/>
      <c r="IC106" s="418"/>
      <c r="ID106" s="418"/>
      <c r="IE106" s="418"/>
      <c r="IF106" s="418"/>
      <c r="IG106" s="418"/>
      <c r="IH106" s="418"/>
      <c r="II106" s="418"/>
      <c r="IJ106" s="418"/>
      <c r="IK106" s="418"/>
      <c r="IL106" s="418"/>
      <c r="IM106" s="418"/>
      <c r="IN106" s="418"/>
      <c r="IO106" s="418"/>
      <c r="IP106" s="418"/>
      <c r="IQ106" s="418"/>
      <c r="IR106" s="418"/>
      <c r="IS106" s="418"/>
      <c r="IT106" s="418"/>
      <c r="IU106" s="418"/>
      <c r="IV106" s="418"/>
      <c r="IW106" s="418"/>
      <c r="IX106" s="418"/>
      <c r="IY106" s="418"/>
      <c r="IZ106" s="418"/>
      <c r="JA106" s="418"/>
    </row>
    <row r="107" spans="1:261" s="758" customFormat="1" ht="18" customHeight="1" x14ac:dyDescent="0.35">
      <c r="A107" s="773">
        <v>98</v>
      </c>
      <c r="B107" s="766"/>
      <c r="C107" s="420"/>
      <c r="D107" s="577" t="s">
        <v>1250</v>
      </c>
      <c r="E107" s="430"/>
      <c r="F107" s="762"/>
      <c r="G107" s="431"/>
      <c r="H107" s="999"/>
      <c r="I107" s="759"/>
      <c r="J107" s="759"/>
      <c r="K107" s="759"/>
      <c r="L107" s="759"/>
      <c r="M107" s="1524">
        <f>SUM(M106)</f>
        <v>631900</v>
      </c>
      <c r="N107" s="759"/>
      <c r="O107" s="767">
        <f>SUM(I107:N107)</f>
        <v>631900</v>
      </c>
      <c r="P107" s="1499"/>
      <c r="Q107" s="418"/>
      <c r="R107" s="418"/>
      <c r="S107" s="418"/>
      <c r="T107" s="418"/>
      <c r="U107" s="418"/>
      <c r="V107" s="418"/>
      <c r="W107" s="418"/>
      <c r="X107" s="418"/>
      <c r="Y107" s="418"/>
      <c r="Z107" s="418"/>
      <c r="AA107" s="418"/>
      <c r="AB107" s="418"/>
      <c r="AC107" s="418"/>
      <c r="AD107" s="418"/>
      <c r="AE107" s="418"/>
      <c r="AF107" s="418"/>
      <c r="AG107" s="418"/>
      <c r="AH107" s="418"/>
      <c r="AI107" s="418"/>
      <c r="AJ107" s="418"/>
      <c r="AK107" s="418"/>
      <c r="AL107" s="418"/>
      <c r="AM107" s="418"/>
      <c r="AN107" s="418"/>
      <c r="AO107" s="418"/>
      <c r="AP107" s="418"/>
      <c r="AQ107" s="418"/>
      <c r="AR107" s="418"/>
      <c r="AS107" s="418"/>
      <c r="AT107" s="418"/>
      <c r="AU107" s="418"/>
      <c r="AV107" s="418"/>
      <c r="AW107" s="418"/>
      <c r="AX107" s="418"/>
      <c r="AY107" s="418"/>
      <c r="AZ107" s="418"/>
      <c r="BA107" s="418"/>
      <c r="BB107" s="418"/>
      <c r="BC107" s="418"/>
      <c r="BD107" s="418"/>
      <c r="BE107" s="418"/>
      <c r="BF107" s="418"/>
      <c r="BG107" s="418"/>
      <c r="BH107" s="418"/>
      <c r="BI107" s="418"/>
      <c r="BJ107" s="418"/>
      <c r="BK107" s="418"/>
      <c r="BL107" s="418"/>
      <c r="BM107" s="418"/>
      <c r="BN107" s="418"/>
      <c r="BO107" s="418"/>
      <c r="BP107" s="418"/>
      <c r="BQ107" s="418"/>
      <c r="BR107" s="418"/>
      <c r="BS107" s="418"/>
      <c r="BT107" s="418"/>
      <c r="BU107" s="418"/>
      <c r="BV107" s="418"/>
      <c r="BW107" s="418"/>
      <c r="BX107" s="418"/>
      <c r="BY107" s="418"/>
      <c r="BZ107" s="418"/>
      <c r="CA107" s="418"/>
      <c r="CB107" s="418"/>
      <c r="CC107" s="418"/>
      <c r="CD107" s="418"/>
      <c r="CE107" s="418"/>
      <c r="CF107" s="418"/>
      <c r="CG107" s="418"/>
      <c r="CH107" s="418"/>
      <c r="CI107" s="418"/>
      <c r="CJ107" s="418"/>
      <c r="CK107" s="418"/>
      <c r="CL107" s="418"/>
      <c r="CM107" s="418"/>
      <c r="CN107" s="418"/>
      <c r="CO107" s="418"/>
      <c r="CP107" s="418"/>
      <c r="CQ107" s="418"/>
      <c r="CR107" s="418"/>
      <c r="CS107" s="418"/>
      <c r="CT107" s="418"/>
      <c r="CU107" s="418"/>
      <c r="CV107" s="418"/>
      <c r="CW107" s="418"/>
      <c r="CX107" s="418"/>
      <c r="CY107" s="418"/>
      <c r="CZ107" s="418"/>
      <c r="DA107" s="418"/>
      <c r="DB107" s="418"/>
      <c r="DC107" s="418"/>
      <c r="DD107" s="418"/>
      <c r="DE107" s="418"/>
      <c r="DF107" s="418"/>
      <c r="DG107" s="418"/>
      <c r="DH107" s="418"/>
      <c r="DI107" s="418"/>
      <c r="DJ107" s="418"/>
      <c r="DK107" s="418"/>
      <c r="DL107" s="418"/>
      <c r="DM107" s="418"/>
      <c r="DN107" s="418"/>
      <c r="DO107" s="418"/>
      <c r="DP107" s="418"/>
      <c r="DQ107" s="418"/>
      <c r="DR107" s="418"/>
      <c r="DS107" s="418"/>
      <c r="DT107" s="418"/>
      <c r="DU107" s="418"/>
      <c r="DV107" s="418"/>
      <c r="DW107" s="418"/>
      <c r="DX107" s="418"/>
      <c r="DY107" s="418"/>
      <c r="DZ107" s="418"/>
      <c r="EA107" s="418"/>
      <c r="EB107" s="418"/>
      <c r="EC107" s="418"/>
      <c r="ED107" s="418"/>
      <c r="EE107" s="418"/>
      <c r="EF107" s="418"/>
      <c r="EG107" s="418"/>
      <c r="EH107" s="418"/>
      <c r="EI107" s="418"/>
      <c r="EJ107" s="418"/>
      <c r="EK107" s="418"/>
      <c r="EL107" s="418"/>
      <c r="EM107" s="418"/>
      <c r="EN107" s="418"/>
      <c r="EO107" s="418"/>
      <c r="EP107" s="418"/>
      <c r="EQ107" s="418"/>
      <c r="ER107" s="418"/>
      <c r="ES107" s="418"/>
      <c r="ET107" s="418"/>
      <c r="EU107" s="418"/>
      <c r="EV107" s="418"/>
      <c r="EW107" s="418"/>
      <c r="EX107" s="418"/>
      <c r="EY107" s="418"/>
      <c r="EZ107" s="418"/>
      <c r="FA107" s="418"/>
      <c r="FB107" s="418"/>
      <c r="FC107" s="418"/>
      <c r="FD107" s="418"/>
      <c r="FE107" s="418"/>
      <c r="FF107" s="418"/>
      <c r="FG107" s="418"/>
      <c r="FH107" s="418"/>
      <c r="FI107" s="418"/>
      <c r="FJ107" s="418"/>
      <c r="FK107" s="418"/>
      <c r="FL107" s="418"/>
      <c r="FM107" s="418"/>
      <c r="FN107" s="418"/>
      <c r="FO107" s="418"/>
      <c r="FP107" s="418"/>
      <c r="FQ107" s="418"/>
      <c r="FR107" s="418"/>
      <c r="FS107" s="418"/>
      <c r="FT107" s="418"/>
      <c r="FU107" s="418"/>
      <c r="FV107" s="418"/>
      <c r="FW107" s="418"/>
      <c r="FX107" s="418"/>
      <c r="FY107" s="418"/>
      <c r="FZ107" s="418"/>
      <c r="GA107" s="418"/>
      <c r="GB107" s="418"/>
      <c r="GC107" s="418"/>
      <c r="GD107" s="418"/>
      <c r="GE107" s="418"/>
      <c r="GF107" s="418"/>
      <c r="GG107" s="418"/>
      <c r="GH107" s="418"/>
      <c r="GI107" s="418"/>
      <c r="GJ107" s="418"/>
      <c r="GK107" s="418"/>
      <c r="GL107" s="418"/>
      <c r="GM107" s="418"/>
      <c r="GN107" s="418"/>
      <c r="GO107" s="418"/>
      <c r="GP107" s="418"/>
      <c r="GQ107" s="418"/>
      <c r="GR107" s="418"/>
      <c r="GS107" s="418"/>
      <c r="GT107" s="418"/>
      <c r="GU107" s="418"/>
      <c r="GV107" s="418"/>
      <c r="GW107" s="418"/>
      <c r="GX107" s="418"/>
      <c r="GY107" s="418"/>
      <c r="GZ107" s="418"/>
      <c r="HA107" s="418"/>
      <c r="HB107" s="418"/>
      <c r="HC107" s="418"/>
      <c r="HD107" s="418"/>
      <c r="HE107" s="418"/>
      <c r="HF107" s="418"/>
      <c r="HG107" s="418"/>
      <c r="HH107" s="418"/>
      <c r="HI107" s="418"/>
      <c r="HJ107" s="418"/>
      <c r="HK107" s="418"/>
      <c r="HL107" s="418"/>
      <c r="HM107" s="418"/>
      <c r="HN107" s="418"/>
      <c r="HO107" s="418"/>
      <c r="HP107" s="418"/>
      <c r="HQ107" s="418"/>
      <c r="HR107" s="418"/>
      <c r="HS107" s="418"/>
      <c r="HT107" s="418"/>
      <c r="HU107" s="418"/>
      <c r="HV107" s="418"/>
      <c r="HW107" s="418"/>
      <c r="HX107" s="418"/>
      <c r="HY107" s="418"/>
      <c r="HZ107" s="418"/>
      <c r="IA107" s="418"/>
      <c r="IB107" s="418"/>
      <c r="IC107" s="418"/>
      <c r="ID107" s="418"/>
      <c r="IE107" s="418"/>
      <c r="IF107" s="418"/>
      <c r="IG107" s="418"/>
      <c r="IH107" s="418"/>
      <c r="II107" s="418"/>
      <c r="IJ107" s="418"/>
      <c r="IK107" s="418"/>
      <c r="IL107" s="418"/>
      <c r="IM107" s="418"/>
      <c r="IN107" s="418"/>
      <c r="IO107" s="418"/>
      <c r="IP107" s="418"/>
      <c r="IQ107" s="418"/>
      <c r="IR107" s="418"/>
      <c r="IS107" s="418"/>
      <c r="IT107" s="418"/>
      <c r="IU107" s="418"/>
      <c r="IV107" s="418"/>
      <c r="IW107" s="418"/>
      <c r="IX107" s="418"/>
      <c r="IY107" s="418"/>
      <c r="IZ107" s="418"/>
      <c r="JA107" s="418"/>
    </row>
    <row r="108" spans="1:261" s="758" customFormat="1" ht="18" customHeight="1" x14ac:dyDescent="0.35">
      <c r="A108" s="773">
        <v>99</v>
      </c>
      <c r="B108" s="766"/>
      <c r="C108" s="420"/>
      <c r="D108" s="2080" t="s">
        <v>1277</v>
      </c>
      <c r="E108" s="430"/>
      <c r="F108" s="762"/>
      <c r="G108" s="431"/>
      <c r="H108" s="999"/>
      <c r="I108" s="759"/>
      <c r="J108" s="759"/>
      <c r="K108" s="759"/>
      <c r="L108" s="759"/>
      <c r="M108" s="1771">
        <v>40000</v>
      </c>
      <c r="N108" s="759"/>
      <c r="O108" s="1599">
        <f>SUM(I108:N108)</f>
        <v>40000</v>
      </c>
      <c r="P108" s="1499"/>
      <c r="Q108" s="418"/>
      <c r="R108" s="418"/>
      <c r="S108" s="418"/>
      <c r="T108" s="418"/>
      <c r="U108" s="418"/>
      <c r="V108" s="418"/>
      <c r="W108" s="418"/>
      <c r="X108" s="418"/>
      <c r="Y108" s="418"/>
      <c r="Z108" s="418"/>
      <c r="AA108" s="418"/>
      <c r="AB108" s="418"/>
      <c r="AC108" s="418"/>
      <c r="AD108" s="418"/>
      <c r="AE108" s="418"/>
      <c r="AF108" s="418"/>
      <c r="AG108" s="418"/>
      <c r="AH108" s="418"/>
      <c r="AI108" s="418"/>
      <c r="AJ108" s="418"/>
      <c r="AK108" s="418"/>
      <c r="AL108" s="418"/>
      <c r="AM108" s="418"/>
      <c r="AN108" s="418"/>
      <c r="AO108" s="418"/>
      <c r="AP108" s="418"/>
      <c r="AQ108" s="418"/>
      <c r="AR108" s="418"/>
      <c r="AS108" s="418"/>
      <c r="AT108" s="418"/>
      <c r="AU108" s="418"/>
      <c r="AV108" s="418"/>
      <c r="AW108" s="418"/>
      <c r="AX108" s="418"/>
      <c r="AY108" s="418"/>
      <c r="AZ108" s="418"/>
      <c r="BA108" s="418"/>
      <c r="BB108" s="418"/>
      <c r="BC108" s="418"/>
      <c r="BD108" s="418"/>
      <c r="BE108" s="418"/>
      <c r="BF108" s="418"/>
      <c r="BG108" s="418"/>
      <c r="BH108" s="418"/>
      <c r="BI108" s="418"/>
      <c r="BJ108" s="418"/>
      <c r="BK108" s="418"/>
      <c r="BL108" s="418"/>
      <c r="BM108" s="418"/>
      <c r="BN108" s="418"/>
      <c r="BO108" s="418"/>
      <c r="BP108" s="418"/>
      <c r="BQ108" s="418"/>
      <c r="BR108" s="418"/>
      <c r="BS108" s="418"/>
      <c r="BT108" s="418"/>
      <c r="BU108" s="418"/>
      <c r="BV108" s="418"/>
      <c r="BW108" s="418"/>
      <c r="BX108" s="418"/>
      <c r="BY108" s="418"/>
      <c r="BZ108" s="418"/>
      <c r="CA108" s="418"/>
      <c r="CB108" s="418"/>
      <c r="CC108" s="418"/>
      <c r="CD108" s="418"/>
      <c r="CE108" s="418"/>
      <c r="CF108" s="418"/>
      <c r="CG108" s="418"/>
      <c r="CH108" s="418"/>
      <c r="CI108" s="418"/>
      <c r="CJ108" s="418"/>
      <c r="CK108" s="418"/>
      <c r="CL108" s="418"/>
      <c r="CM108" s="418"/>
      <c r="CN108" s="418"/>
      <c r="CO108" s="418"/>
      <c r="CP108" s="418"/>
      <c r="CQ108" s="418"/>
      <c r="CR108" s="418"/>
      <c r="CS108" s="418"/>
      <c r="CT108" s="418"/>
      <c r="CU108" s="418"/>
      <c r="CV108" s="418"/>
      <c r="CW108" s="418"/>
      <c r="CX108" s="418"/>
      <c r="CY108" s="418"/>
      <c r="CZ108" s="418"/>
      <c r="DA108" s="418"/>
      <c r="DB108" s="418"/>
      <c r="DC108" s="418"/>
      <c r="DD108" s="418"/>
      <c r="DE108" s="418"/>
      <c r="DF108" s="418"/>
      <c r="DG108" s="418"/>
      <c r="DH108" s="418"/>
      <c r="DI108" s="418"/>
      <c r="DJ108" s="418"/>
      <c r="DK108" s="418"/>
      <c r="DL108" s="418"/>
      <c r="DM108" s="418"/>
      <c r="DN108" s="418"/>
      <c r="DO108" s="418"/>
      <c r="DP108" s="418"/>
      <c r="DQ108" s="418"/>
      <c r="DR108" s="418"/>
      <c r="DS108" s="418"/>
      <c r="DT108" s="418"/>
      <c r="DU108" s="418"/>
      <c r="DV108" s="418"/>
      <c r="DW108" s="418"/>
      <c r="DX108" s="418"/>
      <c r="DY108" s="418"/>
      <c r="DZ108" s="418"/>
      <c r="EA108" s="418"/>
      <c r="EB108" s="418"/>
      <c r="EC108" s="418"/>
      <c r="ED108" s="418"/>
      <c r="EE108" s="418"/>
      <c r="EF108" s="418"/>
      <c r="EG108" s="418"/>
      <c r="EH108" s="418"/>
      <c r="EI108" s="418"/>
      <c r="EJ108" s="418"/>
      <c r="EK108" s="418"/>
      <c r="EL108" s="418"/>
      <c r="EM108" s="418"/>
      <c r="EN108" s="418"/>
      <c r="EO108" s="418"/>
      <c r="EP108" s="418"/>
      <c r="EQ108" s="418"/>
      <c r="ER108" s="418"/>
      <c r="ES108" s="418"/>
      <c r="ET108" s="418"/>
      <c r="EU108" s="418"/>
      <c r="EV108" s="418"/>
      <c r="EW108" s="418"/>
      <c r="EX108" s="418"/>
      <c r="EY108" s="418"/>
      <c r="EZ108" s="418"/>
      <c r="FA108" s="418"/>
      <c r="FB108" s="418"/>
      <c r="FC108" s="418"/>
      <c r="FD108" s="418"/>
      <c r="FE108" s="418"/>
      <c r="FF108" s="418"/>
      <c r="FG108" s="418"/>
      <c r="FH108" s="418"/>
      <c r="FI108" s="418"/>
      <c r="FJ108" s="418"/>
      <c r="FK108" s="418"/>
      <c r="FL108" s="418"/>
      <c r="FM108" s="418"/>
      <c r="FN108" s="418"/>
      <c r="FO108" s="418"/>
      <c r="FP108" s="418"/>
      <c r="FQ108" s="418"/>
      <c r="FR108" s="418"/>
      <c r="FS108" s="418"/>
      <c r="FT108" s="418"/>
      <c r="FU108" s="418"/>
      <c r="FV108" s="418"/>
      <c r="FW108" s="418"/>
      <c r="FX108" s="418"/>
      <c r="FY108" s="418"/>
      <c r="FZ108" s="418"/>
      <c r="GA108" s="418"/>
      <c r="GB108" s="418"/>
      <c r="GC108" s="418"/>
      <c r="GD108" s="418"/>
      <c r="GE108" s="418"/>
      <c r="GF108" s="418"/>
      <c r="GG108" s="418"/>
      <c r="GH108" s="418"/>
      <c r="GI108" s="418"/>
      <c r="GJ108" s="418"/>
      <c r="GK108" s="418"/>
      <c r="GL108" s="418"/>
      <c r="GM108" s="418"/>
      <c r="GN108" s="418"/>
      <c r="GO108" s="418"/>
      <c r="GP108" s="418"/>
      <c r="GQ108" s="418"/>
      <c r="GR108" s="418"/>
      <c r="GS108" s="418"/>
      <c r="GT108" s="418"/>
      <c r="GU108" s="418"/>
      <c r="GV108" s="418"/>
      <c r="GW108" s="418"/>
      <c r="GX108" s="418"/>
      <c r="GY108" s="418"/>
      <c r="GZ108" s="418"/>
      <c r="HA108" s="418"/>
      <c r="HB108" s="418"/>
      <c r="HC108" s="418"/>
      <c r="HD108" s="418"/>
      <c r="HE108" s="418"/>
      <c r="HF108" s="418"/>
      <c r="HG108" s="418"/>
      <c r="HH108" s="418"/>
      <c r="HI108" s="418"/>
      <c r="HJ108" s="418"/>
      <c r="HK108" s="418"/>
      <c r="HL108" s="418"/>
      <c r="HM108" s="418"/>
      <c r="HN108" s="418"/>
      <c r="HO108" s="418"/>
      <c r="HP108" s="418"/>
      <c r="HQ108" s="418"/>
      <c r="HR108" s="418"/>
      <c r="HS108" s="418"/>
      <c r="HT108" s="418"/>
      <c r="HU108" s="418"/>
      <c r="HV108" s="418"/>
      <c r="HW108" s="418"/>
      <c r="HX108" s="418"/>
      <c r="HY108" s="418"/>
      <c r="HZ108" s="418"/>
      <c r="IA108" s="418"/>
      <c r="IB108" s="418"/>
      <c r="IC108" s="418"/>
      <c r="ID108" s="418"/>
      <c r="IE108" s="418"/>
      <c r="IF108" s="418"/>
      <c r="IG108" s="418"/>
      <c r="IH108" s="418"/>
      <c r="II108" s="418"/>
      <c r="IJ108" s="418"/>
      <c r="IK108" s="418"/>
      <c r="IL108" s="418"/>
      <c r="IM108" s="418"/>
      <c r="IN108" s="418"/>
      <c r="IO108" s="418"/>
      <c r="IP108" s="418"/>
      <c r="IQ108" s="418"/>
      <c r="IR108" s="418"/>
      <c r="IS108" s="418"/>
      <c r="IT108" s="418"/>
      <c r="IU108" s="418"/>
      <c r="IV108" s="418"/>
      <c r="IW108" s="418"/>
      <c r="IX108" s="418"/>
      <c r="IY108" s="418"/>
      <c r="IZ108" s="418"/>
      <c r="JA108" s="418"/>
    </row>
    <row r="109" spans="1:261" s="758" customFormat="1" ht="18" customHeight="1" x14ac:dyDescent="0.35">
      <c r="A109" s="773">
        <v>100</v>
      </c>
      <c r="B109" s="766"/>
      <c r="C109" s="420"/>
      <c r="D109" s="2080" t="s">
        <v>1264</v>
      </c>
      <c r="E109" s="430"/>
      <c r="F109" s="762"/>
      <c r="G109" s="431"/>
      <c r="H109" s="999"/>
      <c r="I109" s="759"/>
      <c r="J109" s="759"/>
      <c r="K109" s="759"/>
      <c r="L109" s="759"/>
      <c r="M109" s="1771">
        <v>221464</v>
      </c>
      <c r="N109" s="759"/>
      <c r="O109" s="1599">
        <f t="shared" ref="O109:O113" si="1">SUM(I109:N109)</f>
        <v>221464</v>
      </c>
      <c r="P109" s="1499"/>
      <c r="Q109" s="418"/>
      <c r="R109" s="418"/>
      <c r="S109" s="418"/>
      <c r="T109" s="418"/>
      <c r="U109" s="418"/>
      <c r="V109" s="418"/>
      <c r="W109" s="418"/>
      <c r="X109" s="418"/>
      <c r="Y109" s="418"/>
      <c r="Z109" s="418"/>
      <c r="AA109" s="418"/>
      <c r="AB109" s="418"/>
      <c r="AC109" s="418"/>
      <c r="AD109" s="418"/>
      <c r="AE109" s="418"/>
      <c r="AF109" s="418"/>
      <c r="AG109" s="418"/>
      <c r="AH109" s="418"/>
      <c r="AI109" s="418"/>
      <c r="AJ109" s="418"/>
      <c r="AK109" s="418"/>
      <c r="AL109" s="418"/>
      <c r="AM109" s="418"/>
      <c r="AN109" s="418"/>
      <c r="AO109" s="418"/>
      <c r="AP109" s="418"/>
      <c r="AQ109" s="418"/>
      <c r="AR109" s="418"/>
      <c r="AS109" s="418"/>
      <c r="AT109" s="418"/>
      <c r="AU109" s="418"/>
      <c r="AV109" s="418"/>
      <c r="AW109" s="418"/>
      <c r="AX109" s="418"/>
      <c r="AY109" s="418"/>
      <c r="AZ109" s="418"/>
      <c r="BA109" s="418"/>
      <c r="BB109" s="418"/>
      <c r="BC109" s="418"/>
      <c r="BD109" s="418"/>
      <c r="BE109" s="418"/>
      <c r="BF109" s="418"/>
      <c r="BG109" s="418"/>
      <c r="BH109" s="418"/>
      <c r="BI109" s="418"/>
      <c r="BJ109" s="418"/>
      <c r="BK109" s="418"/>
      <c r="BL109" s="418"/>
      <c r="BM109" s="418"/>
      <c r="BN109" s="418"/>
      <c r="BO109" s="418"/>
      <c r="BP109" s="418"/>
      <c r="BQ109" s="418"/>
      <c r="BR109" s="418"/>
      <c r="BS109" s="418"/>
      <c r="BT109" s="418"/>
      <c r="BU109" s="418"/>
      <c r="BV109" s="418"/>
      <c r="BW109" s="418"/>
      <c r="BX109" s="418"/>
      <c r="BY109" s="418"/>
      <c r="BZ109" s="418"/>
      <c r="CA109" s="418"/>
      <c r="CB109" s="418"/>
      <c r="CC109" s="418"/>
      <c r="CD109" s="418"/>
      <c r="CE109" s="418"/>
      <c r="CF109" s="418"/>
      <c r="CG109" s="418"/>
      <c r="CH109" s="418"/>
      <c r="CI109" s="418"/>
      <c r="CJ109" s="418"/>
      <c r="CK109" s="418"/>
      <c r="CL109" s="418"/>
      <c r="CM109" s="418"/>
      <c r="CN109" s="418"/>
      <c r="CO109" s="418"/>
      <c r="CP109" s="418"/>
      <c r="CQ109" s="418"/>
      <c r="CR109" s="418"/>
      <c r="CS109" s="418"/>
      <c r="CT109" s="418"/>
      <c r="CU109" s="418"/>
      <c r="CV109" s="418"/>
      <c r="CW109" s="418"/>
      <c r="CX109" s="418"/>
      <c r="CY109" s="418"/>
      <c r="CZ109" s="418"/>
      <c r="DA109" s="418"/>
      <c r="DB109" s="418"/>
      <c r="DC109" s="418"/>
      <c r="DD109" s="418"/>
      <c r="DE109" s="418"/>
      <c r="DF109" s="418"/>
      <c r="DG109" s="418"/>
      <c r="DH109" s="418"/>
      <c r="DI109" s="418"/>
      <c r="DJ109" s="418"/>
      <c r="DK109" s="418"/>
      <c r="DL109" s="418"/>
      <c r="DM109" s="418"/>
      <c r="DN109" s="418"/>
      <c r="DO109" s="418"/>
      <c r="DP109" s="418"/>
      <c r="DQ109" s="418"/>
      <c r="DR109" s="418"/>
      <c r="DS109" s="418"/>
      <c r="DT109" s="418"/>
      <c r="DU109" s="418"/>
      <c r="DV109" s="418"/>
      <c r="DW109" s="418"/>
      <c r="DX109" s="418"/>
      <c r="DY109" s="418"/>
      <c r="DZ109" s="418"/>
      <c r="EA109" s="418"/>
      <c r="EB109" s="418"/>
      <c r="EC109" s="418"/>
      <c r="ED109" s="418"/>
      <c r="EE109" s="418"/>
      <c r="EF109" s="418"/>
      <c r="EG109" s="418"/>
      <c r="EH109" s="418"/>
      <c r="EI109" s="418"/>
      <c r="EJ109" s="418"/>
      <c r="EK109" s="418"/>
      <c r="EL109" s="418"/>
      <c r="EM109" s="418"/>
      <c r="EN109" s="418"/>
      <c r="EO109" s="418"/>
      <c r="EP109" s="418"/>
      <c r="EQ109" s="418"/>
      <c r="ER109" s="418"/>
      <c r="ES109" s="418"/>
      <c r="ET109" s="418"/>
      <c r="EU109" s="418"/>
      <c r="EV109" s="418"/>
      <c r="EW109" s="418"/>
      <c r="EX109" s="418"/>
      <c r="EY109" s="418"/>
      <c r="EZ109" s="418"/>
      <c r="FA109" s="418"/>
      <c r="FB109" s="418"/>
      <c r="FC109" s="418"/>
      <c r="FD109" s="418"/>
      <c r="FE109" s="418"/>
      <c r="FF109" s="418"/>
      <c r="FG109" s="418"/>
      <c r="FH109" s="418"/>
      <c r="FI109" s="418"/>
      <c r="FJ109" s="418"/>
      <c r="FK109" s="418"/>
      <c r="FL109" s="418"/>
      <c r="FM109" s="418"/>
      <c r="FN109" s="418"/>
      <c r="FO109" s="418"/>
      <c r="FP109" s="418"/>
      <c r="FQ109" s="418"/>
      <c r="FR109" s="418"/>
      <c r="FS109" s="418"/>
      <c r="FT109" s="418"/>
      <c r="FU109" s="418"/>
      <c r="FV109" s="418"/>
      <c r="FW109" s="418"/>
      <c r="FX109" s="418"/>
      <c r="FY109" s="418"/>
      <c r="FZ109" s="418"/>
      <c r="GA109" s="418"/>
      <c r="GB109" s="418"/>
      <c r="GC109" s="418"/>
      <c r="GD109" s="418"/>
      <c r="GE109" s="418"/>
      <c r="GF109" s="418"/>
      <c r="GG109" s="418"/>
      <c r="GH109" s="418"/>
      <c r="GI109" s="418"/>
      <c r="GJ109" s="418"/>
      <c r="GK109" s="418"/>
      <c r="GL109" s="418"/>
      <c r="GM109" s="418"/>
      <c r="GN109" s="418"/>
      <c r="GO109" s="418"/>
      <c r="GP109" s="418"/>
      <c r="GQ109" s="418"/>
      <c r="GR109" s="418"/>
      <c r="GS109" s="418"/>
      <c r="GT109" s="418"/>
      <c r="GU109" s="418"/>
      <c r="GV109" s="418"/>
      <c r="GW109" s="418"/>
      <c r="GX109" s="418"/>
      <c r="GY109" s="418"/>
      <c r="GZ109" s="418"/>
      <c r="HA109" s="418"/>
      <c r="HB109" s="418"/>
      <c r="HC109" s="418"/>
      <c r="HD109" s="418"/>
      <c r="HE109" s="418"/>
      <c r="HF109" s="418"/>
      <c r="HG109" s="418"/>
      <c r="HH109" s="418"/>
      <c r="HI109" s="418"/>
      <c r="HJ109" s="418"/>
      <c r="HK109" s="418"/>
      <c r="HL109" s="418"/>
      <c r="HM109" s="418"/>
      <c r="HN109" s="418"/>
      <c r="HO109" s="418"/>
      <c r="HP109" s="418"/>
      <c r="HQ109" s="418"/>
      <c r="HR109" s="418"/>
      <c r="HS109" s="418"/>
      <c r="HT109" s="418"/>
      <c r="HU109" s="418"/>
      <c r="HV109" s="418"/>
      <c r="HW109" s="418"/>
      <c r="HX109" s="418"/>
      <c r="HY109" s="418"/>
      <c r="HZ109" s="418"/>
      <c r="IA109" s="418"/>
      <c r="IB109" s="418"/>
      <c r="IC109" s="418"/>
      <c r="ID109" s="418"/>
      <c r="IE109" s="418"/>
      <c r="IF109" s="418"/>
      <c r="IG109" s="418"/>
      <c r="IH109" s="418"/>
      <c r="II109" s="418"/>
      <c r="IJ109" s="418"/>
      <c r="IK109" s="418"/>
      <c r="IL109" s="418"/>
      <c r="IM109" s="418"/>
      <c r="IN109" s="418"/>
      <c r="IO109" s="418"/>
      <c r="IP109" s="418"/>
      <c r="IQ109" s="418"/>
      <c r="IR109" s="418"/>
      <c r="IS109" s="418"/>
      <c r="IT109" s="418"/>
      <c r="IU109" s="418"/>
      <c r="IV109" s="418"/>
      <c r="IW109" s="418"/>
      <c r="IX109" s="418"/>
      <c r="IY109" s="418"/>
      <c r="IZ109" s="418"/>
      <c r="JA109" s="418"/>
    </row>
    <row r="110" spans="1:261" s="758" customFormat="1" ht="18" customHeight="1" x14ac:dyDescent="0.35">
      <c r="A110" s="773">
        <v>101</v>
      </c>
      <c r="B110" s="766"/>
      <c r="C110" s="420"/>
      <c r="D110" s="2080" t="s">
        <v>1265</v>
      </c>
      <c r="E110" s="430"/>
      <c r="F110" s="762"/>
      <c r="G110" s="431"/>
      <c r="H110" s="999"/>
      <c r="I110" s="759"/>
      <c r="J110" s="759"/>
      <c r="K110" s="759"/>
      <c r="L110" s="759"/>
      <c r="M110" s="1771">
        <v>100000</v>
      </c>
      <c r="N110" s="759"/>
      <c r="O110" s="1599">
        <f t="shared" si="1"/>
        <v>100000</v>
      </c>
      <c r="P110" s="1499"/>
      <c r="Q110" s="418"/>
      <c r="R110" s="418"/>
      <c r="S110" s="418"/>
      <c r="T110" s="418"/>
      <c r="U110" s="418"/>
      <c r="V110" s="418"/>
      <c r="W110" s="418"/>
      <c r="X110" s="418"/>
      <c r="Y110" s="418"/>
      <c r="Z110" s="418"/>
      <c r="AA110" s="418"/>
      <c r="AB110" s="418"/>
      <c r="AC110" s="418"/>
      <c r="AD110" s="418"/>
      <c r="AE110" s="418"/>
      <c r="AF110" s="418"/>
      <c r="AG110" s="418"/>
      <c r="AH110" s="418"/>
      <c r="AI110" s="418"/>
      <c r="AJ110" s="418"/>
      <c r="AK110" s="418"/>
      <c r="AL110" s="418"/>
      <c r="AM110" s="418"/>
      <c r="AN110" s="418"/>
      <c r="AO110" s="418"/>
      <c r="AP110" s="418"/>
      <c r="AQ110" s="418"/>
      <c r="AR110" s="418"/>
      <c r="AS110" s="418"/>
      <c r="AT110" s="418"/>
      <c r="AU110" s="418"/>
      <c r="AV110" s="418"/>
      <c r="AW110" s="418"/>
      <c r="AX110" s="418"/>
      <c r="AY110" s="418"/>
      <c r="AZ110" s="418"/>
      <c r="BA110" s="418"/>
      <c r="BB110" s="418"/>
      <c r="BC110" s="418"/>
      <c r="BD110" s="418"/>
      <c r="BE110" s="418"/>
      <c r="BF110" s="418"/>
      <c r="BG110" s="418"/>
      <c r="BH110" s="418"/>
      <c r="BI110" s="418"/>
      <c r="BJ110" s="418"/>
      <c r="BK110" s="418"/>
      <c r="BL110" s="418"/>
      <c r="BM110" s="418"/>
      <c r="BN110" s="418"/>
      <c r="BO110" s="418"/>
      <c r="BP110" s="418"/>
      <c r="BQ110" s="418"/>
      <c r="BR110" s="418"/>
      <c r="BS110" s="418"/>
      <c r="BT110" s="418"/>
      <c r="BU110" s="418"/>
      <c r="BV110" s="418"/>
      <c r="BW110" s="418"/>
      <c r="BX110" s="418"/>
      <c r="BY110" s="418"/>
      <c r="BZ110" s="418"/>
      <c r="CA110" s="418"/>
      <c r="CB110" s="418"/>
      <c r="CC110" s="418"/>
      <c r="CD110" s="418"/>
      <c r="CE110" s="418"/>
      <c r="CF110" s="418"/>
      <c r="CG110" s="418"/>
      <c r="CH110" s="418"/>
      <c r="CI110" s="418"/>
      <c r="CJ110" s="418"/>
      <c r="CK110" s="418"/>
      <c r="CL110" s="418"/>
      <c r="CM110" s="418"/>
      <c r="CN110" s="418"/>
      <c r="CO110" s="418"/>
      <c r="CP110" s="418"/>
      <c r="CQ110" s="418"/>
      <c r="CR110" s="418"/>
      <c r="CS110" s="418"/>
      <c r="CT110" s="418"/>
      <c r="CU110" s="418"/>
      <c r="CV110" s="418"/>
      <c r="CW110" s="418"/>
      <c r="CX110" s="418"/>
      <c r="CY110" s="418"/>
      <c r="CZ110" s="418"/>
      <c r="DA110" s="418"/>
      <c r="DB110" s="418"/>
      <c r="DC110" s="418"/>
      <c r="DD110" s="418"/>
      <c r="DE110" s="418"/>
      <c r="DF110" s="418"/>
      <c r="DG110" s="418"/>
      <c r="DH110" s="418"/>
      <c r="DI110" s="418"/>
      <c r="DJ110" s="418"/>
      <c r="DK110" s="418"/>
      <c r="DL110" s="418"/>
      <c r="DM110" s="418"/>
      <c r="DN110" s="418"/>
      <c r="DO110" s="418"/>
      <c r="DP110" s="418"/>
      <c r="DQ110" s="418"/>
      <c r="DR110" s="418"/>
      <c r="DS110" s="418"/>
      <c r="DT110" s="418"/>
      <c r="DU110" s="418"/>
      <c r="DV110" s="418"/>
      <c r="DW110" s="418"/>
      <c r="DX110" s="418"/>
      <c r="DY110" s="418"/>
      <c r="DZ110" s="418"/>
      <c r="EA110" s="418"/>
      <c r="EB110" s="418"/>
      <c r="EC110" s="418"/>
      <c r="ED110" s="418"/>
      <c r="EE110" s="418"/>
      <c r="EF110" s="418"/>
      <c r="EG110" s="418"/>
      <c r="EH110" s="418"/>
      <c r="EI110" s="418"/>
      <c r="EJ110" s="418"/>
      <c r="EK110" s="418"/>
      <c r="EL110" s="418"/>
      <c r="EM110" s="418"/>
      <c r="EN110" s="418"/>
      <c r="EO110" s="418"/>
      <c r="EP110" s="418"/>
      <c r="EQ110" s="418"/>
      <c r="ER110" s="418"/>
      <c r="ES110" s="418"/>
      <c r="ET110" s="418"/>
      <c r="EU110" s="418"/>
      <c r="EV110" s="418"/>
      <c r="EW110" s="418"/>
      <c r="EX110" s="418"/>
      <c r="EY110" s="418"/>
      <c r="EZ110" s="418"/>
      <c r="FA110" s="418"/>
      <c r="FB110" s="418"/>
      <c r="FC110" s="418"/>
      <c r="FD110" s="418"/>
      <c r="FE110" s="418"/>
      <c r="FF110" s="418"/>
      <c r="FG110" s="418"/>
      <c r="FH110" s="418"/>
      <c r="FI110" s="418"/>
      <c r="FJ110" s="418"/>
      <c r="FK110" s="418"/>
      <c r="FL110" s="418"/>
      <c r="FM110" s="418"/>
      <c r="FN110" s="418"/>
      <c r="FO110" s="418"/>
      <c r="FP110" s="418"/>
      <c r="FQ110" s="418"/>
      <c r="FR110" s="418"/>
      <c r="FS110" s="418"/>
      <c r="FT110" s="418"/>
      <c r="FU110" s="418"/>
      <c r="FV110" s="418"/>
      <c r="FW110" s="418"/>
      <c r="FX110" s="418"/>
      <c r="FY110" s="418"/>
      <c r="FZ110" s="418"/>
      <c r="GA110" s="418"/>
      <c r="GB110" s="418"/>
      <c r="GC110" s="418"/>
      <c r="GD110" s="418"/>
      <c r="GE110" s="418"/>
      <c r="GF110" s="418"/>
      <c r="GG110" s="418"/>
      <c r="GH110" s="418"/>
      <c r="GI110" s="418"/>
      <c r="GJ110" s="418"/>
      <c r="GK110" s="418"/>
      <c r="GL110" s="418"/>
      <c r="GM110" s="418"/>
      <c r="GN110" s="418"/>
      <c r="GO110" s="418"/>
      <c r="GP110" s="418"/>
      <c r="GQ110" s="418"/>
      <c r="GR110" s="418"/>
      <c r="GS110" s="418"/>
      <c r="GT110" s="418"/>
      <c r="GU110" s="418"/>
      <c r="GV110" s="418"/>
      <c r="GW110" s="418"/>
      <c r="GX110" s="418"/>
      <c r="GY110" s="418"/>
      <c r="GZ110" s="418"/>
      <c r="HA110" s="418"/>
      <c r="HB110" s="418"/>
      <c r="HC110" s="418"/>
      <c r="HD110" s="418"/>
      <c r="HE110" s="418"/>
      <c r="HF110" s="418"/>
      <c r="HG110" s="418"/>
      <c r="HH110" s="418"/>
      <c r="HI110" s="418"/>
      <c r="HJ110" s="418"/>
      <c r="HK110" s="418"/>
      <c r="HL110" s="418"/>
      <c r="HM110" s="418"/>
      <c r="HN110" s="418"/>
      <c r="HO110" s="418"/>
      <c r="HP110" s="418"/>
      <c r="HQ110" s="418"/>
      <c r="HR110" s="418"/>
      <c r="HS110" s="418"/>
      <c r="HT110" s="418"/>
      <c r="HU110" s="418"/>
      <c r="HV110" s="418"/>
      <c r="HW110" s="418"/>
      <c r="HX110" s="418"/>
      <c r="HY110" s="418"/>
      <c r="HZ110" s="418"/>
      <c r="IA110" s="418"/>
      <c r="IB110" s="418"/>
      <c r="IC110" s="418"/>
      <c r="ID110" s="418"/>
      <c r="IE110" s="418"/>
      <c r="IF110" s="418"/>
      <c r="IG110" s="418"/>
      <c r="IH110" s="418"/>
      <c r="II110" s="418"/>
      <c r="IJ110" s="418"/>
      <c r="IK110" s="418"/>
      <c r="IL110" s="418"/>
      <c r="IM110" s="418"/>
      <c r="IN110" s="418"/>
      <c r="IO110" s="418"/>
      <c r="IP110" s="418"/>
      <c r="IQ110" s="418"/>
      <c r="IR110" s="418"/>
      <c r="IS110" s="418"/>
      <c r="IT110" s="418"/>
      <c r="IU110" s="418"/>
      <c r="IV110" s="418"/>
      <c r="IW110" s="418"/>
      <c r="IX110" s="418"/>
      <c r="IY110" s="418"/>
      <c r="IZ110" s="418"/>
      <c r="JA110" s="418"/>
    </row>
    <row r="111" spans="1:261" s="758" customFormat="1" ht="18" customHeight="1" x14ac:dyDescent="0.35">
      <c r="A111" s="773">
        <v>102</v>
      </c>
      <c r="B111" s="766"/>
      <c r="C111" s="420"/>
      <c r="D111" s="2418" t="s">
        <v>1284</v>
      </c>
      <c r="E111" s="2419"/>
      <c r="F111" s="2420"/>
      <c r="G111" s="431"/>
      <c r="H111" s="999"/>
      <c r="I111" s="759"/>
      <c r="J111" s="759"/>
      <c r="K111" s="759"/>
      <c r="L111" s="759"/>
      <c r="M111" s="1771">
        <v>20000</v>
      </c>
      <c r="N111" s="759"/>
      <c r="O111" s="1599">
        <f t="shared" si="1"/>
        <v>20000</v>
      </c>
      <c r="P111" s="1499"/>
      <c r="Q111" s="418"/>
      <c r="R111" s="418"/>
      <c r="S111" s="418"/>
      <c r="T111" s="418"/>
      <c r="U111" s="418"/>
      <c r="V111" s="418"/>
      <c r="W111" s="418"/>
      <c r="X111" s="418"/>
      <c r="Y111" s="418"/>
      <c r="Z111" s="418"/>
      <c r="AA111" s="418"/>
      <c r="AB111" s="418"/>
      <c r="AC111" s="418"/>
      <c r="AD111" s="418"/>
      <c r="AE111" s="418"/>
      <c r="AF111" s="418"/>
      <c r="AG111" s="418"/>
      <c r="AH111" s="418"/>
      <c r="AI111" s="418"/>
      <c r="AJ111" s="418"/>
      <c r="AK111" s="418"/>
      <c r="AL111" s="418"/>
      <c r="AM111" s="418"/>
      <c r="AN111" s="418"/>
      <c r="AO111" s="418"/>
      <c r="AP111" s="418"/>
      <c r="AQ111" s="418"/>
      <c r="AR111" s="418"/>
      <c r="AS111" s="418"/>
      <c r="AT111" s="418"/>
      <c r="AU111" s="418"/>
      <c r="AV111" s="418"/>
      <c r="AW111" s="418"/>
      <c r="AX111" s="418"/>
      <c r="AY111" s="418"/>
      <c r="AZ111" s="418"/>
      <c r="BA111" s="418"/>
      <c r="BB111" s="418"/>
      <c r="BC111" s="418"/>
      <c r="BD111" s="418"/>
      <c r="BE111" s="418"/>
      <c r="BF111" s="418"/>
      <c r="BG111" s="418"/>
      <c r="BH111" s="418"/>
      <c r="BI111" s="418"/>
      <c r="BJ111" s="418"/>
      <c r="BK111" s="418"/>
      <c r="BL111" s="418"/>
      <c r="BM111" s="418"/>
      <c r="BN111" s="418"/>
      <c r="BO111" s="418"/>
      <c r="BP111" s="418"/>
      <c r="BQ111" s="418"/>
      <c r="BR111" s="418"/>
      <c r="BS111" s="418"/>
      <c r="BT111" s="418"/>
      <c r="BU111" s="418"/>
      <c r="BV111" s="418"/>
      <c r="BW111" s="418"/>
      <c r="BX111" s="418"/>
      <c r="BY111" s="418"/>
      <c r="BZ111" s="418"/>
      <c r="CA111" s="418"/>
      <c r="CB111" s="418"/>
      <c r="CC111" s="418"/>
      <c r="CD111" s="418"/>
      <c r="CE111" s="418"/>
      <c r="CF111" s="418"/>
      <c r="CG111" s="418"/>
      <c r="CH111" s="418"/>
      <c r="CI111" s="418"/>
      <c r="CJ111" s="418"/>
      <c r="CK111" s="418"/>
      <c r="CL111" s="418"/>
      <c r="CM111" s="418"/>
      <c r="CN111" s="418"/>
      <c r="CO111" s="418"/>
      <c r="CP111" s="418"/>
      <c r="CQ111" s="418"/>
      <c r="CR111" s="418"/>
      <c r="CS111" s="418"/>
      <c r="CT111" s="418"/>
      <c r="CU111" s="418"/>
      <c r="CV111" s="418"/>
      <c r="CW111" s="418"/>
      <c r="CX111" s="418"/>
      <c r="CY111" s="418"/>
      <c r="CZ111" s="418"/>
      <c r="DA111" s="418"/>
      <c r="DB111" s="418"/>
      <c r="DC111" s="418"/>
      <c r="DD111" s="418"/>
      <c r="DE111" s="418"/>
      <c r="DF111" s="418"/>
      <c r="DG111" s="418"/>
      <c r="DH111" s="418"/>
      <c r="DI111" s="418"/>
      <c r="DJ111" s="418"/>
      <c r="DK111" s="418"/>
      <c r="DL111" s="418"/>
      <c r="DM111" s="418"/>
      <c r="DN111" s="418"/>
      <c r="DO111" s="418"/>
      <c r="DP111" s="418"/>
      <c r="DQ111" s="418"/>
      <c r="DR111" s="418"/>
      <c r="DS111" s="418"/>
      <c r="DT111" s="418"/>
      <c r="DU111" s="418"/>
      <c r="DV111" s="418"/>
      <c r="DW111" s="418"/>
      <c r="DX111" s="418"/>
      <c r="DY111" s="418"/>
      <c r="DZ111" s="418"/>
      <c r="EA111" s="418"/>
      <c r="EB111" s="418"/>
      <c r="EC111" s="418"/>
      <c r="ED111" s="418"/>
      <c r="EE111" s="418"/>
      <c r="EF111" s="418"/>
      <c r="EG111" s="418"/>
      <c r="EH111" s="418"/>
      <c r="EI111" s="418"/>
      <c r="EJ111" s="418"/>
      <c r="EK111" s="418"/>
      <c r="EL111" s="418"/>
      <c r="EM111" s="418"/>
      <c r="EN111" s="418"/>
      <c r="EO111" s="418"/>
      <c r="EP111" s="418"/>
      <c r="EQ111" s="418"/>
      <c r="ER111" s="418"/>
      <c r="ES111" s="418"/>
      <c r="ET111" s="418"/>
      <c r="EU111" s="418"/>
      <c r="EV111" s="418"/>
      <c r="EW111" s="418"/>
      <c r="EX111" s="418"/>
      <c r="EY111" s="418"/>
      <c r="EZ111" s="418"/>
      <c r="FA111" s="418"/>
      <c r="FB111" s="418"/>
      <c r="FC111" s="418"/>
      <c r="FD111" s="418"/>
      <c r="FE111" s="418"/>
      <c r="FF111" s="418"/>
      <c r="FG111" s="418"/>
      <c r="FH111" s="418"/>
      <c r="FI111" s="418"/>
      <c r="FJ111" s="418"/>
      <c r="FK111" s="418"/>
      <c r="FL111" s="418"/>
      <c r="FM111" s="418"/>
      <c r="FN111" s="418"/>
      <c r="FO111" s="418"/>
      <c r="FP111" s="418"/>
      <c r="FQ111" s="418"/>
      <c r="FR111" s="418"/>
      <c r="FS111" s="418"/>
      <c r="FT111" s="418"/>
      <c r="FU111" s="418"/>
      <c r="FV111" s="418"/>
      <c r="FW111" s="418"/>
      <c r="FX111" s="418"/>
      <c r="FY111" s="418"/>
      <c r="FZ111" s="418"/>
      <c r="GA111" s="418"/>
      <c r="GB111" s="418"/>
      <c r="GC111" s="418"/>
      <c r="GD111" s="418"/>
      <c r="GE111" s="418"/>
      <c r="GF111" s="418"/>
      <c r="GG111" s="418"/>
      <c r="GH111" s="418"/>
      <c r="GI111" s="418"/>
      <c r="GJ111" s="418"/>
      <c r="GK111" s="418"/>
      <c r="GL111" s="418"/>
      <c r="GM111" s="418"/>
      <c r="GN111" s="418"/>
      <c r="GO111" s="418"/>
      <c r="GP111" s="418"/>
      <c r="GQ111" s="418"/>
      <c r="GR111" s="418"/>
      <c r="GS111" s="418"/>
      <c r="GT111" s="418"/>
      <c r="GU111" s="418"/>
      <c r="GV111" s="418"/>
      <c r="GW111" s="418"/>
      <c r="GX111" s="418"/>
      <c r="GY111" s="418"/>
      <c r="GZ111" s="418"/>
      <c r="HA111" s="418"/>
      <c r="HB111" s="418"/>
      <c r="HC111" s="418"/>
      <c r="HD111" s="418"/>
      <c r="HE111" s="418"/>
      <c r="HF111" s="418"/>
      <c r="HG111" s="418"/>
      <c r="HH111" s="418"/>
      <c r="HI111" s="418"/>
      <c r="HJ111" s="418"/>
      <c r="HK111" s="418"/>
      <c r="HL111" s="418"/>
      <c r="HM111" s="418"/>
      <c r="HN111" s="418"/>
      <c r="HO111" s="418"/>
      <c r="HP111" s="418"/>
      <c r="HQ111" s="418"/>
      <c r="HR111" s="418"/>
      <c r="HS111" s="418"/>
      <c r="HT111" s="418"/>
      <c r="HU111" s="418"/>
      <c r="HV111" s="418"/>
      <c r="HW111" s="418"/>
      <c r="HX111" s="418"/>
      <c r="HY111" s="418"/>
      <c r="HZ111" s="418"/>
      <c r="IA111" s="418"/>
      <c r="IB111" s="418"/>
      <c r="IC111" s="418"/>
      <c r="ID111" s="418"/>
      <c r="IE111" s="418"/>
      <c r="IF111" s="418"/>
      <c r="IG111" s="418"/>
      <c r="IH111" s="418"/>
      <c r="II111" s="418"/>
      <c r="IJ111" s="418"/>
      <c r="IK111" s="418"/>
      <c r="IL111" s="418"/>
      <c r="IM111" s="418"/>
      <c r="IN111" s="418"/>
      <c r="IO111" s="418"/>
      <c r="IP111" s="418"/>
      <c r="IQ111" s="418"/>
      <c r="IR111" s="418"/>
      <c r="IS111" s="418"/>
      <c r="IT111" s="418"/>
      <c r="IU111" s="418"/>
      <c r="IV111" s="418"/>
      <c r="IW111" s="418"/>
      <c r="IX111" s="418"/>
      <c r="IY111" s="418"/>
      <c r="IZ111" s="418"/>
      <c r="JA111" s="418"/>
    </row>
    <row r="112" spans="1:261" s="758" customFormat="1" ht="18" customHeight="1" x14ac:dyDescent="0.35">
      <c r="A112" s="773">
        <v>103</v>
      </c>
      <c r="B112" s="766"/>
      <c r="C112" s="420"/>
      <c r="D112" s="2080" t="s">
        <v>1275</v>
      </c>
      <c r="E112" s="430"/>
      <c r="F112" s="762"/>
      <c r="G112" s="431"/>
      <c r="H112" s="999"/>
      <c r="I112" s="759"/>
      <c r="J112" s="759"/>
      <c r="K112" s="759"/>
      <c r="L112" s="759"/>
      <c r="M112" s="1771">
        <v>50000</v>
      </c>
      <c r="N112" s="759"/>
      <c r="O112" s="1599">
        <f t="shared" si="1"/>
        <v>50000</v>
      </c>
      <c r="P112" s="1499"/>
      <c r="Q112" s="418"/>
      <c r="R112" s="418"/>
      <c r="S112" s="418"/>
      <c r="T112" s="418"/>
      <c r="U112" s="418"/>
      <c r="V112" s="418"/>
      <c r="W112" s="418"/>
      <c r="X112" s="418"/>
      <c r="Y112" s="418"/>
      <c r="Z112" s="418"/>
      <c r="AA112" s="418"/>
      <c r="AB112" s="418"/>
      <c r="AC112" s="418"/>
      <c r="AD112" s="418"/>
      <c r="AE112" s="418"/>
      <c r="AF112" s="418"/>
      <c r="AG112" s="418"/>
      <c r="AH112" s="418"/>
      <c r="AI112" s="418"/>
      <c r="AJ112" s="418"/>
      <c r="AK112" s="418"/>
      <c r="AL112" s="418"/>
      <c r="AM112" s="418"/>
      <c r="AN112" s="418"/>
      <c r="AO112" s="418"/>
      <c r="AP112" s="418"/>
      <c r="AQ112" s="418"/>
      <c r="AR112" s="418"/>
      <c r="AS112" s="418"/>
      <c r="AT112" s="418"/>
      <c r="AU112" s="418"/>
      <c r="AV112" s="418"/>
      <c r="AW112" s="418"/>
      <c r="AX112" s="418"/>
      <c r="AY112" s="418"/>
      <c r="AZ112" s="418"/>
      <c r="BA112" s="418"/>
      <c r="BB112" s="418"/>
      <c r="BC112" s="418"/>
      <c r="BD112" s="418"/>
      <c r="BE112" s="418"/>
      <c r="BF112" s="418"/>
      <c r="BG112" s="418"/>
      <c r="BH112" s="418"/>
      <c r="BI112" s="418"/>
      <c r="BJ112" s="418"/>
      <c r="BK112" s="418"/>
      <c r="BL112" s="418"/>
      <c r="BM112" s="418"/>
      <c r="BN112" s="418"/>
      <c r="BO112" s="418"/>
      <c r="BP112" s="418"/>
      <c r="BQ112" s="418"/>
      <c r="BR112" s="418"/>
      <c r="BS112" s="418"/>
      <c r="BT112" s="418"/>
      <c r="BU112" s="418"/>
      <c r="BV112" s="418"/>
      <c r="BW112" s="418"/>
      <c r="BX112" s="418"/>
      <c r="BY112" s="418"/>
      <c r="BZ112" s="418"/>
      <c r="CA112" s="418"/>
      <c r="CB112" s="418"/>
      <c r="CC112" s="418"/>
      <c r="CD112" s="418"/>
      <c r="CE112" s="418"/>
      <c r="CF112" s="418"/>
      <c r="CG112" s="418"/>
      <c r="CH112" s="418"/>
      <c r="CI112" s="418"/>
      <c r="CJ112" s="418"/>
      <c r="CK112" s="418"/>
      <c r="CL112" s="418"/>
      <c r="CM112" s="418"/>
      <c r="CN112" s="418"/>
      <c r="CO112" s="418"/>
      <c r="CP112" s="418"/>
      <c r="CQ112" s="418"/>
      <c r="CR112" s="418"/>
      <c r="CS112" s="418"/>
      <c r="CT112" s="418"/>
      <c r="CU112" s="418"/>
      <c r="CV112" s="418"/>
      <c r="CW112" s="418"/>
      <c r="CX112" s="418"/>
      <c r="CY112" s="418"/>
      <c r="CZ112" s="418"/>
      <c r="DA112" s="418"/>
      <c r="DB112" s="418"/>
      <c r="DC112" s="418"/>
      <c r="DD112" s="418"/>
      <c r="DE112" s="418"/>
      <c r="DF112" s="418"/>
      <c r="DG112" s="418"/>
      <c r="DH112" s="418"/>
      <c r="DI112" s="418"/>
      <c r="DJ112" s="418"/>
      <c r="DK112" s="418"/>
      <c r="DL112" s="418"/>
      <c r="DM112" s="418"/>
      <c r="DN112" s="418"/>
      <c r="DO112" s="418"/>
      <c r="DP112" s="418"/>
      <c r="DQ112" s="418"/>
      <c r="DR112" s="418"/>
      <c r="DS112" s="418"/>
      <c r="DT112" s="418"/>
      <c r="DU112" s="418"/>
      <c r="DV112" s="418"/>
      <c r="DW112" s="418"/>
      <c r="DX112" s="418"/>
      <c r="DY112" s="418"/>
      <c r="DZ112" s="418"/>
      <c r="EA112" s="418"/>
      <c r="EB112" s="418"/>
      <c r="EC112" s="418"/>
      <c r="ED112" s="418"/>
      <c r="EE112" s="418"/>
      <c r="EF112" s="418"/>
      <c r="EG112" s="418"/>
      <c r="EH112" s="418"/>
      <c r="EI112" s="418"/>
      <c r="EJ112" s="418"/>
      <c r="EK112" s="418"/>
      <c r="EL112" s="418"/>
      <c r="EM112" s="418"/>
      <c r="EN112" s="418"/>
      <c r="EO112" s="418"/>
      <c r="EP112" s="418"/>
      <c r="EQ112" s="418"/>
      <c r="ER112" s="418"/>
      <c r="ES112" s="418"/>
      <c r="ET112" s="418"/>
      <c r="EU112" s="418"/>
      <c r="EV112" s="418"/>
      <c r="EW112" s="418"/>
      <c r="EX112" s="418"/>
      <c r="EY112" s="418"/>
      <c r="EZ112" s="418"/>
      <c r="FA112" s="418"/>
      <c r="FB112" s="418"/>
      <c r="FC112" s="418"/>
      <c r="FD112" s="418"/>
      <c r="FE112" s="418"/>
      <c r="FF112" s="418"/>
      <c r="FG112" s="418"/>
      <c r="FH112" s="418"/>
      <c r="FI112" s="418"/>
      <c r="FJ112" s="418"/>
      <c r="FK112" s="418"/>
      <c r="FL112" s="418"/>
      <c r="FM112" s="418"/>
      <c r="FN112" s="418"/>
      <c r="FO112" s="418"/>
      <c r="FP112" s="418"/>
      <c r="FQ112" s="418"/>
      <c r="FR112" s="418"/>
      <c r="FS112" s="418"/>
      <c r="FT112" s="418"/>
      <c r="FU112" s="418"/>
      <c r="FV112" s="418"/>
      <c r="FW112" s="418"/>
      <c r="FX112" s="418"/>
      <c r="FY112" s="418"/>
      <c r="FZ112" s="418"/>
      <c r="GA112" s="418"/>
      <c r="GB112" s="418"/>
      <c r="GC112" s="418"/>
      <c r="GD112" s="418"/>
      <c r="GE112" s="418"/>
      <c r="GF112" s="418"/>
      <c r="GG112" s="418"/>
      <c r="GH112" s="418"/>
      <c r="GI112" s="418"/>
      <c r="GJ112" s="418"/>
      <c r="GK112" s="418"/>
      <c r="GL112" s="418"/>
      <c r="GM112" s="418"/>
      <c r="GN112" s="418"/>
      <c r="GO112" s="418"/>
      <c r="GP112" s="418"/>
      <c r="GQ112" s="418"/>
      <c r="GR112" s="418"/>
      <c r="GS112" s="418"/>
      <c r="GT112" s="418"/>
      <c r="GU112" s="418"/>
      <c r="GV112" s="418"/>
      <c r="GW112" s="418"/>
      <c r="GX112" s="418"/>
      <c r="GY112" s="418"/>
      <c r="GZ112" s="418"/>
      <c r="HA112" s="418"/>
      <c r="HB112" s="418"/>
      <c r="HC112" s="418"/>
      <c r="HD112" s="418"/>
      <c r="HE112" s="418"/>
      <c r="HF112" s="418"/>
      <c r="HG112" s="418"/>
      <c r="HH112" s="418"/>
      <c r="HI112" s="418"/>
      <c r="HJ112" s="418"/>
      <c r="HK112" s="418"/>
      <c r="HL112" s="418"/>
      <c r="HM112" s="418"/>
      <c r="HN112" s="418"/>
      <c r="HO112" s="418"/>
      <c r="HP112" s="418"/>
      <c r="HQ112" s="418"/>
      <c r="HR112" s="418"/>
      <c r="HS112" s="418"/>
      <c r="HT112" s="418"/>
      <c r="HU112" s="418"/>
      <c r="HV112" s="418"/>
      <c r="HW112" s="418"/>
      <c r="HX112" s="418"/>
      <c r="HY112" s="418"/>
      <c r="HZ112" s="418"/>
      <c r="IA112" s="418"/>
      <c r="IB112" s="418"/>
      <c r="IC112" s="418"/>
      <c r="ID112" s="418"/>
      <c r="IE112" s="418"/>
      <c r="IF112" s="418"/>
      <c r="IG112" s="418"/>
      <c r="IH112" s="418"/>
      <c r="II112" s="418"/>
      <c r="IJ112" s="418"/>
      <c r="IK112" s="418"/>
      <c r="IL112" s="418"/>
      <c r="IM112" s="418"/>
      <c r="IN112" s="418"/>
      <c r="IO112" s="418"/>
      <c r="IP112" s="418"/>
      <c r="IQ112" s="418"/>
      <c r="IR112" s="418"/>
      <c r="IS112" s="418"/>
      <c r="IT112" s="418"/>
      <c r="IU112" s="418"/>
      <c r="IV112" s="418"/>
      <c r="IW112" s="418"/>
      <c r="IX112" s="418"/>
      <c r="IY112" s="418"/>
      <c r="IZ112" s="418"/>
      <c r="JA112" s="418"/>
    </row>
    <row r="113" spans="1:261" s="758" customFormat="1" ht="18" customHeight="1" thickBot="1" x14ac:dyDescent="0.4">
      <c r="A113" s="773">
        <v>104</v>
      </c>
      <c r="B113" s="766"/>
      <c r="C113" s="420"/>
      <c r="D113" s="2080" t="s">
        <v>1267</v>
      </c>
      <c r="E113" s="430"/>
      <c r="F113" s="762"/>
      <c r="G113" s="431"/>
      <c r="H113" s="999"/>
      <c r="I113" s="759"/>
      <c r="J113" s="759"/>
      <c r="K113" s="759"/>
      <c r="L113" s="759"/>
      <c r="M113" s="1771">
        <v>200436</v>
      </c>
      <c r="N113" s="759"/>
      <c r="O113" s="1599">
        <f t="shared" si="1"/>
        <v>200436</v>
      </c>
      <c r="P113" s="1499"/>
      <c r="Q113" s="418"/>
      <c r="R113" s="418"/>
      <c r="S113" s="418"/>
      <c r="T113" s="418"/>
      <c r="U113" s="418"/>
      <c r="V113" s="418"/>
      <c r="W113" s="418"/>
      <c r="X113" s="418"/>
      <c r="Y113" s="418"/>
      <c r="Z113" s="418"/>
      <c r="AA113" s="418"/>
      <c r="AB113" s="418"/>
      <c r="AC113" s="418"/>
      <c r="AD113" s="418"/>
      <c r="AE113" s="418"/>
      <c r="AF113" s="418"/>
      <c r="AG113" s="418"/>
      <c r="AH113" s="418"/>
      <c r="AI113" s="418"/>
      <c r="AJ113" s="418"/>
      <c r="AK113" s="418"/>
      <c r="AL113" s="418"/>
      <c r="AM113" s="418"/>
      <c r="AN113" s="418"/>
      <c r="AO113" s="418"/>
      <c r="AP113" s="418"/>
      <c r="AQ113" s="418"/>
      <c r="AR113" s="418"/>
      <c r="AS113" s="418"/>
      <c r="AT113" s="418"/>
      <c r="AU113" s="418"/>
      <c r="AV113" s="418"/>
      <c r="AW113" s="418"/>
      <c r="AX113" s="418"/>
      <c r="AY113" s="418"/>
      <c r="AZ113" s="418"/>
      <c r="BA113" s="418"/>
      <c r="BB113" s="418"/>
      <c r="BC113" s="418"/>
      <c r="BD113" s="418"/>
      <c r="BE113" s="418"/>
      <c r="BF113" s="418"/>
      <c r="BG113" s="418"/>
      <c r="BH113" s="418"/>
      <c r="BI113" s="418"/>
      <c r="BJ113" s="418"/>
      <c r="BK113" s="418"/>
      <c r="BL113" s="418"/>
      <c r="BM113" s="418"/>
      <c r="BN113" s="418"/>
      <c r="BO113" s="418"/>
      <c r="BP113" s="418"/>
      <c r="BQ113" s="418"/>
      <c r="BR113" s="418"/>
      <c r="BS113" s="418"/>
      <c r="BT113" s="418"/>
      <c r="BU113" s="418"/>
      <c r="BV113" s="418"/>
      <c r="BW113" s="418"/>
      <c r="BX113" s="418"/>
      <c r="BY113" s="418"/>
      <c r="BZ113" s="418"/>
      <c r="CA113" s="418"/>
      <c r="CB113" s="418"/>
      <c r="CC113" s="418"/>
      <c r="CD113" s="418"/>
      <c r="CE113" s="418"/>
      <c r="CF113" s="418"/>
      <c r="CG113" s="418"/>
      <c r="CH113" s="418"/>
      <c r="CI113" s="418"/>
      <c r="CJ113" s="418"/>
      <c r="CK113" s="418"/>
      <c r="CL113" s="418"/>
      <c r="CM113" s="418"/>
      <c r="CN113" s="418"/>
      <c r="CO113" s="418"/>
      <c r="CP113" s="418"/>
      <c r="CQ113" s="418"/>
      <c r="CR113" s="418"/>
      <c r="CS113" s="418"/>
      <c r="CT113" s="418"/>
      <c r="CU113" s="418"/>
      <c r="CV113" s="418"/>
      <c r="CW113" s="418"/>
      <c r="CX113" s="418"/>
      <c r="CY113" s="418"/>
      <c r="CZ113" s="418"/>
      <c r="DA113" s="418"/>
      <c r="DB113" s="418"/>
      <c r="DC113" s="418"/>
      <c r="DD113" s="418"/>
      <c r="DE113" s="418"/>
      <c r="DF113" s="418"/>
      <c r="DG113" s="418"/>
      <c r="DH113" s="418"/>
      <c r="DI113" s="418"/>
      <c r="DJ113" s="418"/>
      <c r="DK113" s="418"/>
      <c r="DL113" s="418"/>
      <c r="DM113" s="418"/>
      <c r="DN113" s="418"/>
      <c r="DO113" s="418"/>
      <c r="DP113" s="418"/>
      <c r="DQ113" s="418"/>
      <c r="DR113" s="418"/>
      <c r="DS113" s="418"/>
      <c r="DT113" s="418"/>
      <c r="DU113" s="418"/>
      <c r="DV113" s="418"/>
      <c r="DW113" s="418"/>
      <c r="DX113" s="418"/>
      <c r="DY113" s="418"/>
      <c r="DZ113" s="418"/>
      <c r="EA113" s="418"/>
      <c r="EB113" s="418"/>
      <c r="EC113" s="418"/>
      <c r="ED113" s="418"/>
      <c r="EE113" s="418"/>
      <c r="EF113" s="418"/>
      <c r="EG113" s="418"/>
      <c r="EH113" s="418"/>
      <c r="EI113" s="418"/>
      <c r="EJ113" s="418"/>
      <c r="EK113" s="418"/>
      <c r="EL113" s="418"/>
      <c r="EM113" s="418"/>
      <c r="EN113" s="418"/>
      <c r="EO113" s="418"/>
      <c r="EP113" s="418"/>
      <c r="EQ113" s="418"/>
      <c r="ER113" s="418"/>
      <c r="ES113" s="418"/>
      <c r="ET113" s="418"/>
      <c r="EU113" s="418"/>
      <c r="EV113" s="418"/>
      <c r="EW113" s="418"/>
      <c r="EX113" s="418"/>
      <c r="EY113" s="418"/>
      <c r="EZ113" s="418"/>
      <c r="FA113" s="418"/>
      <c r="FB113" s="418"/>
      <c r="FC113" s="418"/>
      <c r="FD113" s="418"/>
      <c r="FE113" s="418"/>
      <c r="FF113" s="418"/>
      <c r="FG113" s="418"/>
      <c r="FH113" s="418"/>
      <c r="FI113" s="418"/>
      <c r="FJ113" s="418"/>
      <c r="FK113" s="418"/>
      <c r="FL113" s="418"/>
      <c r="FM113" s="418"/>
      <c r="FN113" s="418"/>
      <c r="FO113" s="418"/>
      <c r="FP113" s="418"/>
      <c r="FQ113" s="418"/>
      <c r="FR113" s="418"/>
      <c r="FS113" s="418"/>
      <c r="FT113" s="418"/>
      <c r="FU113" s="418"/>
      <c r="FV113" s="418"/>
      <c r="FW113" s="418"/>
      <c r="FX113" s="418"/>
      <c r="FY113" s="418"/>
      <c r="FZ113" s="418"/>
      <c r="GA113" s="418"/>
      <c r="GB113" s="418"/>
      <c r="GC113" s="418"/>
      <c r="GD113" s="418"/>
      <c r="GE113" s="418"/>
      <c r="GF113" s="418"/>
      <c r="GG113" s="418"/>
      <c r="GH113" s="418"/>
      <c r="GI113" s="418"/>
      <c r="GJ113" s="418"/>
      <c r="GK113" s="418"/>
      <c r="GL113" s="418"/>
      <c r="GM113" s="418"/>
      <c r="GN113" s="418"/>
      <c r="GO113" s="418"/>
      <c r="GP113" s="418"/>
      <c r="GQ113" s="418"/>
      <c r="GR113" s="418"/>
      <c r="GS113" s="418"/>
      <c r="GT113" s="418"/>
      <c r="GU113" s="418"/>
      <c r="GV113" s="418"/>
      <c r="GW113" s="418"/>
      <c r="GX113" s="418"/>
      <c r="GY113" s="418"/>
      <c r="GZ113" s="418"/>
      <c r="HA113" s="418"/>
      <c r="HB113" s="418"/>
      <c r="HC113" s="418"/>
      <c r="HD113" s="418"/>
      <c r="HE113" s="418"/>
      <c r="HF113" s="418"/>
      <c r="HG113" s="418"/>
      <c r="HH113" s="418"/>
      <c r="HI113" s="418"/>
      <c r="HJ113" s="418"/>
      <c r="HK113" s="418"/>
      <c r="HL113" s="418"/>
      <c r="HM113" s="418"/>
      <c r="HN113" s="418"/>
      <c r="HO113" s="418"/>
      <c r="HP113" s="418"/>
      <c r="HQ113" s="418"/>
      <c r="HR113" s="418"/>
      <c r="HS113" s="418"/>
      <c r="HT113" s="418"/>
      <c r="HU113" s="418"/>
      <c r="HV113" s="418"/>
      <c r="HW113" s="418"/>
      <c r="HX113" s="418"/>
      <c r="HY113" s="418"/>
      <c r="HZ113" s="418"/>
      <c r="IA113" s="418"/>
      <c r="IB113" s="418"/>
      <c r="IC113" s="418"/>
      <c r="ID113" s="418"/>
      <c r="IE113" s="418"/>
      <c r="IF113" s="418"/>
      <c r="IG113" s="418"/>
      <c r="IH113" s="418"/>
      <c r="II113" s="418"/>
      <c r="IJ113" s="418"/>
      <c r="IK113" s="418"/>
      <c r="IL113" s="418"/>
      <c r="IM113" s="418"/>
      <c r="IN113" s="418"/>
      <c r="IO113" s="418"/>
      <c r="IP113" s="418"/>
      <c r="IQ113" s="418"/>
      <c r="IR113" s="418"/>
      <c r="IS113" s="418"/>
      <c r="IT113" s="418"/>
      <c r="IU113" s="418"/>
      <c r="IV113" s="418"/>
      <c r="IW113" s="418"/>
      <c r="IX113" s="418"/>
      <c r="IY113" s="418"/>
      <c r="IZ113" s="418"/>
      <c r="JA113" s="418"/>
    </row>
    <row r="114" spans="1:261" s="423" customFormat="1" ht="20.100000000000001" customHeight="1" x14ac:dyDescent="0.2">
      <c r="A114" s="773">
        <v>105</v>
      </c>
      <c r="B114" s="2406" t="s">
        <v>13</v>
      </c>
      <c r="C114" s="2407"/>
      <c r="D114" s="2407"/>
      <c r="E114" s="2407"/>
      <c r="F114" s="2407"/>
      <c r="G114" s="2408"/>
      <c r="H114" s="1506"/>
      <c r="I114" s="1918"/>
      <c r="J114" s="1918"/>
      <c r="K114" s="1918"/>
      <c r="L114" s="1918"/>
      <c r="M114" s="1918"/>
      <c r="N114" s="1918"/>
      <c r="O114" s="1918"/>
      <c r="P114" s="1558"/>
    </row>
    <row r="115" spans="1:261" s="423" customFormat="1" ht="20.100000000000001" customHeight="1" x14ac:dyDescent="0.3">
      <c r="A115" s="773">
        <v>106</v>
      </c>
      <c r="B115" s="1820"/>
      <c r="C115" s="1821"/>
      <c r="D115" s="2399" t="s">
        <v>308</v>
      </c>
      <c r="E115" s="2400"/>
      <c r="F115" s="2400"/>
      <c r="G115" s="2401"/>
      <c r="H115" s="1828"/>
      <c r="I115" s="1916">
        <f t="shared" ref="I115:O115" si="2">I72+I67+I62+I57+I52+I47+I42+I37+I32+I27+I22+I17+I12</f>
        <v>0</v>
      </c>
      <c r="J115" s="1916">
        <f t="shared" si="2"/>
        <v>0</v>
      </c>
      <c r="K115" s="1916">
        <f t="shared" si="2"/>
        <v>39215</v>
      </c>
      <c r="L115" s="1916">
        <f t="shared" si="2"/>
        <v>0</v>
      </c>
      <c r="M115" s="1916">
        <f t="shared" si="2"/>
        <v>7494559</v>
      </c>
      <c r="N115" s="1916">
        <f t="shared" si="2"/>
        <v>40493</v>
      </c>
      <c r="O115" s="1919">
        <f t="shared" si="2"/>
        <v>7574267</v>
      </c>
      <c r="P115" s="1829">
        <f>SUM(P10:P114)</f>
        <v>17916034</v>
      </c>
    </row>
    <row r="116" spans="1:261" s="423" customFormat="1" ht="20.100000000000001" customHeight="1" x14ac:dyDescent="0.3">
      <c r="A116" s="773">
        <v>107</v>
      </c>
      <c r="B116" s="1820"/>
      <c r="C116" s="1821"/>
      <c r="D116" s="576" t="s">
        <v>1158</v>
      </c>
      <c r="E116" s="2133"/>
      <c r="F116" s="2133"/>
      <c r="G116" s="2134"/>
      <c r="H116" s="1828"/>
      <c r="I116" s="1827">
        <f t="shared" ref="I116:O116" si="3">I73+I68+I63+I58+I53+I48+I43+I38+I33+I28+I23+I18+I13+I77+I82+I86</f>
        <v>0</v>
      </c>
      <c r="J116" s="1827">
        <f t="shared" si="3"/>
        <v>0</v>
      </c>
      <c r="K116" s="1827">
        <f t="shared" si="3"/>
        <v>144545</v>
      </c>
      <c r="L116" s="1827">
        <f t="shared" si="3"/>
        <v>0</v>
      </c>
      <c r="M116" s="1827">
        <f t="shared" si="3"/>
        <v>12096010</v>
      </c>
      <c r="N116" s="1827">
        <f t="shared" si="3"/>
        <v>40493</v>
      </c>
      <c r="O116" s="1516">
        <f t="shared" si="3"/>
        <v>12281048</v>
      </c>
      <c r="P116" s="1829"/>
    </row>
    <row r="117" spans="1:261" s="423" customFormat="1" ht="20.100000000000001" customHeight="1" x14ac:dyDescent="0.3">
      <c r="A117" s="773">
        <v>108</v>
      </c>
      <c r="B117" s="1510"/>
      <c r="C117" s="1511"/>
      <c r="D117" s="2283" t="s">
        <v>947</v>
      </c>
      <c r="E117" s="2402"/>
      <c r="F117" s="2402"/>
      <c r="G117" s="2403"/>
      <c r="H117" s="1507"/>
      <c r="I117" s="1321">
        <f>I74+I69+I64+I59+I54+I49+I44+I39+I34+I29+I24+I19+I14+I87+I83+I78+I90+I93+I96+I99+I103+I106</f>
        <v>0</v>
      </c>
      <c r="J117" s="1321">
        <f t="shared" ref="J117:N117" si="4">J74+J69+J64+J59+J54+J49+J44+J39+J34+J29+J24+J19+J14+J87+J83+J78+J90+J93+J96+J99+J103+J106</f>
        <v>0</v>
      </c>
      <c r="K117" s="1321">
        <f t="shared" si="4"/>
        <v>311</v>
      </c>
      <c r="L117" s="1321">
        <f t="shared" si="4"/>
        <v>0</v>
      </c>
      <c r="M117" s="1321">
        <f t="shared" si="4"/>
        <v>1384683</v>
      </c>
      <c r="N117" s="1321">
        <f t="shared" si="4"/>
        <v>0</v>
      </c>
      <c r="O117" s="1942">
        <f>I117+J117+K117+L117+M117+N117</f>
        <v>1384994</v>
      </c>
      <c r="P117" s="1514"/>
    </row>
    <row r="118" spans="1:261" s="423" customFormat="1" ht="20.100000000000001" customHeight="1" thickBot="1" x14ac:dyDescent="0.35">
      <c r="A118" s="773">
        <v>109</v>
      </c>
      <c r="B118" s="1512"/>
      <c r="C118" s="1513"/>
      <c r="D118" s="2318" t="s">
        <v>1250</v>
      </c>
      <c r="E118" s="2404"/>
      <c r="F118" s="2404"/>
      <c r="G118" s="2405"/>
      <c r="H118" s="1508"/>
      <c r="I118" s="1509">
        <f>SUM(I116:I117)</f>
        <v>0</v>
      </c>
      <c r="J118" s="1509">
        <f t="shared" ref="J118:O118" si="5">SUM(J116:J117)</f>
        <v>0</v>
      </c>
      <c r="K118" s="1509">
        <f t="shared" si="5"/>
        <v>144856</v>
      </c>
      <c r="L118" s="1509">
        <f t="shared" si="5"/>
        <v>0</v>
      </c>
      <c r="M118" s="1509">
        <f t="shared" si="5"/>
        <v>13480693</v>
      </c>
      <c r="N118" s="1509">
        <f t="shared" si="5"/>
        <v>40493</v>
      </c>
      <c r="O118" s="1517">
        <f t="shared" si="5"/>
        <v>13666042</v>
      </c>
      <c r="P118" s="1515"/>
    </row>
    <row r="119" spans="1:261" ht="18" customHeight="1" x14ac:dyDescent="0.35">
      <c r="B119" s="764" t="s">
        <v>27</v>
      </c>
      <c r="C119" s="765"/>
      <c r="D119" s="764"/>
      <c r="E119" s="432"/>
      <c r="F119" s="433"/>
      <c r="G119" s="432"/>
      <c r="H119" s="751"/>
      <c r="I119" s="432"/>
      <c r="J119" s="432"/>
      <c r="K119" s="432"/>
      <c r="L119" s="432"/>
      <c r="M119" s="432"/>
      <c r="N119" s="432"/>
      <c r="O119" s="775"/>
    </row>
    <row r="120" spans="1:261" ht="18" customHeight="1" x14ac:dyDescent="0.35">
      <c r="B120" s="764" t="s">
        <v>28</v>
      </c>
      <c r="C120" s="765"/>
      <c r="D120" s="764"/>
      <c r="E120" s="635"/>
      <c r="F120" s="433"/>
      <c r="G120" s="432"/>
      <c r="H120" s="751"/>
      <c r="I120" s="432"/>
      <c r="J120" s="432"/>
      <c r="K120" s="432"/>
      <c r="L120" s="432"/>
      <c r="M120" s="432"/>
      <c r="N120" s="432"/>
      <c r="O120" s="775"/>
    </row>
    <row r="121" spans="1:261" ht="18" customHeight="1" x14ac:dyDescent="0.35">
      <c r="B121" s="764" t="s">
        <v>29</v>
      </c>
      <c r="C121" s="765"/>
      <c r="D121" s="764"/>
      <c r="E121" s="635"/>
      <c r="F121" s="433"/>
      <c r="G121" s="432"/>
      <c r="H121" s="751"/>
      <c r="I121" s="432"/>
      <c r="J121" s="432"/>
      <c r="K121" s="432"/>
      <c r="L121" s="432"/>
      <c r="M121" s="432"/>
      <c r="N121" s="432"/>
      <c r="O121" s="775"/>
    </row>
    <row r="122" spans="1:261" x14ac:dyDescent="0.35">
      <c r="B122" s="429" t="s">
        <v>943</v>
      </c>
      <c r="C122" s="429"/>
    </row>
  </sheetData>
  <mergeCells count="24">
    <mergeCell ref="B1:P1"/>
    <mergeCell ref="B2:P2"/>
    <mergeCell ref="D115:G115"/>
    <mergeCell ref="D117:G117"/>
    <mergeCell ref="D118:G118"/>
    <mergeCell ref="A3:P3"/>
    <mergeCell ref="A4:P4"/>
    <mergeCell ref="D111:F111"/>
    <mergeCell ref="Q7:R7"/>
    <mergeCell ref="I8:L8"/>
    <mergeCell ref="M8:N8"/>
    <mergeCell ref="O8:O9"/>
    <mergeCell ref="B114:G114"/>
    <mergeCell ref="B7:B9"/>
    <mergeCell ref="C7:C9"/>
    <mergeCell ref="D7:D9"/>
    <mergeCell ref="E7:E9"/>
    <mergeCell ref="F7:F9"/>
    <mergeCell ref="G7:G9"/>
    <mergeCell ref="H7:H9"/>
    <mergeCell ref="I7:O7"/>
    <mergeCell ref="P7:P9"/>
    <mergeCell ref="D98:F98"/>
    <mergeCell ref="D101:F101"/>
  </mergeCells>
  <printOptions horizontalCentered="1"/>
  <pageMargins left="0.19685039370078741" right="0.19685039370078741" top="0.59055118110236227" bottom="0.59055118110236227" header="0.51181102362204722" footer="0.51181102362204722"/>
  <pageSetup paperSize="9" scale="57" fitToHeight="0" orientation="landscape" r:id="rId1"/>
  <headerFooter>
    <oddFooter>&amp;C- &amp;P -</oddFoot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JB225"/>
  <sheetViews>
    <sheetView view="pageBreakPreview" zoomScale="75" zoomScaleNormal="100" zoomScaleSheetLayoutView="75" workbookViewId="0">
      <selection activeCell="B1" sqref="B1:Q1"/>
    </sheetView>
  </sheetViews>
  <sheetFormatPr defaultColWidth="9.140625" defaultRowHeight="17.25" x14ac:dyDescent="0.35"/>
  <cols>
    <col min="1" max="1" width="4.42578125" style="750" customWidth="1"/>
    <col min="2" max="3" width="5.7109375" style="888" customWidth="1"/>
    <col min="4" max="4" width="62.7109375" style="418" customWidth="1"/>
    <col min="5" max="5" width="12.7109375" style="887" customWidth="1"/>
    <col min="6" max="7" width="10.7109375" style="887" customWidth="1"/>
    <col min="8" max="8" width="6.7109375" style="753" customWidth="1"/>
    <col min="9" max="13" width="14.85546875" style="887" customWidth="1"/>
    <col min="14" max="14" width="14.85546875" style="1023" customWidth="1"/>
    <col min="15" max="15" width="14.85546875" style="887" customWidth="1"/>
    <col min="16" max="16" width="15.7109375" style="774" customWidth="1"/>
    <col min="17" max="17" width="13.85546875" style="887" customWidth="1"/>
    <col min="18" max="16384" width="9.140625" style="418"/>
  </cols>
  <sheetData>
    <row r="1" spans="1:262" x14ac:dyDescent="0.35">
      <c r="A1" s="1970"/>
      <c r="B1" s="2332" t="s">
        <v>1371</v>
      </c>
      <c r="C1" s="2332"/>
      <c r="D1" s="2332"/>
      <c r="E1" s="2332"/>
      <c r="F1" s="2332"/>
      <c r="G1" s="2332"/>
      <c r="H1" s="2332"/>
      <c r="I1" s="2332"/>
      <c r="J1" s="2332"/>
      <c r="K1" s="2332"/>
      <c r="L1" s="2332"/>
      <c r="M1" s="2332"/>
      <c r="N1" s="2332"/>
      <c r="O1" s="2332"/>
      <c r="P1" s="2332"/>
      <c r="Q1" s="2332"/>
    </row>
    <row r="2" spans="1:262" ht="18" customHeight="1" x14ac:dyDescent="0.3">
      <c r="A2" s="1971"/>
      <c r="B2" s="2333" t="s">
        <v>1151</v>
      </c>
      <c r="C2" s="2333"/>
      <c r="D2" s="2333"/>
      <c r="E2" s="2333"/>
      <c r="F2" s="2333"/>
      <c r="G2" s="2333"/>
      <c r="H2" s="2333"/>
      <c r="I2" s="2333"/>
      <c r="J2" s="2333"/>
      <c r="K2" s="2333"/>
      <c r="L2" s="2333"/>
      <c r="M2" s="2333"/>
      <c r="N2" s="2333"/>
      <c r="O2" s="2333"/>
      <c r="P2" s="2333"/>
      <c r="Q2" s="2333"/>
      <c r="R2" s="752"/>
      <c r="S2" s="752"/>
      <c r="T2" s="752"/>
      <c r="U2" s="752"/>
      <c r="V2" s="752"/>
      <c r="W2" s="752"/>
      <c r="X2" s="752"/>
      <c r="Y2" s="752"/>
      <c r="Z2" s="752"/>
      <c r="AA2" s="752"/>
      <c r="AB2" s="752"/>
      <c r="AC2" s="752"/>
      <c r="AD2" s="752"/>
      <c r="AE2" s="752"/>
      <c r="AF2" s="752"/>
      <c r="AG2" s="752"/>
      <c r="AH2" s="752"/>
      <c r="AI2" s="752"/>
      <c r="AJ2" s="752"/>
      <c r="AK2" s="752"/>
      <c r="AL2" s="752"/>
      <c r="AM2" s="752"/>
      <c r="AN2" s="752"/>
      <c r="AO2" s="752"/>
      <c r="AP2" s="752"/>
      <c r="AQ2" s="752"/>
      <c r="AR2" s="752"/>
      <c r="AS2" s="752"/>
      <c r="AT2" s="752"/>
      <c r="AU2" s="752"/>
      <c r="AV2" s="752"/>
      <c r="AW2" s="752"/>
      <c r="AX2" s="752"/>
      <c r="AY2" s="752"/>
      <c r="AZ2" s="752"/>
      <c r="BA2" s="752"/>
      <c r="BB2" s="752"/>
      <c r="BC2" s="752"/>
      <c r="BD2" s="752"/>
      <c r="BE2" s="752"/>
      <c r="BF2" s="752"/>
      <c r="BG2" s="752"/>
      <c r="BH2" s="752"/>
      <c r="BI2" s="752"/>
      <c r="BJ2" s="752"/>
      <c r="BK2" s="752"/>
      <c r="BL2" s="752"/>
      <c r="BM2" s="752"/>
      <c r="BN2" s="752"/>
      <c r="BO2" s="752"/>
      <c r="BP2" s="752"/>
      <c r="BQ2" s="752"/>
      <c r="BR2" s="752"/>
      <c r="BS2" s="752"/>
      <c r="BT2" s="752"/>
      <c r="BU2" s="752"/>
      <c r="BV2" s="752"/>
      <c r="BW2" s="752"/>
      <c r="BX2" s="752"/>
      <c r="BY2" s="752"/>
      <c r="BZ2" s="752"/>
      <c r="CA2" s="752"/>
      <c r="CB2" s="752"/>
      <c r="CC2" s="752"/>
      <c r="CD2" s="752"/>
      <c r="CE2" s="752"/>
      <c r="CF2" s="752"/>
      <c r="CG2" s="752"/>
      <c r="CH2" s="752"/>
      <c r="CI2" s="752"/>
      <c r="CJ2" s="752"/>
      <c r="CK2" s="752"/>
      <c r="CL2" s="752"/>
      <c r="CM2" s="752"/>
      <c r="CN2" s="752"/>
      <c r="CO2" s="752"/>
      <c r="CP2" s="752"/>
      <c r="CQ2" s="752"/>
      <c r="CR2" s="752"/>
      <c r="CS2" s="752"/>
      <c r="CT2" s="752"/>
      <c r="CU2" s="752"/>
      <c r="CV2" s="752"/>
      <c r="CW2" s="752"/>
      <c r="CX2" s="752"/>
      <c r="CY2" s="752"/>
      <c r="CZ2" s="752"/>
      <c r="DA2" s="752"/>
      <c r="DB2" s="752"/>
      <c r="DC2" s="752"/>
      <c r="DD2" s="752"/>
      <c r="DE2" s="752"/>
      <c r="DF2" s="752"/>
      <c r="DG2" s="752"/>
      <c r="DH2" s="752"/>
      <c r="DI2" s="752"/>
      <c r="DJ2" s="752"/>
      <c r="DK2" s="752"/>
      <c r="DL2" s="752"/>
      <c r="DM2" s="752"/>
      <c r="DN2" s="752"/>
      <c r="DO2" s="752"/>
      <c r="DP2" s="752"/>
      <c r="DQ2" s="752"/>
      <c r="DR2" s="752"/>
      <c r="DS2" s="752"/>
      <c r="DT2" s="752"/>
      <c r="DU2" s="752"/>
      <c r="DV2" s="752"/>
      <c r="DW2" s="752"/>
      <c r="DX2" s="752"/>
      <c r="DY2" s="752"/>
      <c r="DZ2" s="752"/>
      <c r="EA2" s="752"/>
      <c r="EB2" s="752"/>
      <c r="EC2" s="752"/>
      <c r="ED2" s="752"/>
      <c r="EE2" s="752"/>
      <c r="EF2" s="752"/>
      <c r="EG2" s="752"/>
      <c r="EH2" s="752"/>
      <c r="EI2" s="752"/>
      <c r="EJ2" s="752"/>
      <c r="EK2" s="752"/>
      <c r="EL2" s="752"/>
      <c r="EM2" s="752"/>
      <c r="EN2" s="752"/>
      <c r="EO2" s="752"/>
      <c r="EP2" s="752"/>
      <c r="EQ2" s="752"/>
      <c r="ER2" s="752"/>
      <c r="ES2" s="752"/>
      <c r="ET2" s="752"/>
      <c r="EU2" s="752"/>
      <c r="EV2" s="752"/>
      <c r="EW2" s="752"/>
      <c r="EX2" s="752"/>
      <c r="EY2" s="752"/>
      <c r="EZ2" s="752"/>
      <c r="FA2" s="752"/>
      <c r="FB2" s="752"/>
      <c r="FC2" s="752"/>
      <c r="FD2" s="752"/>
      <c r="FE2" s="752"/>
      <c r="FF2" s="752"/>
      <c r="FG2" s="752"/>
      <c r="FH2" s="752"/>
      <c r="FI2" s="752"/>
      <c r="FJ2" s="752"/>
      <c r="FK2" s="752"/>
      <c r="FL2" s="752"/>
      <c r="FM2" s="752"/>
      <c r="FN2" s="752"/>
      <c r="FO2" s="752"/>
      <c r="FP2" s="752"/>
      <c r="FQ2" s="752"/>
      <c r="FR2" s="752"/>
      <c r="FS2" s="752"/>
      <c r="FT2" s="752"/>
      <c r="FU2" s="752"/>
      <c r="FV2" s="752"/>
      <c r="FW2" s="752"/>
      <c r="FX2" s="752"/>
      <c r="FY2" s="752"/>
      <c r="FZ2" s="752"/>
      <c r="GA2" s="752"/>
      <c r="GB2" s="752"/>
      <c r="GC2" s="752"/>
      <c r="GD2" s="752"/>
      <c r="GE2" s="752"/>
      <c r="GF2" s="752"/>
      <c r="GG2" s="752"/>
      <c r="GH2" s="752"/>
      <c r="GI2" s="752"/>
      <c r="GJ2" s="752"/>
      <c r="GK2" s="752"/>
      <c r="GL2" s="752"/>
      <c r="GM2" s="752"/>
      <c r="GN2" s="752"/>
      <c r="GO2" s="752"/>
      <c r="GP2" s="752"/>
      <c r="GQ2" s="752"/>
      <c r="GR2" s="752"/>
      <c r="GS2" s="752"/>
      <c r="GT2" s="752"/>
      <c r="GU2" s="752"/>
      <c r="GV2" s="752"/>
      <c r="GW2" s="752"/>
      <c r="GX2" s="752"/>
      <c r="GY2" s="752"/>
      <c r="GZ2" s="752"/>
      <c r="HA2" s="752"/>
      <c r="HB2" s="752"/>
      <c r="HC2" s="752"/>
      <c r="HD2" s="752"/>
      <c r="HE2" s="752"/>
      <c r="HF2" s="752"/>
      <c r="HG2" s="752"/>
      <c r="HH2" s="752"/>
      <c r="HI2" s="752"/>
      <c r="HJ2" s="752"/>
      <c r="HK2" s="752"/>
      <c r="HL2" s="752"/>
      <c r="HM2" s="752"/>
      <c r="HN2" s="752"/>
      <c r="HO2" s="752"/>
      <c r="HP2" s="752"/>
      <c r="HQ2" s="752"/>
      <c r="HR2" s="752"/>
      <c r="HS2" s="752"/>
      <c r="HT2" s="752"/>
      <c r="HU2" s="752"/>
      <c r="HV2" s="752"/>
      <c r="HW2" s="752"/>
      <c r="HX2" s="752"/>
      <c r="HY2" s="752"/>
      <c r="HZ2" s="752"/>
      <c r="IA2" s="752"/>
      <c r="IB2" s="752"/>
      <c r="IC2" s="752"/>
      <c r="ID2" s="752"/>
      <c r="IE2" s="752"/>
      <c r="IF2" s="752"/>
      <c r="IG2" s="752"/>
      <c r="IH2" s="752"/>
      <c r="II2" s="752"/>
      <c r="IJ2" s="752"/>
      <c r="IK2" s="752"/>
      <c r="IL2" s="752"/>
      <c r="IM2" s="752"/>
      <c r="IN2" s="752"/>
      <c r="IO2" s="752"/>
      <c r="IP2" s="752"/>
      <c r="IQ2" s="752"/>
    </row>
    <row r="3" spans="1:262" ht="18" customHeight="1" x14ac:dyDescent="0.3">
      <c r="A3" s="1971"/>
      <c r="B3" s="1967"/>
      <c r="C3" s="1967"/>
      <c r="D3" s="1967"/>
      <c r="E3" s="1967"/>
      <c r="F3" s="1967"/>
      <c r="G3" s="1967"/>
      <c r="H3" s="1967"/>
      <c r="I3" s="1967"/>
      <c r="J3" s="1967"/>
      <c r="K3" s="1967"/>
      <c r="L3" s="1967"/>
      <c r="M3" s="1967"/>
      <c r="N3" s="1967"/>
      <c r="O3" s="1967"/>
      <c r="P3" s="1967"/>
      <c r="Q3" s="1967"/>
      <c r="R3" s="752"/>
      <c r="S3" s="752"/>
      <c r="T3" s="752"/>
      <c r="U3" s="752"/>
      <c r="V3" s="752"/>
      <c r="W3" s="752"/>
      <c r="X3" s="752"/>
      <c r="Y3" s="752"/>
      <c r="Z3" s="752"/>
      <c r="AA3" s="752"/>
      <c r="AB3" s="752"/>
      <c r="AC3" s="752"/>
      <c r="AD3" s="752"/>
      <c r="AE3" s="752"/>
      <c r="AF3" s="752"/>
      <c r="AG3" s="752"/>
      <c r="AH3" s="752"/>
      <c r="AI3" s="752"/>
      <c r="AJ3" s="752"/>
      <c r="AK3" s="752"/>
      <c r="AL3" s="752"/>
      <c r="AM3" s="752"/>
      <c r="AN3" s="752"/>
      <c r="AO3" s="752"/>
      <c r="AP3" s="752"/>
      <c r="AQ3" s="752"/>
      <c r="AR3" s="752"/>
      <c r="AS3" s="752"/>
      <c r="AT3" s="752"/>
      <c r="AU3" s="752"/>
      <c r="AV3" s="752"/>
      <c r="AW3" s="752"/>
      <c r="AX3" s="752"/>
      <c r="AY3" s="752"/>
      <c r="AZ3" s="752"/>
      <c r="BA3" s="752"/>
      <c r="BB3" s="752"/>
      <c r="BC3" s="752"/>
      <c r="BD3" s="752"/>
      <c r="BE3" s="752"/>
      <c r="BF3" s="752"/>
      <c r="BG3" s="752"/>
      <c r="BH3" s="752"/>
      <c r="BI3" s="752"/>
      <c r="BJ3" s="752"/>
      <c r="BK3" s="752"/>
      <c r="BL3" s="752"/>
      <c r="BM3" s="752"/>
      <c r="BN3" s="752"/>
      <c r="BO3" s="752"/>
      <c r="BP3" s="752"/>
      <c r="BQ3" s="752"/>
      <c r="BR3" s="752"/>
      <c r="BS3" s="752"/>
      <c r="BT3" s="752"/>
      <c r="BU3" s="752"/>
      <c r="BV3" s="752"/>
      <c r="BW3" s="752"/>
      <c r="BX3" s="752"/>
      <c r="BY3" s="752"/>
      <c r="BZ3" s="752"/>
      <c r="CA3" s="752"/>
      <c r="CB3" s="752"/>
      <c r="CC3" s="752"/>
      <c r="CD3" s="752"/>
      <c r="CE3" s="752"/>
      <c r="CF3" s="752"/>
      <c r="CG3" s="752"/>
      <c r="CH3" s="752"/>
      <c r="CI3" s="752"/>
      <c r="CJ3" s="752"/>
      <c r="CK3" s="752"/>
      <c r="CL3" s="752"/>
      <c r="CM3" s="752"/>
      <c r="CN3" s="752"/>
      <c r="CO3" s="752"/>
      <c r="CP3" s="752"/>
      <c r="CQ3" s="752"/>
      <c r="CR3" s="752"/>
      <c r="CS3" s="752"/>
      <c r="CT3" s="752"/>
      <c r="CU3" s="752"/>
      <c r="CV3" s="752"/>
      <c r="CW3" s="752"/>
      <c r="CX3" s="752"/>
      <c r="CY3" s="752"/>
      <c r="CZ3" s="752"/>
      <c r="DA3" s="752"/>
      <c r="DB3" s="752"/>
      <c r="DC3" s="752"/>
      <c r="DD3" s="752"/>
      <c r="DE3" s="752"/>
      <c r="DF3" s="752"/>
      <c r="DG3" s="752"/>
      <c r="DH3" s="752"/>
      <c r="DI3" s="752"/>
      <c r="DJ3" s="752"/>
      <c r="DK3" s="752"/>
      <c r="DL3" s="752"/>
      <c r="DM3" s="752"/>
      <c r="DN3" s="752"/>
      <c r="DO3" s="752"/>
      <c r="DP3" s="752"/>
      <c r="DQ3" s="752"/>
      <c r="DR3" s="752"/>
      <c r="DS3" s="752"/>
      <c r="DT3" s="752"/>
      <c r="DU3" s="752"/>
      <c r="DV3" s="752"/>
      <c r="DW3" s="752"/>
      <c r="DX3" s="752"/>
      <c r="DY3" s="752"/>
      <c r="DZ3" s="752"/>
      <c r="EA3" s="752"/>
      <c r="EB3" s="752"/>
      <c r="EC3" s="752"/>
      <c r="ED3" s="752"/>
      <c r="EE3" s="752"/>
      <c r="EF3" s="752"/>
      <c r="EG3" s="752"/>
      <c r="EH3" s="752"/>
      <c r="EI3" s="752"/>
      <c r="EJ3" s="752"/>
      <c r="EK3" s="752"/>
      <c r="EL3" s="752"/>
      <c r="EM3" s="752"/>
      <c r="EN3" s="752"/>
      <c r="EO3" s="752"/>
      <c r="EP3" s="752"/>
      <c r="EQ3" s="752"/>
      <c r="ER3" s="752"/>
      <c r="ES3" s="752"/>
      <c r="ET3" s="752"/>
      <c r="EU3" s="752"/>
      <c r="EV3" s="752"/>
      <c r="EW3" s="752"/>
      <c r="EX3" s="752"/>
      <c r="EY3" s="752"/>
      <c r="EZ3" s="752"/>
      <c r="FA3" s="752"/>
      <c r="FB3" s="752"/>
      <c r="FC3" s="752"/>
      <c r="FD3" s="752"/>
      <c r="FE3" s="752"/>
      <c r="FF3" s="752"/>
      <c r="FG3" s="752"/>
      <c r="FH3" s="752"/>
      <c r="FI3" s="752"/>
      <c r="FJ3" s="752"/>
      <c r="FK3" s="752"/>
      <c r="FL3" s="752"/>
      <c r="FM3" s="752"/>
      <c r="FN3" s="752"/>
      <c r="FO3" s="752"/>
      <c r="FP3" s="752"/>
      <c r="FQ3" s="752"/>
      <c r="FR3" s="752"/>
      <c r="FS3" s="752"/>
      <c r="FT3" s="752"/>
      <c r="FU3" s="752"/>
      <c r="FV3" s="752"/>
      <c r="FW3" s="752"/>
      <c r="FX3" s="752"/>
      <c r="FY3" s="752"/>
      <c r="FZ3" s="752"/>
      <c r="GA3" s="752"/>
      <c r="GB3" s="752"/>
      <c r="GC3" s="752"/>
      <c r="GD3" s="752"/>
      <c r="GE3" s="752"/>
      <c r="GF3" s="752"/>
      <c r="GG3" s="752"/>
      <c r="GH3" s="752"/>
      <c r="GI3" s="752"/>
      <c r="GJ3" s="752"/>
      <c r="GK3" s="752"/>
      <c r="GL3" s="752"/>
      <c r="GM3" s="752"/>
      <c r="GN3" s="752"/>
      <c r="GO3" s="752"/>
      <c r="GP3" s="752"/>
      <c r="GQ3" s="752"/>
      <c r="GR3" s="752"/>
      <c r="GS3" s="752"/>
      <c r="GT3" s="752"/>
      <c r="GU3" s="752"/>
      <c r="GV3" s="752"/>
      <c r="GW3" s="752"/>
      <c r="GX3" s="752"/>
      <c r="GY3" s="752"/>
      <c r="GZ3" s="752"/>
      <c r="HA3" s="752"/>
      <c r="HB3" s="752"/>
      <c r="HC3" s="752"/>
      <c r="HD3" s="752"/>
      <c r="HE3" s="752"/>
      <c r="HF3" s="752"/>
      <c r="HG3" s="752"/>
      <c r="HH3" s="752"/>
      <c r="HI3" s="752"/>
      <c r="HJ3" s="752"/>
      <c r="HK3" s="752"/>
      <c r="HL3" s="752"/>
      <c r="HM3" s="752"/>
      <c r="HN3" s="752"/>
      <c r="HO3" s="752"/>
      <c r="HP3" s="752"/>
      <c r="HQ3" s="752"/>
      <c r="HR3" s="752"/>
      <c r="HS3" s="752"/>
      <c r="HT3" s="752"/>
      <c r="HU3" s="752"/>
      <c r="HV3" s="752"/>
      <c r="HW3" s="752"/>
      <c r="HX3" s="752"/>
      <c r="HY3" s="752"/>
      <c r="HZ3" s="752"/>
      <c r="IA3" s="752"/>
      <c r="IB3" s="752"/>
      <c r="IC3" s="752"/>
      <c r="ID3" s="752"/>
      <c r="IE3" s="752"/>
      <c r="IF3" s="752"/>
      <c r="IG3" s="752"/>
      <c r="IH3" s="752"/>
      <c r="II3" s="752"/>
      <c r="IJ3" s="752"/>
      <c r="IK3" s="752"/>
      <c r="IL3" s="752"/>
      <c r="IM3" s="752"/>
      <c r="IN3" s="752"/>
      <c r="IO3" s="752"/>
      <c r="IP3" s="752"/>
      <c r="IQ3" s="752"/>
    </row>
    <row r="4" spans="1:262" ht="24.75" customHeight="1" x14ac:dyDescent="0.35">
      <c r="A4" s="2337" t="s">
        <v>14</v>
      </c>
      <c r="B4" s="2337"/>
      <c r="C4" s="2337"/>
      <c r="D4" s="2337"/>
      <c r="E4" s="2337"/>
      <c r="F4" s="2337"/>
      <c r="G4" s="2337"/>
      <c r="H4" s="2337"/>
      <c r="I4" s="2337"/>
      <c r="J4" s="2337"/>
      <c r="K4" s="2337"/>
      <c r="L4" s="2337"/>
      <c r="M4" s="2337"/>
      <c r="N4" s="2337"/>
      <c r="O4" s="2337"/>
      <c r="P4" s="2337"/>
      <c r="Q4" s="2337"/>
    </row>
    <row r="5" spans="1:262" ht="24.75" customHeight="1" x14ac:dyDescent="0.35">
      <c r="A5" s="2381" t="s">
        <v>1142</v>
      </c>
      <c r="B5" s="2381"/>
      <c r="C5" s="2381"/>
      <c r="D5" s="2381"/>
      <c r="E5" s="2381"/>
      <c r="F5" s="2381"/>
      <c r="G5" s="2381"/>
      <c r="H5" s="2381"/>
      <c r="I5" s="2381"/>
      <c r="J5" s="2381"/>
      <c r="K5" s="2381"/>
      <c r="L5" s="2381"/>
      <c r="M5" s="2381"/>
      <c r="N5" s="2381"/>
      <c r="O5" s="2381"/>
      <c r="P5" s="2381"/>
      <c r="Q5" s="2381"/>
    </row>
    <row r="6" spans="1:262" s="968" customFormat="1" ht="18" customHeight="1" x14ac:dyDescent="0.3">
      <c r="A6" s="750"/>
      <c r="B6" s="750"/>
      <c r="C6" s="750"/>
      <c r="E6" s="709"/>
      <c r="F6" s="709"/>
      <c r="G6" s="709"/>
      <c r="H6" s="969"/>
      <c r="I6" s="709"/>
      <c r="J6" s="709"/>
      <c r="K6" s="709"/>
      <c r="L6" s="709"/>
      <c r="M6" s="709"/>
      <c r="N6" s="709"/>
      <c r="O6" s="709"/>
      <c r="P6" s="970"/>
      <c r="Q6" s="715" t="s">
        <v>0</v>
      </c>
    </row>
    <row r="7" spans="1:262" s="974" customFormat="1" ht="18" customHeight="1" thickBot="1" x14ac:dyDescent="0.35">
      <c r="A7" s="971"/>
      <c r="B7" s="972" t="s">
        <v>1</v>
      </c>
      <c r="C7" s="973" t="s">
        <v>3</v>
      </c>
      <c r="D7" s="973" t="s">
        <v>2</v>
      </c>
      <c r="E7" s="973" t="s">
        <v>4</v>
      </c>
      <c r="F7" s="973" t="s">
        <v>5</v>
      </c>
      <c r="G7" s="973" t="s">
        <v>15</v>
      </c>
      <c r="H7" s="973" t="s">
        <v>16</v>
      </c>
      <c r="I7" s="973" t="s">
        <v>17</v>
      </c>
      <c r="J7" s="973" t="s">
        <v>36</v>
      </c>
      <c r="K7" s="973" t="s">
        <v>30</v>
      </c>
      <c r="L7" s="973" t="s">
        <v>23</v>
      </c>
      <c r="M7" s="973" t="s">
        <v>37</v>
      </c>
      <c r="N7" s="973" t="s">
        <v>38</v>
      </c>
      <c r="O7" s="973" t="s">
        <v>160</v>
      </c>
      <c r="P7" s="973" t="s">
        <v>161</v>
      </c>
      <c r="Q7" s="973" t="s">
        <v>162</v>
      </c>
      <c r="R7" s="971"/>
      <c r="S7" s="971"/>
      <c r="T7" s="971"/>
      <c r="U7" s="971"/>
      <c r="V7" s="971"/>
      <c r="W7" s="971"/>
      <c r="X7" s="971"/>
      <c r="Y7" s="971"/>
      <c r="Z7" s="971"/>
      <c r="AA7" s="971"/>
      <c r="AB7" s="971"/>
      <c r="AC7" s="971"/>
      <c r="AD7" s="971"/>
      <c r="AE7" s="971"/>
      <c r="AF7" s="971"/>
      <c r="AG7" s="971"/>
      <c r="AH7" s="971"/>
      <c r="AI7" s="971"/>
      <c r="AJ7" s="971"/>
      <c r="AK7" s="971"/>
      <c r="AL7" s="971"/>
      <c r="AM7" s="971"/>
      <c r="AN7" s="971"/>
      <c r="AO7" s="971"/>
      <c r="AP7" s="971"/>
      <c r="AQ7" s="971"/>
      <c r="AR7" s="971"/>
      <c r="AS7" s="971"/>
      <c r="AT7" s="971"/>
      <c r="AU7" s="971"/>
      <c r="AV7" s="971"/>
      <c r="AW7" s="971"/>
      <c r="AX7" s="971"/>
      <c r="AY7" s="971"/>
      <c r="AZ7" s="971"/>
      <c r="BA7" s="971"/>
      <c r="BB7" s="971"/>
      <c r="BC7" s="971"/>
      <c r="BD7" s="971"/>
      <c r="BE7" s="971"/>
      <c r="BF7" s="971"/>
      <c r="BG7" s="971"/>
      <c r="BH7" s="971"/>
      <c r="BI7" s="971"/>
      <c r="BJ7" s="971"/>
      <c r="BK7" s="971"/>
      <c r="BL7" s="971"/>
      <c r="BM7" s="971"/>
      <c r="BN7" s="971"/>
      <c r="BO7" s="971"/>
      <c r="BP7" s="971"/>
      <c r="BQ7" s="971"/>
      <c r="BR7" s="971"/>
      <c r="BS7" s="971"/>
      <c r="BT7" s="971"/>
      <c r="BU7" s="971"/>
      <c r="BV7" s="971"/>
      <c r="BW7" s="971"/>
      <c r="BX7" s="971"/>
      <c r="BY7" s="971"/>
      <c r="BZ7" s="971"/>
      <c r="CA7" s="971"/>
      <c r="CB7" s="971"/>
      <c r="CC7" s="971"/>
      <c r="CD7" s="971"/>
      <c r="CE7" s="971"/>
      <c r="CF7" s="971"/>
      <c r="CG7" s="971"/>
      <c r="CH7" s="971"/>
      <c r="CI7" s="971"/>
      <c r="CJ7" s="971"/>
      <c r="CK7" s="971"/>
      <c r="CL7" s="971"/>
      <c r="CM7" s="971"/>
      <c r="CN7" s="971"/>
      <c r="CO7" s="971"/>
      <c r="CP7" s="971"/>
      <c r="CQ7" s="971"/>
      <c r="CR7" s="971"/>
      <c r="CS7" s="971"/>
      <c r="CT7" s="971"/>
      <c r="CU7" s="971"/>
      <c r="CV7" s="971"/>
      <c r="CW7" s="971"/>
      <c r="CX7" s="971"/>
      <c r="CY7" s="971"/>
      <c r="CZ7" s="971"/>
      <c r="DA7" s="971"/>
      <c r="DB7" s="971"/>
      <c r="DC7" s="971"/>
      <c r="DD7" s="971"/>
      <c r="DE7" s="971"/>
      <c r="DF7" s="971"/>
      <c r="DG7" s="971"/>
      <c r="DH7" s="971"/>
      <c r="DI7" s="971"/>
      <c r="DJ7" s="971"/>
      <c r="DK7" s="971"/>
      <c r="DL7" s="971"/>
      <c r="DM7" s="971"/>
      <c r="DN7" s="971"/>
      <c r="DO7" s="971"/>
      <c r="DP7" s="971"/>
      <c r="DQ7" s="971"/>
      <c r="DR7" s="971"/>
      <c r="DS7" s="971"/>
      <c r="DT7" s="971"/>
      <c r="DU7" s="971"/>
      <c r="DV7" s="971"/>
      <c r="DW7" s="971"/>
      <c r="DX7" s="971"/>
      <c r="DY7" s="971"/>
      <c r="DZ7" s="971"/>
      <c r="EA7" s="971"/>
      <c r="EB7" s="971"/>
      <c r="EC7" s="971"/>
      <c r="ED7" s="971"/>
      <c r="EE7" s="971"/>
      <c r="EF7" s="971"/>
      <c r="EG7" s="971"/>
      <c r="EH7" s="971"/>
      <c r="EI7" s="971"/>
      <c r="EJ7" s="971"/>
      <c r="EK7" s="971"/>
      <c r="EL7" s="971"/>
      <c r="EM7" s="971"/>
      <c r="EN7" s="971"/>
      <c r="EO7" s="971"/>
      <c r="EP7" s="971"/>
      <c r="EQ7" s="971"/>
      <c r="ER7" s="971"/>
      <c r="ES7" s="971"/>
      <c r="ET7" s="971"/>
      <c r="EU7" s="971"/>
      <c r="EV7" s="971"/>
      <c r="EW7" s="971"/>
      <c r="EX7" s="971"/>
      <c r="EY7" s="971"/>
      <c r="EZ7" s="971"/>
      <c r="FA7" s="971"/>
      <c r="FB7" s="971"/>
      <c r="FC7" s="971"/>
      <c r="FD7" s="971"/>
      <c r="FE7" s="971"/>
      <c r="FF7" s="971"/>
      <c r="FG7" s="971"/>
      <c r="FH7" s="971"/>
      <c r="FI7" s="971"/>
      <c r="FJ7" s="971"/>
      <c r="FK7" s="971"/>
      <c r="FL7" s="971"/>
      <c r="FM7" s="971"/>
      <c r="FN7" s="971"/>
      <c r="FO7" s="971"/>
      <c r="FP7" s="971"/>
      <c r="FQ7" s="971"/>
      <c r="FR7" s="971"/>
      <c r="FS7" s="971"/>
      <c r="FT7" s="971"/>
      <c r="FU7" s="971"/>
      <c r="FV7" s="971"/>
      <c r="FW7" s="971"/>
      <c r="FX7" s="971"/>
      <c r="FY7" s="971"/>
      <c r="FZ7" s="971"/>
      <c r="GA7" s="971"/>
      <c r="GB7" s="971"/>
      <c r="GC7" s="971"/>
      <c r="GD7" s="971"/>
      <c r="GE7" s="971"/>
      <c r="GF7" s="971"/>
      <c r="GG7" s="971"/>
      <c r="GH7" s="971"/>
      <c r="GI7" s="971"/>
      <c r="GJ7" s="971"/>
      <c r="GK7" s="971"/>
      <c r="GL7" s="971"/>
      <c r="GM7" s="971"/>
      <c r="GN7" s="971"/>
      <c r="GO7" s="971"/>
      <c r="GP7" s="971"/>
      <c r="GQ7" s="971"/>
      <c r="GR7" s="971"/>
      <c r="GS7" s="971"/>
      <c r="GT7" s="971"/>
      <c r="GU7" s="971"/>
      <c r="GV7" s="971"/>
      <c r="GW7" s="971"/>
      <c r="GX7" s="971"/>
      <c r="GY7" s="971"/>
      <c r="GZ7" s="971"/>
      <c r="HA7" s="971"/>
      <c r="HB7" s="971"/>
      <c r="HC7" s="971"/>
      <c r="HD7" s="971"/>
      <c r="HE7" s="971"/>
      <c r="HF7" s="971"/>
      <c r="HG7" s="971"/>
      <c r="HH7" s="971"/>
      <c r="HI7" s="971"/>
      <c r="HJ7" s="971"/>
      <c r="HK7" s="971"/>
      <c r="HL7" s="971"/>
      <c r="HM7" s="971"/>
      <c r="HN7" s="971"/>
      <c r="HO7" s="971"/>
      <c r="HP7" s="971"/>
      <c r="HQ7" s="971"/>
      <c r="HR7" s="971"/>
      <c r="HS7" s="971"/>
      <c r="HT7" s="971"/>
      <c r="HU7" s="971"/>
      <c r="HV7" s="971"/>
      <c r="HW7" s="971"/>
      <c r="HX7" s="971"/>
      <c r="HY7" s="971"/>
      <c r="HZ7" s="971"/>
      <c r="IA7" s="971"/>
      <c r="IB7" s="971"/>
      <c r="IC7" s="971"/>
      <c r="ID7" s="971"/>
      <c r="IE7" s="971"/>
      <c r="IF7" s="971"/>
      <c r="IG7" s="971"/>
      <c r="IH7" s="971"/>
      <c r="II7" s="971"/>
      <c r="IJ7" s="971"/>
      <c r="IK7" s="971"/>
      <c r="IL7" s="971"/>
      <c r="IM7" s="971"/>
      <c r="IN7" s="971"/>
      <c r="IO7" s="971"/>
      <c r="IP7" s="971"/>
      <c r="IQ7" s="971"/>
    </row>
    <row r="8" spans="1:262" ht="22.5" customHeight="1" x14ac:dyDescent="0.3">
      <c r="B8" s="2375" t="s">
        <v>18</v>
      </c>
      <c r="C8" s="2409" t="s">
        <v>19</v>
      </c>
      <c r="D8" s="2382" t="s">
        <v>6</v>
      </c>
      <c r="E8" s="2378" t="s">
        <v>644</v>
      </c>
      <c r="F8" s="2378" t="s">
        <v>944</v>
      </c>
      <c r="G8" s="2385" t="s">
        <v>1001</v>
      </c>
      <c r="H8" s="2354" t="s">
        <v>20</v>
      </c>
      <c r="I8" s="2388" t="s">
        <v>631</v>
      </c>
      <c r="J8" s="2378"/>
      <c r="K8" s="2378"/>
      <c r="L8" s="2378"/>
      <c r="M8" s="2378"/>
      <c r="N8" s="2378"/>
      <c r="O8" s="2378"/>
      <c r="P8" s="2389"/>
      <c r="Q8" s="2390" t="s">
        <v>640</v>
      </c>
      <c r="R8" s="2374"/>
      <c r="S8" s="2374"/>
    </row>
    <row r="9" spans="1:262" ht="33" customHeight="1" x14ac:dyDescent="0.3">
      <c r="B9" s="2376"/>
      <c r="C9" s="2410"/>
      <c r="D9" s="2383"/>
      <c r="E9" s="2379"/>
      <c r="F9" s="2379"/>
      <c r="G9" s="2386"/>
      <c r="H9" s="2355"/>
      <c r="I9" s="2393" t="s">
        <v>646</v>
      </c>
      <c r="J9" s="2394"/>
      <c r="K9" s="2395"/>
      <c r="L9" s="2395"/>
      <c r="M9" s="2396" t="s">
        <v>163</v>
      </c>
      <c r="N9" s="2396"/>
      <c r="O9" s="2396"/>
      <c r="P9" s="2397" t="s">
        <v>129</v>
      </c>
      <c r="Q9" s="2391"/>
    </row>
    <row r="10" spans="1:262" ht="53.25" customHeight="1" thickBot="1" x14ac:dyDescent="0.35">
      <c r="B10" s="2377"/>
      <c r="C10" s="2411"/>
      <c r="D10" s="2384"/>
      <c r="E10" s="2380"/>
      <c r="F10" s="2380"/>
      <c r="G10" s="2387"/>
      <c r="H10" s="2356"/>
      <c r="I10" s="993" t="s">
        <v>40</v>
      </c>
      <c r="J10" s="754" t="s">
        <v>641</v>
      </c>
      <c r="K10" s="755" t="s">
        <v>42</v>
      </c>
      <c r="L10" s="755" t="s">
        <v>643</v>
      </c>
      <c r="M10" s="754" t="s">
        <v>229</v>
      </c>
      <c r="N10" s="754" t="s">
        <v>230</v>
      </c>
      <c r="O10" s="754" t="s">
        <v>164</v>
      </c>
      <c r="P10" s="2398"/>
      <c r="Q10" s="2392"/>
    </row>
    <row r="11" spans="1:262" s="758" customFormat="1" ht="22.5" customHeight="1" x14ac:dyDescent="0.35">
      <c r="A11" s="773">
        <v>1</v>
      </c>
      <c r="B11" s="756">
        <v>18</v>
      </c>
      <c r="C11" s="768" t="s">
        <v>14</v>
      </c>
      <c r="D11" s="981"/>
      <c r="E11" s="427"/>
      <c r="F11" s="425"/>
      <c r="G11" s="426"/>
      <c r="H11" s="998"/>
      <c r="I11" s="994"/>
      <c r="J11" s="776"/>
      <c r="K11" s="776"/>
      <c r="L11" s="776"/>
      <c r="M11" s="776"/>
      <c r="N11" s="776"/>
      <c r="O11" s="776"/>
      <c r="P11" s="757"/>
      <c r="Q11" s="760"/>
      <c r="R11" s="418"/>
      <c r="S11" s="418"/>
      <c r="T11" s="418"/>
      <c r="U11" s="418"/>
      <c r="V11" s="418"/>
      <c r="W11" s="418"/>
      <c r="X11" s="418"/>
      <c r="Y11" s="418"/>
      <c r="Z11" s="418"/>
      <c r="AA11" s="418"/>
      <c r="AB11" s="418"/>
      <c r="AC11" s="418"/>
      <c r="AD11" s="418"/>
      <c r="AE11" s="418"/>
      <c r="AF11" s="418"/>
      <c r="AG11" s="418"/>
      <c r="AH11" s="418"/>
      <c r="AI11" s="418"/>
      <c r="AJ11" s="418"/>
      <c r="AK11" s="418"/>
      <c r="AL11" s="418"/>
      <c r="AM11" s="418"/>
      <c r="AN11" s="418"/>
      <c r="AO11" s="418"/>
      <c r="AP11" s="418"/>
      <c r="AQ11" s="418"/>
      <c r="AR11" s="418"/>
      <c r="AS11" s="418"/>
      <c r="AT11" s="418"/>
      <c r="AU11" s="418"/>
      <c r="AV11" s="418"/>
      <c r="AW11" s="418"/>
      <c r="AX11" s="418"/>
      <c r="AY11" s="418"/>
      <c r="AZ11" s="418"/>
      <c r="BA11" s="418"/>
      <c r="BB11" s="418"/>
      <c r="BC11" s="418"/>
      <c r="BD11" s="418"/>
      <c r="BE11" s="418"/>
      <c r="BF11" s="418"/>
      <c r="BG11" s="418"/>
      <c r="BH11" s="418"/>
      <c r="BI11" s="418"/>
      <c r="BJ11" s="418"/>
      <c r="BK11" s="418"/>
      <c r="BL11" s="418"/>
      <c r="BM11" s="418"/>
      <c r="BN11" s="418"/>
      <c r="BO11" s="418"/>
      <c r="BP11" s="418"/>
      <c r="BQ11" s="418"/>
      <c r="BR11" s="418"/>
      <c r="BS11" s="418"/>
      <c r="BT11" s="418"/>
      <c r="BU11" s="418"/>
      <c r="BV11" s="418"/>
      <c r="BW11" s="418"/>
      <c r="BX11" s="418"/>
      <c r="BY11" s="418"/>
      <c r="BZ11" s="418"/>
      <c r="CA11" s="418"/>
      <c r="CB11" s="418"/>
      <c r="CC11" s="418"/>
      <c r="CD11" s="418"/>
      <c r="CE11" s="418"/>
      <c r="CF11" s="418"/>
      <c r="CG11" s="418"/>
      <c r="CH11" s="418"/>
      <c r="CI11" s="418"/>
      <c r="CJ11" s="418"/>
      <c r="CK11" s="418"/>
      <c r="CL11" s="418"/>
      <c r="CM11" s="418"/>
      <c r="CN11" s="418"/>
      <c r="CO11" s="418"/>
      <c r="CP11" s="418"/>
      <c r="CQ11" s="418"/>
      <c r="CR11" s="418"/>
      <c r="CS11" s="418"/>
      <c r="CT11" s="418"/>
      <c r="CU11" s="418"/>
      <c r="CV11" s="418"/>
      <c r="CW11" s="418"/>
      <c r="CX11" s="418"/>
      <c r="CY11" s="418"/>
      <c r="CZ11" s="418"/>
      <c r="DA11" s="418"/>
      <c r="DB11" s="418"/>
      <c r="DC11" s="418"/>
      <c r="DD11" s="418"/>
      <c r="DE11" s="418"/>
      <c r="DF11" s="418"/>
      <c r="DG11" s="418"/>
      <c r="DH11" s="418"/>
      <c r="DI11" s="418"/>
      <c r="DJ11" s="418"/>
      <c r="DK11" s="418"/>
      <c r="DL11" s="418"/>
      <c r="DM11" s="418"/>
      <c r="DN11" s="418"/>
      <c r="DO11" s="418"/>
      <c r="DP11" s="418"/>
      <c r="DQ11" s="418"/>
      <c r="DR11" s="418"/>
      <c r="DS11" s="418"/>
      <c r="DT11" s="418"/>
      <c r="DU11" s="418"/>
      <c r="DV11" s="418"/>
      <c r="DW11" s="418"/>
      <c r="DX11" s="418"/>
      <c r="DY11" s="418"/>
      <c r="DZ11" s="418"/>
      <c r="EA11" s="418"/>
      <c r="EB11" s="418"/>
      <c r="EC11" s="418"/>
      <c r="ED11" s="418"/>
      <c r="EE11" s="418"/>
      <c r="EF11" s="418"/>
      <c r="EG11" s="418"/>
      <c r="EH11" s="418"/>
      <c r="EI11" s="418"/>
      <c r="EJ11" s="418"/>
      <c r="EK11" s="418"/>
      <c r="EL11" s="418"/>
      <c r="EM11" s="418"/>
      <c r="EN11" s="418"/>
      <c r="EO11" s="418"/>
      <c r="EP11" s="418"/>
      <c r="EQ11" s="418"/>
      <c r="ER11" s="418"/>
      <c r="ES11" s="418"/>
      <c r="ET11" s="418"/>
      <c r="EU11" s="418"/>
      <c r="EV11" s="418"/>
      <c r="EW11" s="418"/>
      <c r="EX11" s="418"/>
      <c r="EY11" s="418"/>
      <c r="EZ11" s="418"/>
      <c r="FA11" s="418"/>
      <c r="FB11" s="418"/>
      <c r="FC11" s="418"/>
      <c r="FD11" s="418"/>
      <c r="FE11" s="418"/>
      <c r="FF11" s="418"/>
      <c r="FG11" s="418"/>
      <c r="FH11" s="418"/>
      <c r="FI11" s="418"/>
      <c r="FJ11" s="418"/>
      <c r="FK11" s="418"/>
      <c r="FL11" s="418"/>
      <c r="FM11" s="418"/>
      <c r="FN11" s="418"/>
      <c r="FO11" s="418"/>
      <c r="FP11" s="418"/>
      <c r="FQ11" s="418"/>
      <c r="FR11" s="418"/>
      <c r="FS11" s="418"/>
      <c r="FT11" s="418"/>
      <c r="FU11" s="418"/>
      <c r="FV11" s="418"/>
      <c r="FW11" s="418"/>
      <c r="FX11" s="418"/>
      <c r="FY11" s="418"/>
      <c r="FZ11" s="418"/>
      <c r="GA11" s="418"/>
      <c r="GB11" s="418"/>
      <c r="GC11" s="418"/>
      <c r="GD11" s="418"/>
      <c r="GE11" s="418"/>
      <c r="GF11" s="418"/>
      <c r="GG11" s="418"/>
      <c r="GH11" s="418"/>
      <c r="GI11" s="418"/>
      <c r="GJ11" s="418"/>
      <c r="GK11" s="418"/>
      <c r="GL11" s="418"/>
      <c r="GM11" s="418"/>
      <c r="GN11" s="418"/>
      <c r="GO11" s="418"/>
      <c r="GP11" s="418"/>
      <c r="GQ11" s="418"/>
      <c r="GR11" s="418"/>
      <c r="GS11" s="418"/>
      <c r="GT11" s="418"/>
      <c r="GU11" s="418"/>
      <c r="GV11" s="418"/>
      <c r="GW11" s="418"/>
      <c r="GX11" s="418"/>
      <c r="GY11" s="418"/>
      <c r="GZ11" s="418"/>
      <c r="HA11" s="418"/>
      <c r="HB11" s="418"/>
      <c r="HC11" s="418"/>
      <c r="HD11" s="418"/>
      <c r="HE11" s="418"/>
      <c r="HF11" s="418"/>
      <c r="HG11" s="418"/>
      <c r="HH11" s="418"/>
      <c r="HI11" s="418"/>
      <c r="HJ11" s="418"/>
      <c r="HK11" s="418"/>
      <c r="HL11" s="418"/>
      <c r="HM11" s="418"/>
      <c r="HN11" s="418"/>
      <c r="HO11" s="418"/>
      <c r="HP11" s="418"/>
      <c r="HQ11" s="418"/>
      <c r="HR11" s="418"/>
      <c r="HS11" s="418"/>
      <c r="HT11" s="418"/>
      <c r="HU11" s="418"/>
      <c r="HV11" s="418"/>
      <c r="HW11" s="418"/>
      <c r="HX11" s="418"/>
      <c r="HY11" s="418"/>
      <c r="HZ11" s="418"/>
      <c r="IA11" s="418"/>
      <c r="IB11" s="418"/>
      <c r="IC11" s="418"/>
      <c r="ID11" s="418"/>
      <c r="IE11" s="418"/>
      <c r="IF11" s="418"/>
      <c r="IG11" s="418"/>
      <c r="IH11" s="418"/>
      <c r="II11" s="418"/>
      <c r="IJ11" s="418"/>
      <c r="IK11" s="418"/>
      <c r="IL11" s="418"/>
      <c r="IM11" s="418"/>
      <c r="IN11" s="418"/>
      <c r="IO11" s="418"/>
      <c r="IP11" s="418"/>
      <c r="IQ11" s="418"/>
      <c r="IR11" s="418"/>
      <c r="IS11" s="418"/>
      <c r="IT11" s="418"/>
      <c r="IU11" s="418"/>
      <c r="IV11" s="418"/>
      <c r="IW11" s="418"/>
      <c r="IX11" s="418"/>
      <c r="IY11" s="418"/>
      <c r="IZ11" s="418"/>
      <c r="JA11" s="418"/>
      <c r="JB11" s="418"/>
    </row>
    <row r="12" spans="1:262" s="758" customFormat="1" ht="24.95" customHeight="1" x14ac:dyDescent="0.35">
      <c r="A12" s="773">
        <v>2</v>
      </c>
      <c r="B12" s="756"/>
      <c r="C12" s="1056">
        <v>1</v>
      </c>
      <c r="D12" s="1042" t="s">
        <v>743</v>
      </c>
      <c r="E12" s="427"/>
      <c r="F12" s="425"/>
      <c r="G12" s="426"/>
      <c r="H12" s="998" t="s">
        <v>24</v>
      </c>
      <c r="I12" s="759"/>
      <c r="J12" s="759"/>
      <c r="K12" s="759"/>
      <c r="L12" s="759"/>
      <c r="M12" s="759"/>
      <c r="N12" s="759"/>
      <c r="O12" s="759"/>
      <c r="P12" s="767"/>
      <c r="Q12" s="760"/>
      <c r="R12" s="418"/>
      <c r="S12" s="418"/>
      <c r="T12" s="418"/>
      <c r="U12" s="418"/>
      <c r="V12" s="418"/>
      <c r="W12" s="418"/>
      <c r="X12" s="418"/>
      <c r="Y12" s="418"/>
      <c r="Z12" s="418"/>
      <c r="AA12" s="418"/>
      <c r="AB12" s="418"/>
      <c r="AC12" s="418"/>
      <c r="AD12" s="418"/>
      <c r="AE12" s="418"/>
      <c r="AF12" s="418"/>
      <c r="AG12" s="418"/>
      <c r="AH12" s="418"/>
      <c r="AI12" s="418"/>
      <c r="AJ12" s="418"/>
      <c r="AK12" s="418"/>
      <c r="AL12" s="418"/>
      <c r="AM12" s="418"/>
      <c r="AN12" s="418"/>
      <c r="AO12" s="418"/>
      <c r="AP12" s="418"/>
      <c r="AQ12" s="418"/>
      <c r="AR12" s="418"/>
      <c r="AS12" s="418"/>
      <c r="AT12" s="418"/>
      <c r="AU12" s="418"/>
      <c r="AV12" s="418"/>
      <c r="AW12" s="418"/>
      <c r="AX12" s="418"/>
      <c r="AY12" s="418"/>
      <c r="AZ12" s="418"/>
      <c r="BA12" s="418"/>
      <c r="BB12" s="418"/>
      <c r="BC12" s="418"/>
      <c r="BD12" s="418"/>
      <c r="BE12" s="418"/>
      <c r="BF12" s="418"/>
      <c r="BG12" s="418"/>
      <c r="BH12" s="418"/>
      <c r="BI12" s="418"/>
      <c r="BJ12" s="418"/>
      <c r="BK12" s="418"/>
      <c r="BL12" s="418"/>
      <c r="BM12" s="418"/>
      <c r="BN12" s="418"/>
      <c r="BO12" s="418"/>
      <c r="BP12" s="418"/>
      <c r="BQ12" s="418"/>
      <c r="BR12" s="418"/>
      <c r="BS12" s="418"/>
      <c r="BT12" s="418"/>
      <c r="BU12" s="418"/>
      <c r="BV12" s="418"/>
      <c r="BW12" s="418"/>
      <c r="BX12" s="418"/>
      <c r="BY12" s="418"/>
      <c r="BZ12" s="418"/>
      <c r="CA12" s="418"/>
      <c r="CB12" s="418"/>
      <c r="CC12" s="418"/>
      <c r="CD12" s="418"/>
      <c r="CE12" s="418"/>
      <c r="CF12" s="418"/>
      <c r="CG12" s="418"/>
      <c r="CH12" s="418"/>
      <c r="CI12" s="418"/>
      <c r="CJ12" s="418"/>
      <c r="CK12" s="418"/>
      <c r="CL12" s="418"/>
      <c r="CM12" s="418"/>
      <c r="CN12" s="418"/>
      <c r="CO12" s="418"/>
      <c r="CP12" s="418"/>
      <c r="CQ12" s="418"/>
      <c r="CR12" s="418"/>
      <c r="CS12" s="418"/>
      <c r="CT12" s="418"/>
      <c r="CU12" s="418"/>
      <c r="CV12" s="418"/>
      <c r="CW12" s="418"/>
      <c r="CX12" s="418"/>
      <c r="CY12" s="418"/>
      <c r="CZ12" s="418"/>
      <c r="DA12" s="418"/>
      <c r="DB12" s="418"/>
      <c r="DC12" s="418"/>
      <c r="DD12" s="418"/>
      <c r="DE12" s="418"/>
      <c r="DF12" s="418"/>
      <c r="DG12" s="418"/>
      <c r="DH12" s="418"/>
      <c r="DI12" s="418"/>
      <c r="DJ12" s="418"/>
      <c r="DK12" s="418"/>
      <c r="DL12" s="418"/>
      <c r="DM12" s="418"/>
      <c r="DN12" s="418"/>
      <c r="DO12" s="418"/>
      <c r="DP12" s="418"/>
      <c r="DQ12" s="418"/>
      <c r="DR12" s="418"/>
      <c r="DS12" s="418"/>
      <c r="DT12" s="418"/>
      <c r="DU12" s="418"/>
      <c r="DV12" s="418"/>
      <c r="DW12" s="418"/>
      <c r="DX12" s="418"/>
      <c r="DY12" s="418"/>
      <c r="DZ12" s="418"/>
      <c r="EA12" s="418"/>
      <c r="EB12" s="418"/>
      <c r="EC12" s="418"/>
      <c r="ED12" s="418"/>
      <c r="EE12" s="418"/>
      <c r="EF12" s="418"/>
      <c r="EG12" s="418"/>
      <c r="EH12" s="418"/>
      <c r="EI12" s="418"/>
      <c r="EJ12" s="418"/>
      <c r="EK12" s="418"/>
      <c r="EL12" s="418"/>
      <c r="EM12" s="418"/>
      <c r="EN12" s="418"/>
      <c r="EO12" s="418"/>
      <c r="EP12" s="418"/>
      <c r="EQ12" s="418"/>
      <c r="ER12" s="418"/>
      <c r="ES12" s="418"/>
      <c r="ET12" s="418"/>
      <c r="EU12" s="418"/>
      <c r="EV12" s="418"/>
      <c r="EW12" s="418"/>
      <c r="EX12" s="418"/>
      <c r="EY12" s="418"/>
      <c r="EZ12" s="418"/>
      <c r="FA12" s="418"/>
      <c r="FB12" s="418"/>
      <c r="FC12" s="418"/>
      <c r="FD12" s="418"/>
      <c r="FE12" s="418"/>
      <c r="FF12" s="418"/>
      <c r="FG12" s="418"/>
      <c r="FH12" s="418"/>
      <c r="FI12" s="418"/>
      <c r="FJ12" s="418"/>
      <c r="FK12" s="418"/>
      <c r="FL12" s="418"/>
      <c r="FM12" s="418"/>
      <c r="FN12" s="418"/>
      <c r="FO12" s="418"/>
      <c r="FP12" s="418"/>
      <c r="FQ12" s="418"/>
      <c r="FR12" s="418"/>
      <c r="FS12" s="418"/>
      <c r="FT12" s="418"/>
      <c r="FU12" s="418"/>
      <c r="FV12" s="418"/>
      <c r="FW12" s="418"/>
      <c r="FX12" s="418"/>
      <c r="FY12" s="418"/>
      <c r="FZ12" s="418"/>
      <c r="GA12" s="418"/>
      <c r="GB12" s="418"/>
      <c r="GC12" s="418"/>
      <c r="GD12" s="418"/>
      <c r="GE12" s="418"/>
      <c r="GF12" s="418"/>
      <c r="GG12" s="418"/>
      <c r="GH12" s="418"/>
      <c r="GI12" s="418"/>
      <c r="GJ12" s="418"/>
      <c r="GK12" s="418"/>
      <c r="GL12" s="418"/>
      <c r="GM12" s="418"/>
      <c r="GN12" s="418"/>
      <c r="GO12" s="418"/>
      <c r="GP12" s="418"/>
      <c r="GQ12" s="418"/>
      <c r="GR12" s="418"/>
      <c r="GS12" s="418"/>
      <c r="GT12" s="418"/>
      <c r="GU12" s="418"/>
      <c r="GV12" s="418"/>
      <c r="GW12" s="418"/>
      <c r="GX12" s="418"/>
      <c r="GY12" s="418"/>
      <c r="GZ12" s="418"/>
      <c r="HA12" s="418"/>
      <c r="HB12" s="418"/>
      <c r="HC12" s="418"/>
      <c r="HD12" s="418"/>
      <c r="HE12" s="418"/>
      <c r="HF12" s="418"/>
      <c r="HG12" s="418"/>
      <c r="HH12" s="418"/>
      <c r="HI12" s="418"/>
      <c r="HJ12" s="418"/>
      <c r="HK12" s="418"/>
      <c r="HL12" s="418"/>
      <c r="HM12" s="418"/>
      <c r="HN12" s="418"/>
      <c r="HO12" s="418"/>
      <c r="HP12" s="418"/>
      <c r="HQ12" s="418"/>
      <c r="HR12" s="418"/>
      <c r="HS12" s="418"/>
      <c r="HT12" s="418"/>
      <c r="HU12" s="418"/>
      <c r="HV12" s="418"/>
      <c r="HW12" s="418"/>
      <c r="HX12" s="418"/>
      <c r="HY12" s="418"/>
      <c r="HZ12" s="418"/>
      <c r="IA12" s="418"/>
      <c r="IB12" s="418"/>
      <c r="IC12" s="418"/>
      <c r="ID12" s="418"/>
      <c r="IE12" s="418"/>
      <c r="IF12" s="418"/>
      <c r="IG12" s="418"/>
      <c r="IH12" s="418"/>
      <c r="II12" s="418"/>
      <c r="IJ12" s="418"/>
      <c r="IK12" s="418"/>
      <c r="IL12" s="418"/>
      <c r="IM12" s="418"/>
      <c r="IN12" s="418"/>
      <c r="IO12" s="418"/>
      <c r="IP12" s="418"/>
      <c r="IQ12" s="418"/>
      <c r="IR12" s="418"/>
      <c r="IS12" s="418"/>
      <c r="IT12" s="418"/>
      <c r="IU12" s="418"/>
      <c r="IV12" s="418"/>
      <c r="IW12" s="418"/>
      <c r="IX12" s="418"/>
      <c r="IY12" s="418"/>
      <c r="IZ12" s="418"/>
      <c r="JA12" s="418"/>
      <c r="JB12" s="418"/>
    </row>
    <row r="13" spans="1:262" s="758" customFormat="1" ht="22.5" customHeight="1" x14ac:dyDescent="0.35">
      <c r="A13" s="773">
        <v>3</v>
      </c>
      <c r="B13" s="766"/>
      <c r="C13" s="464"/>
      <c r="D13" s="2053" t="s">
        <v>741</v>
      </c>
      <c r="E13" s="430"/>
      <c r="F13" s="762"/>
      <c r="G13" s="431"/>
      <c r="H13" s="999"/>
      <c r="I13" s="995"/>
      <c r="J13" s="759"/>
      <c r="K13" s="759"/>
      <c r="L13" s="759"/>
      <c r="M13" s="759"/>
      <c r="N13" s="759"/>
      <c r="O13" s="759"/>
      <c r="P13" s="767"/>
      <c r="Q13" s="763"/>
      <c r="R13" s="418"/>
      <c r="S13" s="418"/>
      <c r="T13" s="418"/>
      <c r="U13" s="418"/>
      <c r="V13" s="418"/>
      <c r="W13" s="418"/>
      <c r="X13" s="418"/>
      <c r="Y13" s="418"/>
      <c r="Z13" s="418"/>
      <c r="AA13" s="418"/>
      <c r="AB13" s="418"/>
      <c r="AC13" s="418"/>
      <c r="AD13" s="418"/>
      <c r="AE13" s="418"/>
      <c r="AF13" s="418"/>
      <c r="AG13" s="418"/>
      <c r="AH13" s="418"/>
      <c r="AI13" s="418"/>
      <c r="AJ13" s="418"/>
      <c r="AK13" s="418"/>
      <c r="AL13" s="418"/>
      <c r="AM13" s="418"/>
      <c r="AN13" s="418"/>
      <c r="AO13" s="418"/>
      <c r="AP13" s="418"/>
      <c r="AQ13" s="418"/>
      <c r="AR13" s="418"/>
      <c r="AS13" s="418"/>
      <c r="AT13" s="418"/>
      <c r="AU13" s="418"/>
      <c r="AV13" s="418"/>
      <c r="AW13" s="418"/>
      <c r="AX13" s="418"/>
      <c r="AY13" s="418"/>
      <c r="AZ13" s="418"/>
      <c r="BA13" s="418"/>
      <c r="BB13" s="418"/>
      <c r="BC13" s="418"/>
      <c r="BD13" s="418"/>
      <c r="BE13" s="418"/>
      <c r="BF13" s="418"/>
      <c r="BG13" s="418"/>
      <c r="BH13" s="418"/>
      <c r="BI13" s="418"/>
      <c r="BJ13" s="418"/>
      <c r="BK13" s="418"/>
      <c r="BL13" s="418"/>
      <c r="BM13" s="418"/>
      <c r="BN13" s="418"/>
      <c r="BO13" s="418"/>
      <c r="BP13" s="418"/>
      <c r="BQ13" s="418"/>
      <c r="BR13" s="418"/>
      <c r="BS13" s="418"/>
      <c r="BT13" s="418"/>
      <c r="BU13" s="418"/>
      <c r="BV13" s="418"/>
      <c r="BW13" s="418"/>
      <c r="BX13" s="418"/>
      <c r="BY13" s="418"/>
      <c r="BZ13" s="418"/>
      <c r="CA13" s="418"/>
      <c r="CB13" s="418"/>
      <c r="CC13" s="418"/>
      <c r="CD13" s="418"/>
      <c r="CE13" s="418"/>
      <c r="CF13" s="418"/>
      <c r="CG13" s="418"/>
      <c r="CH13" s="418"/>
      <c r="CI13" s="418"/>
      <c r="CJ13" s="418"/>
      <c r="CK13" s="418"/>
      <c r="CL13" s="418"/>
      <c r="CM13" s="418"/>
      <c r="CN13" s="418"/>
      <c r="CO13" s="418"/>
      <c r="CP13" s="418"/>
      <c r="CQ13" s="418"/>
      <c r="CR13" s="418"/>
      <c r="CS13" s="418"/>
      <c r="CT13" s="418"/>
      <c r="CU13" s="418"/>
      <c r="CV13" s="418"/>
      <c r="CW13" s="418"/>
      <c r="CX13" s="418"/>
      <c r="CY13" s="418"/>
      <c r="CZ13" s="418"/>
      <c r="DA13" s="418"/>
      <c r="DB13" s="418"/>
      <c r="DC13" s="418"/>
      <c r="DD13" s="418"/>
      <c r="DE13" s="418"/>
      <c r="DF13" s="418"/>
      <c r="DG13" s="418"/>
      <c r="DH13" s="418"/>
      <c r="DI13" s="418"/>
      <c r="DJ13" s="418"/>
      <c r="DK13" s="418"/>
      <c r="DL13" s="418"/>
      <c r="DM13" s="418"/>
      <c r="DN13" s="418"/>
      <c r="DO13" s="418"/>
      <c r="DP13" s="418"/>
      <c r="DQ13" s="418"/>
      <c r="DR13" s="418"/>
      <c r="DS13" s="418"/>
      <c r="DT13" s="418"/>
      <c r="DU13" s="418"/>
      <c r="DV13" s="418"/>
      <c r="DW13" s="418"/>
      <c r="DX13" s="418"/>
      <c r="DY13" s="418"/>
      <c r="DZ13" s="418"/>
      <c r="EA13" s="418"/>
      <c r="EB13" s="418"/>
      <c r="EC13" s="418"/>
      <c r="ED13" s="418"/>
      <c r="EE13" s="418"/>
      <c r="EF13" s="418"/>
      <c r="EG13" s="418"/>
      <c r="EH13" s="418"/>
      <c r="EI13" s="418"/>
      <c r="EJ13" s="418"/>
      <c r="EK13" s="418"/>
      <c r="EL13" s="418"/>
      <c r="EM13" s="418"/>
      <c r="EN13" s="418"/>
      <c r="EO13" s="418"/>
      <c r="EP13" s="418"/>
      <c r="EQ13" s="418"/>
      <c r="ER13" s="418"/>
      <c r="ES13" s="418"/>
      <c r="ET13" s="418"/>
      <c r="EU13" s="418"/>
      <c r="EV13" s="418"/>
      <c r="EW13" s="418"/>
      <c r="EX13" s="418"/>
      <c r="EY13" s="418"/>
      <c r="EZ13" s="418"/>
      <c r="FA13" s="418"/>
      <c r="FB13" s="418"/>
      <c r="FC13" s="418"/>
      <c r="FD13" s="418"/>
      <c r="FE13" s="418"/>
      <c r="FF13" s="418"/>
      <c r="FG13" s="418"/>
      <c r="FH13" s="418"/>
      <c r="FI13" s="418"/>
      <c r="FJ13" s="418"/>
      <c r="FK13" s="418"/>
      <c r="FL13" s="418"/>
      <c r="FM13" s="418"/>
      <c r="FN13" s="418"/>
      <c r="FO13" s="418"/>
      <c r="FP13" s="418"/>
      <c r="FQ13" s="418"/>
      <c r="FR13" s="418"/>
      <c r="FS13" s="418"/>
      <c r="FT13" s="418"/>
      <c r="FU13" s="418"/>
      <c r="FV13" s="418"/>
      <c r="FW13" s="418"/>
      <c r="FX13" s="418"/>
      <c r="FY13" s="418"/>
      <c r="FZ13" s="418"/>
      <c r="GA13" s="418"/>
      <c r="GB13" s="418"/>
      <c r="GC13" s="418"/>
      <c r="GD13" s="418"/>
      <c r="GE13" s="418"/>
      <c r="GF13" s="418"/>
      <c r="GG13" s="418"/>
      <c r="GH13" s="418"/>
      <c r="GI13" s="418"/>
      <c r="GJ13" s="418"/>
      <c r="GK13" s="418"/>
      <c r="GL13" s="418"/>
      <c r="GM13" s="418"/>
      <c r="GN13" s="418"/>
      <c r="GO13" s="418"/>
      <c r="GP13" s="418"/>
      <c r="GQ13" s="418"/>
      <c r="GR13" s="418"/>
      <c r="GS13" s="418"/>
      <c r="GT13" s="418"/>
      <c r="GU13" s="418"/>
      <c r="GV13" s="418"/>
      <c r="GW13" s="418"/>
      <c r="GX13" s="418"/>
      <c r="GY13" s="418"/>
      <c r="GZ13" s="418"/>
      <c r="HA13" s="418"/>
      <c r="HB13" s="418"/>
      <c r="HC13" s="418"/>
      <c r="HD13" s="418"/>
      <c r="HE13" s="418"/>
      <c r="HF13" s="418"/>
      <c r="HG13" s="418"/>
      <c r="HH13" s="418"/>
      <c r="HI13" s="418"/>
      <c r="HJ13" s="418"/>
      <c r="HK13" s="418"/>
      <c r="HL13" s="418"/>
      <c r="HM13" s="418"/>
      <c r="HN13" s="418"/>
      <c r="HO13" s="418"/>
      <c r="HP13" s="418"/>
      <c r="HQ13" s="418"/>
      <c r="HR13" s="418"/>
      <c r="HS13" s="418"/>
      <c r="HT13" s="418"/>
      <c r="HU13" s="418"/>
      <c r="HV13" s="418"/>
      <c r="HW13" s="418"/>
      <c r="HX13" s="418"/>
      <c r="HY13" s="418"/>
      <c r="HZ13" s="418"/>
      <c r="IA13" s="418"/>
      <c r="IB13" s="418"/>
      <c r="IC13" s="418"/>
      <c r="ID13" s="418"/>
      <c r="IE13" s="418"/>
      <c r="IF13" s="418"/>
      <c r="IG13" s="418"/>
      <c r="IH13" s="418"/>
      <c r="II13" s="418"/>
      <c r="IJ13" s="418"/>
      <c r="IK13" s="418"/>
      <c r="IL13" s="418"/>
      <c r="IM13" s="418"/>
      <c r="IN13" s="418"/>
      <c r="IO13" s="418"/>
      <c r="IP13" s="418"/>
      <c r="IQ13" s="418"/>
      <c r="IR13" s="418"/>
      <c r="IS13" s="418"/>
      <c r="IT13" s="418"/>
      <c r="IU13" s="418"/>
      <c r="IV13" s="418"/>
      <c r="IW13" s="418"/>
      <c r="IX13" s="418"/>
      <c r="IY13" s="418"/>
      <c r="IZ13" s="418"/>
      <c r="JA13" s="418"/>
      <c r="JB13" s="418"/>
    </row>
    <row r="14" spans="1:262" s="991" customFormat="1" ht="18" customHeight="1" x14ac:dyDescent="0.35">
      <c r="A14" s="773">
        <v>4</v>
      </c>
      <c r="B14" s="983"/>
      <c r="C14" s="464"/>
      <c r="D14" s="985" t="s">
        <v>308</v>
      </c>
      <c r="E14" s="430">
        <f>F14+G14+P17+2261</f>
        <v>338971</v>
      </c>
      <c r="F14" s="1026"/>
      <c r="G14" s="431">
        <f>50667+10996+4445+8177+635-1891</f>
        <v>73029</v>
      </c>
      <c r="H14" s="1000"/>
      <c r="I14" s="996">
        <v>1000</v>
      </c>
      <c r="J14" s="989">
        <v>500</v>
      </c>
      <c r="K14" s="989">
        <f>320196-4230-1500</f>
        <v>314466</v>
      </c>
      <c r="L14" s="989"/>
      <c r="M14" s="1013"/>
      <c r="N14" s="1013"/>
      <c r="O14" s="989"/>
      <c r="P14" s="982">
        <f>SUM(I14:O14)</f>
        <v>315966</v>
      </c>
      <c r="Q14" s="990"/>
    </row>
    <row r="15" spans="1:262" s="991" customFormat="1" ht="18" customHeight="1" x14ac:dyDescent="0.35">
      <c r="A15" s="773">
        <v>5</v>
      </c>
      <c r="B15" s="983"/>
      <c r="C15" s="464"/>
      <c r="D15" s="576" t="s">
        <v>1158</v>
      </c>
      <c r="E15" s="430"/>
      <c r="F15" s="1026"/>
      <c r="G15" s="431"/>
      <c r="H15" s="1000"/>
      <c r="I15" s="1525">
        <v>0</v>
      </c>
      <c r="J15" s="1524">
        <v>0</v>
      </c>
      <c r="K15" s="1524">
        <v>262181</v>
      </c>
      <c r="L15" s="1524">
        <v>350</v>
      </c>
      <c r="M15" s="759"/>
      <c r="N15" s="759"/>
      <c r="O15" s="1524">
        <v>1150</v>
      </c>
      <c r="P15" s="1547">
        <f>SUM(I15:O15)</f>
        <v>263681</v>
      </c>
      <c r="Q15" s="990"/>
    </row>
    <row r="16" spans="1:262" s="991" customFormat="1" ht="18" customHeight="1" x14ac:dyDescent="0.35">
      <c r="A16" s="773">
        <v>6</v>
      </c>
      <c r="B16" s="983"/>
      <c r="C16" s="464"/>
      <c r="D16" s="1318" t="s">
        <v>969</v>
      </c>
      <c r="E16" s="430"/>
      <c r="F16" s="1026"/>
      <c r="G16" s="431"/>
      <c r="H16" s="1000"/>
      <c r="I16" s="995"/>
      <c r="J16" s="759"/>
      <c r="K16" s="1771"/>
      <c r="L16" s="1524"/>
      <c r="M16" s="759"/>
      <c r="N16" s="759"/>
      <c r="O16" s="1524"/>
      <c r="P16" s="1741">
        <f>SUM(I16:O16)</f>
        <v>0</v>
      </c>
      <c r="Q16" s="990"/>
    </row>
    <row r="17" spans="1:262" s="991" customFormat="1" ht="18" customHeight="1" x14ac:dyDescent="0.35">
      <c r="A17" s="773">
        <v>7</v>
      </c>
      <c r="B17" s="983"/>
      <c r="C17" s="464"/>
      <c r="D17" s="576" t="s">
        <v>1250</v>
      </c>
      <c r="E17" s="430"/>
      <c r="F17" s="1026"/>
      <c r="G17" s="431"/>
      <c r="H17" s="1000"/>
      <c r="I17" s="1525">
        <f>SUM(I15:I16)</f>
        <v>0</v>
      </c>
      <c r="J17" s="1525">
        <f>SUM(J15:J16)</f>
        <v>0</v>
      </c>
      <c r="K17" s="1525">
        <f>SUM(K15:K16)</f>
        <v>262181</v>
      </c>
      <c r="L17" s="1525">
        <f>SUM(L15:L16)</f>
        <v>350</v>
      </c>
      <c r="M17" s="1525"/>
      <c r="N17" s="1525"/>
      <c r="O17" s="1525">
        <f>SUM(O15:O16)</f>
        <v>1150</v>
      </c>
      <c r="P17" s="767">
        <f>SUM(P15:P16)</f>
        <v>263681</v>
      </c>
      <c r="Q17" s="990"/>
    </row>
    <row r="18" spans="1:262" s="991" customFormat="1" ht="23.1" customHeight="1" x14ac:dyDescent="0.35">
      <c r="A18" s="773">
        <v>8</v>
      </c>
      <c r="B18" s="983"/>
      <c r="C18" s="464"/>
      <c r="D18" s="440" t="s">
        <v>1200</v>
      </c>
      <c r="E18" s="430"/>
      <c r="F18" s="1026"/>
      <c r="G18" s="431"/>
      <c r="H18" s="1000"/>
      <c r="I18" s="1525"/>
      <c r="J18" s="1525"/>
      <c r="K18" s="1775">
        <v>10000</v>
      </c>
      <c r="L18" s="1525"/>
      <c r="M18" s="1525"/>
      <c r="N18" s="1525"/>
      <c r="O18" s="1525"/>
      <c r="P18" s="1741">
        <f>SUM(I18:O18)</f>
        <v>10000</v>
      </c>
      <c r="Q18" s="990"/>
    </row>
    <row r="19" spans="1:262" s="991" customFormat="1" ht="22.5" customHeight="1" x14ac:dyDescent="0.35">
      <c r="A19" s="773">
        <v>9</v>
      </c>
      <c r="B19" s="983"/>
      <c r="C19" s="464"/>
      <c r="D19" s="2053" t="s">
        <v>742</v>
      </c>
      <c r="E19" s="430"/>
      <c r="F19" s="1026"/>
      <c r="G19" s="431"/>
      <c r="H19" s="1000"/>
      <c r="I19" s="996"/>
      <c r="J19" s="989"/>
      <c r="K19" s="1013"/>
      <c r="L19" s="989"/>
      <c r="M19" s="1013"/>
      <c r="N19" s="1013"/>
      <c r="O19" s="989"/>
      <c r="P19" s="982"/>
      <c r="Q19" s="990"/>
    </row>
    <row r="20" spans="1:262" s="991" customFormat="1" ht="22.5" customHeight="1" x14ac:dyDescent="0.35">
      <c r="A20" s="773">
        <v>10</v>
      </c>
      <c r="B20" s="983"/>
      <c r="C20" s="464"/>
      <c r="D20" s="761" t="s">
        <v>1243</v>
      </c>
      <c r="E20" s="430"/>
      <c r="F20" s="1026"/>
      <c r="G20" s="431"/>
      <c r="H20" s="1000"/>
      <c r="I20" s="996"/>
      <c r="J20" s="989"/>
      <c r="K20" s="1013"/>
      <c r="L20" s="989"/>
      <c r="M20" s="1013"/>
      <c r="N20" s="1013"/>
      <c r="O20" s="989"/>
      <c r="P20" s="982"/>
      <c r="Q20" s="990"/>
    </row>
    <row r="21" spans="1:262" s="991" customFormat="1" ht="18" customHeight="1" x14ac:dyDescent="0.35">
      <c r="A21" s="773">
        <v>11</v>
      </c>
      <c r="B21" s="983"/>
      <c r="C21" s="464"/>
      <c r="D21" s="985" t="s">
        <v>308</v>
      </c>
      <c r="E21" s="430">
        <f>F21+G21+P24</f>
        <v>0</v>
      </c>
      <c r="F21" s="1026"/>
      <c r="G21" s="431"/>
      <c r="H21" s="1000"/>
      <c r="I21" s="996"/>
      <c r="J21" s="989"/>
      <c r="K21" s="1013"/>
      <c r="L21" s="989"/>
      <c r="M21" s="1013"/>
      <c r="N21" s="989">
        <v>68500</v>
      </c>
      <c r="O21" s="989"/>
      <c r="P21" s="982">
        <f>SUM(I21:O21)</f>
        <v>68500</v>
      </c>
      <c r="Q21" s="990"/>
    </row>
    <row r="22" spans="1:262" s="991" customFormat="1" ht="18" customHeight="1" x14ac:dyDescent="0.35">
      <c r="A22" s="773">
        <v>12</v>
      </c>
      <c r="B22" s="983"/>
      <c r="C22" s="464"/>
      <c r="D22" s="576" t="s">
        <v>1158</v>
      </c>
      <c r="E22" s="430"/>
      <c r="F22" s="1026"/>
      <c r="G22" s="431"/>
      <c r="H22" s="1000"/>
      <c r="I22" s="996"/>
      <c r="J22" s="989"/>
      <c r="K22" s="1013"/>
      <c r="L22" s="989"/>
      <c r="M22" s="1013"/>
      <c r="N22" s="1524">
        <v>0</v>
      </c>
      <c r="O22" s="1524"/>
      <c r="P22" s="767">
        <f>SUM(I22:O22)</f>
        <v>0</v>
      </c>
      <c r="Q22" s="990"/>
    </row>
    <row r="23" spans="1:262" s="991" customFormat="1" ht="18" customHeight="1" x14ac:dyDescent="0.35">
      <c r="A23" s="773">
        <v>13</v>
      </c>
      <c r="B23" s="983"/>
      <c r="C23" s="464"/>
      <c r="D23" s="1318" t="s">
        <v>969</v>
      </c>
      <c r="E23" s="430"/>
      <c r="F23" s="1026"/>
      <c r="G23" s="431"/>
      <c r="H23" s="1000"/>
      <c r="I23" s="1525"/>
      <c r="J23" s="1524"/>
      <c r="K23" s="759"/>
      <c r="L23" s="1524"/>
      <c r="M23" s="759"/>
      <c r="N23" s="1771"/>
      <c r="O23" s="1524"/>
      <c r="P23" s="1741">
        <f t="shared" ref="P23:P24" si="0">SUM(I23:O23)</f>
        <v>0</v>
      </c>
      <c r="Q23" s="990"/>
    </row>
    <row r="24" spans="1:262" s="991" customFormat="1" ht="18" customHeight="1" x14ac:dyDescent="0.35">
      <c r="A24" s="773">
        <v>14</v>
      </c>
      <c r="B24" s="983"/>
      <c r="C24" s="464"/>
      <c r="D24" s="576" t="s">
        <v>1250</v>
      </c>
      <c r="E24" s="430"/>
      <c r="F24" s="1026"/>
      <c r="G24" s="431"/>
      <c r="H24" s="1000"/>
      <c r="I24" s="1525"/>
      <c r="J24" s="1524"/>
      <c r="K24" s="759"/>
      <c r="L24" s="1524"/>
      <c r="M24" s="759"/>
      <c r="N24" s="1524">
        <f>SUM(N22:N23)</f>
        <v>0</v>
      </c>
      <c r="O24" s="1524"/>
      <c r="P24" s="767">
        <f t="shared" si="0"/>
        <v>0</v>
      </c>
      <c r="Q24" s="990"/>
    </row>
    <row r="25" spans="1:262" s="991" customFormat="1" ht="22.5" customHeight="1" x14ac:dyDescent="0.35">
      <c r="A25" s="773">
        <v>15</v>
      </c>
      <c r="B25" s="983"/>
      <c r="C25" s="464"/>
      <c r="D25" s="761" t="s">
        <v>739</v>
      </c>
      <c r="E25" s="430"/>
      <c r="F25" s="1026"/>
      <c r="G25" s="431"/>
      <c r="H25" s="1000"/>
      <c r="I25" s="996"/>
      <c r="J25" s="989"/>
      <c r="K25" s="1013"/>
      <c r="L25" s="989"/>
      <c r="M25" s="1013"/>
      <c r="N25" s="1013"/>
      <c r="O25" s="989"/>
      <c r="P25" s="982"/>
      <c r="Q25" s="990"/>
    </row>
    <row r="26" spans="1:262" s="991" customFormat="1" ht="18" customHeight="1" x14ac:dyDescent="0.35">
      <c r="A26" s="773">
        <v>16</v>
      </c>
      <c r="B26" s="983"/>
      <c r="C26" s="464"/>
      <c r="D26" s="985" t="s">
        <v>308</v>
      </c>
      <c r="E26" s="430">
        <f>F26+G26+P29</f>
        <v>0</v>
      </c>
      <c r="F26" s="1026"/>
      <c r="G26" s="431"/>
      <c r="H26" s="1000"/>
      <c r="I26" s="996"/>
      <c r="J26" s="989"/>
      <c r="K26" s="1013"/>
      <c r="L26" s="989"/>
      <c r="M26" s="989">
        <v>38500</v>
      </c>
      <c r="N26" s="1013"/>
      <c r="O26" s="989"/>
      <c r="P26" s="982">
        <f>SUM(I26:O26)</f>
        <v>38500</v>
      </c>
      <c r="Q26" s="990"/>
    </row>
    <row r="27" spans="1:262" s="991" customFormat="1" ht="18" customHeight="1" x14ac:dyDescent="0.35">
      <c r="A27" s="773">
        <v>17</v>
      </c>
      <c r="B27" s="983"/>
      <c r="C27" s="464"/>
      <c r="D27" s="576" t="s">
        <v>1158</v>
      </c>
      <c r="E27" s="430"/>
      <c r="F27" s="1026"/>
      <c r="G27" s="431"/>
      <c r="H27" s="1000"/>
      <c r="I27" s="996"/>
      <c r="J27" s="989"/>
      <c r="K27" s="1013"/>
      <c r="L27" s="989"/>
      <c r="M27" s="1524">
        <v>0</v>
      </c>
      <c r="N27" s="759"/>
      <c r="O27" s="1524"/>
      <c r="P27" s="767">
        <f>SUM(I27:O27)</f>
        <v>0</v>
      </c>
      <c r="Q27" s="990"/>
    </row>
    <row r="28" spans="1:262" s="991" customFormat="1" ht="18" customHeight="1" x14ac:dyDescent="0.35">
      <c r="A28" s="773">
        <v>18</v>
      </c>
      <c r="B28" s="983"/>
      <c r="C28" s="464"/>
      <c r="D28" s="1318" t="s">
        <v>969</v>
      </c>
      <c r="E28" s="430"/>
      <c r="F28" s="1026"/>
      <c r="G28" s="431"/>
      <c r="H28" s="1000"/>
      <c r="I28" s="1525"/>
      <c r="J28" s="1524"/>
      <c r="K28" s="759"/>
      <c r="L28" s="1524"/>
      <c r="M28" s="1771"/>
      <c r="N28" s="759"/>
      <c r="O28" s="1524"/>
      <c r="P28" s="1741">
        <f t="shared" ref="P28:P70" si="1">SUM(I28:O28)</f>
        <v>0</v>
      </c>
      <c r="Q28" s="990"/>
    </row>
    <row r="29" spans="1:262" s="991" customFormat="1" ht="18" customHeight="1" x14ac:dyDescent="0.35">
      <c r="A29" s="773">
        <v>19</v>
      </c>
      <c r="B29" s="983"/>
      <c r="C29" s="464"/>
      <c r="D29" s="576" t="s">
        <v>1250</v>
      </c>
      <c r="E29" s="430"/>
      <c r="F29" s="1026"/>
      <c r="G29" s="431"/>
      <c r="H29" s="1000"/>
      <c r="I29" s="1525"/>
      <c r="J29" s="1524"/>
      <c r="K29" s="759"/>
      <c r="L29" s="1524"/>
      <c r="M29" s="1524">
        <f>SUM(M27:M28)</f>
        <v>0</v>
      </c>
      <c r="N29" s="759"/>
      <c r="O29" s="1524"/>
      <c r="P29" s="767">
        <f>SUM(I29:O29)</f>
        <v>0</v>
      </c>
      <c r="Q29" s="990"/>
    </row>
    <row r="30" spans="1:262" s="758" customFormat="1" ht="22.5" customHeight="1" x14ac:dyDescent="0.35">
      <c r="A30" s="773">
        <v>20</v>
      </c>
      <c r="B30" s="766"/>
      <c r="C30" s="464"/>
      <c r="D30" s="761" t="s">
        <v>698</v>
      </c>
      <c r="E30" s="430"/>
      <c r="F30" s="762"/>
      <c r="G30" s="431"/>
      <c r="H30" s="999"/>
      <c r="I30" s="995"/>
      <c r="J30" s="759"/>
      <c r="K30" s="759"/>
      <c r="L30" s="759"/>
      <c r="M30" s="759"/>
      <c r="N30" s="759"/>
      <c r="O30" s="759"/>
      <c r="P30" s="767"/>
      <c r="Q30" s="763"/>
      <c r="R30" s="418"/>
      <c r="S30" s="418"/>
      <c r="T30" s="418"/>
      <c r="U30" s="418"/>
      <c r="V30" s="418"/>
      <c r="W30" s="418"/>
      <c r="X30" s="418"/>
      <c r="Y30" s="418"/>
      <c r="Z30" s="418"/>
      <c r="AA30" s="418"/>
      <c r="AB30" s="418"/>
      <c r="AC30" s="418"/>
      <c r="AD30" s="418"/>
      <c r="AE30" s="418"/>
      <c r="AF30" s="418"/>
      <c r="AG30" s="418"/>
      <c r="AH30" s="418"/>
      <c r="AI30" s="418"/>
      <c r="AJ30" s="418"/>
      <c r="AK30" s="418"/>
      <c r="AL30" s="418"/>
      <c r="AM30" s="418"/>
      <c r="AN30" s="418"/>
      <c r="AO30" s="418"/>
      <c r="AP30" s="418"/>
      <c r="AQ30" s="418"/>
      <c r="AR30" s="418"/>
      <c r="AS30" s="418"/>
      <c r="AT30" s="418"/>
      <c r="AU30" s="418"/>
      <c r="AV30" s="418"/>
      <c r="AW30" s="418"/>
      <c r="AX30" s="418"/>
      <c r="AY30" s="418"/>
      <c r="AZ30" s="418"/>
      <c r="BA30" s="418"/>
      <c r="BB30" s="418"/>
      <c r="BC30" s="418"/>
      <c r="BD30" s="418"/>
      <c r="BE30" s="418"/>
      <c r="BF30" s="418"/>
      <c r="BG30" s="418"/>
      <c r="BH30" s="418"/>
      <c r="BI30" s="418"/>
      <c r="BJ30" s="418"/>
      <c r="BK30" s="418"/>
      <c r="BL30" s="418"/>
      <c r="BM30" s="418"/>
      <c r="BN30" s="418"/>
      <c r="BO30" s="418"/>
      <c r="BP30" s="418"/>
      <c r="BQ30" s="418"/>
      <c r="BR30" s="418"/>
      <c r="BS30" s="418"/>
      <c r="BT30" s="418"/>
      <c r="BU30" s="418"/>
      <c r="BV30" s="418"/>
      <c r="BW30" s="418"/>
      <c r="BX30" s="418"/>
      <c r="BY30" s="418"/>
      <c r="BZ30" s="418"/>
      <c r="CA30" s="418"/>
      <c r="CB30" s="418"/>
      <c r="CC30" s="418"/>
      <c r="CD30" s="418"/>
      <c r="CE30" s="418"/>
      <c r="CF30" s="418"/>
      <c r="CG30" s="418"/>
      <c r="CH30" s="418"/>
      <c r="CI30" s="418"/>
      <c r="CJ30" s="418"/>
      <c r="CK30" s="418"/>
      <c r="CL30" s="418"/>
      <c r="CM30" s="418"/>
      <c r="CN30" s="418"/>
      <c r="CO30" s="418"/>
      <c r="CP30" s="418"/>
      <c r="CQ30" s="418"/>
      <c r="CR30" s="418"/>
      <c r="CS30" s="418"/>
      <c r="CT30" s="418"/>
      <c r="CU30" s="418"/>
      <c r="CV30" s="418"/>
      <c r="CW30" s="418"/>
      <c r="CX30" s="418"/>
      <c r="CY30" s="418"/>
      <c r="CZ30" s="418"/>
      <c r="DA30" s="418"/>
      <c r="DB30" s="418"/>
      <c r="DC30" s="418"/>
      <c r="DD30" s="418"/>
      <c r="DE30" s="418"/>
      <c r="DF30" s="418"/>
      <c r="DG30" s="418"/>
      <c r="DH30" s="418"/>
      <c r="DI30" s="418"/>
      <c r="DJ30" s="418"/>
      <c r="DK30" s="418"/>
      <c r="DL30" s="418"/>
      <c r="DM30" s="418"/>
      <c r="DN30" s="418"/>
      <c r="DO30" s="418"/>
      <c r="DP30" s="418"/>
      <c r="DQ30" s="418"/>
      <c r="DR30" s="418"/>
      <c r="DS30" s="418"/>
      <c r="DT30" s="418"/>
      <c r="DU30" s="418"/>
      <c r="DV30" s="418"/>
      <c r="DW30" s="418"/>
      <c r="DX30" s="418"/>
      <c r="DY30" s="418"/>
      <c r="DZ30" s="418"/>
      <c r="EA30" s="418"/>
      <c r="EB30" s="418"/>
      <c r="EC30" s="418"/>
      <c r="ED30" s="418"/>
      <c r="EE30" s="418"/>
      <c r="EF30" s="418"/>
      <c r="EG30" s="418"/>
      <c r="EH30" s="418"/>
      <c r="EI30" s="418"/>
      <c r="EJ30" s="418"/>
      <c r="EK30" s="418"/>
      <c r="EL30" s="418"/>
      <c r="EM30" s="418"/>
      <c r="EN30" s="418"/>
      <c r="EO30" s="418"/>
      <c r="EP30" s="418"/>
      <c r="EQ30" s="418"/>
      <c r="ER30" s="418"/>
      <c r="ES30" s="418"/>
      <c r="ET30" s="418"/>
      <c r="EU30" s="418"/>
      <c r="EV30" s="418"/>
      <c r="EW30" s="418"/>
      <c r="EX30" s="418"/>
      <c r="EY30" s="418"/>
      <c r="EZ30" s="418"/>
      <c r="FA30" s="418"/>
      <c r="FB30" s="418"/>
      <c r="FC30" s="418"/>
      <c r="FD30" s="418"/>
      <c r="FE30" s="418"/>
      <c r="FF30" s="418"/>
      <c r="FG30" s="418"/>
      <c r="FH30" s="418"/>
      <c r="FI30" s="418"/>
      <c r="FJ30" s="418"/>
      <c r="FK30" s="418"/>
      <c r="FL30" s="418"/>
      <c r="FM30" s="418"/>
      <c r="FN30" s="418"/>
      <c r="FO30" s="418"/>
      <c r="FP30" s="418"/>
      <c r="FQ30" s="418"/>
      <c r="FR30" s="418"/>
      <c r="FS30" s="418"/>
      <c r="FT30" s="418"/>
      <c r="FU30" s="418"/>
      <c r="FV30" s="418"/>
      <c r="FW30" s="418"/>
      <c r="FX30" s="418"/>
      <c r="FY30" s="418"/>
      <c r="FZ30" s="418"/>
      <c r="GA30" s="418"/>
      <c r="GB30" s="418"/>
      <c r="GC30" s="418"/>
      <c r="GD30" s="418"/>
      <c r="GE30" s="418"/>
      <c r="GF30" s="418"/>
      <c r="GG30" s="418"/>
      <c r="GH30" s="418"/>
      <c r="GI30" s="418"/>
      <c r="GJ30" s="418"/>
      <c r="GK30" s="418"/>
      <c r="GL30" s="418"/>
      <c r="GM30" s="418"/>
      <c r="GN30" s="418"/>
      <c r="GO30" s="418"/>
      <c r="GP30" s="418"/>
      <c r="GQ30" s="418"/>
      <c r="GR30" s="418"/>
      <c r="GS30" s="418"/>
      <c r="GT30" s="418"/>
      <c r="GU30" s="418"/>
      <c r="GV30" s="418"/>
      <c r="GW30" s="418"/>
      <c r="GX30" s="418"/>
      <c r="GY30" s="418"/>
      <c r="GZ30" s="418"/>
      <c r="HA30" s="418"/>
      <c r="HB30" s="418"/>
      <c r="HC30" s="418"/>
      <c r="HD30" s="418"/>
      <c r="HE30" s="418"/>
      <c r="HF30" s="418"/>
      <c r="HG30" s="418"/>
      <c r="HH30" s="418"/>
      <c r="HI30" s="418"/>
      <c r="HJ30" s="418"/>
      <c r="HK30" s="418"/>
      <c r="HL30" s="418"/>
      <c r="HM30" s="418"/>
      <c r="HN30" s="418"/>
      <c r="HO30" s="418"/>
      <c r="HP30" s="418"/>
      <c r="HQ30" s="418"/>
      <c r="HR30" s="418"/>
      <c r="HS30" s="418"/>
      <c r="HT30" s="418"/>
      <c r="HU30" s="418"/>
      <c r="HV30" s="418"/>
      <c r="HW30" s="418"/>
      <c r="HX30" s="418"/>
      <c r="HY30" s="418"/>
      <c r="HZ30" s="418"/>
      <c r="IA30" s="418"/>
      <c r="IB30" s="418"/>
      <c r="IC30" s="418"/>
      <c r="ID30" s="418"/>
      <c r="IE30" s="418"/>
      <c r="IF30" s="418"/>
      <c r="IG30" s="418"/>
      <c r="IH30" s="418"/>
      <c r="II30" s="418"/>
      <c r="IJ30" s="418"/>
      <c r="IK30" s="418"/>
      <c r="IL30" s="418"/>
      <c r="IM30" s="418"/>
      <c r="IN30" s="418"/>
      <c r="IO30" s="418"/>
      <c r="IP30" s="418"/>
      <c r="IQ30" s="418"/>
      <c r="IR30" s="418"/>
      <c r="IS30" s="418"/>
      <c r="IT30" s="418"/>
      <c r="IU30" s="418"/>
      <c r="IV30" s="418"/>
      <c r="IW30" s="418"/>
      <c r="IX30" s="418"/>
      <c r="IY30" s="418"/>
      <c r="IZ30" s="418"/>
      <c r="JA30" s="418"/>
      <c r="JB30" s="418"/>
    </row>
    <row r="31" spans="1:262" s="991" customFormat="1" ht="18" customHeight="1" x14ac:dyDescent="0.35">
      <c r="A31" s="773">
        <v>21</v>
      </c>
      <c r="B31" s="983"/>
      <c r="C31" s="1068"/>
      <c r="D31" s="985" t="s">
        <v>308</v>
      </c>
      <c r="E31" s="1076">
        <f>F31+G31+P34</f>
        <v>4012</v>
      </c>
      <c r="F31" s="1069"/>
      <c r="G31" s="1078">
        <v>1891</v>
      </c>
      <c r="H31" s="1070"/>
      <c r="I31" s="1071"/>
      <c r="J31" s="1072"/>
      <c r="K31" s="1072">
        <v>4230</v>
      </c>
      <c r="L31" s="1072"/>
      <c r="M31" s="1072"/>
      <c r="N31" s="1072"/>
      <c r="O31" s="1072"/>
      <c r="P31" s="1073">
        <f>SUM(I31:O31)</f>
        <v>4230</v>
      </c>
      <c r="Q31" s="1065"/>
    </row>
    <row r="32" spans="1:262" s="991" customFormat="1" ht="18" customHeight="1" x14ac:dyDescent="0.35">
      <c r="A32" s="773">
        <v>22</v>
      </c>
      <c r="B32" s="983"/>
      <c r="C32" s="1068"/>
      <c r="D32" s="576" t="s">
        <v>1158</v>
      </c>
      <c r="E32" s="1076"/>
      <c r="F32" s="1069"/>
      <c r="G32" s="1078"/>
      <c r="H32" s="1070"/>
      <c r="I32" s="1071"/>
      <c r="J32" s="1071"/>
      <c r="K32" s="1818">
        <v>2121</v>
      </c>
      <c r="L32" s="1818"/>
      <c r="M32" s="1818"/>
      <c r="N32" s="1818"/>
      <c r="O32" s="1818"/>
      <c r="P32" s="1547">
        <f>SUM(I32:O32)</f>
        <v>2121</v>
      </c>
      <c r="Q32" s="1065"/>
    </row>
    <row r="33" spans="1:17" s="991" customFormat="1" ht="18" customHeight="1" x14ac:dyDescent="0.35">
      <c r="A33" s="773">
        <v>23</v>
      </c>
      <c r="B33" s="983"/>
      <c r="C33" s="464"/>
      <c r="D33" s="1318" t="s">
        <v>969</v>
      </c>
      <c r="E33" s="430"/>
      <c r="F33" s="1026"/>
      <c r="G33" s="431"/>
      <c r="H33" s="1000"/>
      <c r="I33" s="1525"/>
      <c r="J33" s="1525"/>
      <c r="K33" s="1775"/>
      <c r="L33" s="1525"/>
      <c r="M33" s="1525"/>
      <c r="N33" s="1525"/>
      <c r="O33" s="1525"/>
      <c r="P33" s="1741">
        <f>SUM(I33:O33)</f>
        <v>0</v>
      </c>
      <c r="Q33" s="990"/>
    </row>
    <row r="34" spans="1:17" s="991" customFormat="1" ht="18" customHeight="1" x14ac:dyDescent="0.35">
      <c r="A34" s="773">
        <v>24</v>
      </c>
      <c r="B34" s="983"/>
      <c r="C34" s="1518"/>
      <c r="D34" s="576" t="s">
        <v>1250</v>
      </c>
      <c r="E34" s="1519"/>
      <c r="F34" s="1520"/>
      <c r="G34" s="1521"/>
      <c r="H34" s="1522"/>
      <c r="I34" s="1526"/>
      <c r="J34" s="1526"/>
      <c r="K34" s="1526">
        <f>SUM(K32:K33)</f>
        <v>2121</v>
      </c>
      <c r="L34" s="1526"/>
      <c r="M34" s="1526"/>
      <c r="N34" s="1526"/>
      <c r="O34" s="1526"/>
      <c r="P34" s="767">
        <f>SUM(I34:O34)</f>
        <v>2121</v>
      </c>
      <c r="Q34" s="1523"/>
    </row>
    <row r="35" spans="1:17" s="991" customFormat="1" ht="22.5" customHeight="1" x14ac:dyDescent="0.35">
      <c r="A35" s="773">
        <v>25</v>
      </c>
      <c r="B35" s="983"/>
      <c r="C35" s="464"/>
      <c r="D35" s="761" t="s">
        <v>1096</v>
      </c>
      <c r="E35" s="430"/>
      <c r="F35" s="1026"/>
      <c r="G35" s="431"/>
      <c r="H35" s="1000"/>
      <c r="I35" s="1525"/>
      <c r="J35" s="1525"/>
      <c r="K35" s="1525"/>
      <c r="L35" s="1525"/>
      <c r="M35" s="1525"/>
      <c r="N35" s="1525"/>
      <c r="O35" s="1525"/>
      <c r="P35" s="767"/>
      <c r="Q35" s="990"/>
    </row>
    <row r="36" spans="1:17" s="991" customFormat="1" ht="18" customHeight="1" x14ac:dyDescent="0.35">
      <c r="A36" s="773">
        <v>26</v>
      </c>
      <c r="B36" s="983"/>
      <c r="C36" s="1518"/>
      <c r="D36" s="576" t="s">
        <v>1158</v>
      </c>
      <c r="E36" s="1076">
        <f>F36+G36+P38</f>
        <v>45022</v>
      </c>
      <c r="F36" s="1026"/>
      <c r="G36" s="431"/>
      <c r="H36" s="1000"/>
      <c r="I36" s="1525"/>
      <c r="J36" s="1525"/>
      <c r="K36" s="1525"/>
      <c r="L36" s="1525"/>
      <c r="M36" s="1525">
        <v>45022</v>
      </c>
      <c r="N36" s="1525"/>
      <c r="O36" s="1525"/>
      <c r="P36" s="1547">
        <f>SUM(I36:O36)</f>
        <v>45022</v>
      </c>
      <c r="Q36" s="990"/>
    </row>
    <row r="37" spans="1:17" s="991" customFormat="1" ht="18" customHeight="1" x14ac:dyDescent="0.35">
      <c r="A37" s="773">
        <v>27</v>
      </c>
      <c r="B37" s="983"/>
      <c r="C37" s="464"/>
      <c r="D37" s="1318" t="s">
        <v>969</v>
      </c>
      <c r="E37" s="430"/>
      <c r="F37" s="1026"/>
      <c r="G37" s="431"/>
      <c r="H37" s="1000"/>
      <c r="I37" s="1525"/>
      <c r="J37" s="1525"/>
      <c r="K37" s="1525"/>
      <c r="L37" s="1525"/>
      <c r="M37" s="1775"/>
      <c r="N37" s="1525"/>
      <c r="O37" s="1525"/>
      <c r="P37" s="1741">
        <f>SUM(I37:O37)</f>
        <v>0</v>
      </c>
      <c r="Q37" s="990"/>
    </row>
    <row r="38" spans="1:17" s="991" customFormat="1" ht="18" customHeight="1" x14ac:dyDescent="0.35">
      <c r="A38" s="773">
        <v>28</v>
      </c>
      <c r="B38" s="983"/>
      <c r="C38" s="464"/>
      <c r="D38" s="576" t="s">
        <v>1250</v>
      </c>
      <c r="E38" s="1519"/>
      <c r="F38" s="1520"/>
      <c r="G38" s="1521"/>
      <c r="H38" s="1522"/>
      <c r="I38" s="1526"/>
      <c r="J38" s="1526"/>
      <c r="K38" s="1526"/>
      <c r="L38" s="1526"/>
      <c r="M38" s="1526">
        <f>SUM(M36:M37)</f>
        <v>45022</v>
      </c>
      <c r="N38" s="1526"/>
      <c r="O38" s="1526"/>
      <c r="P38" s="767">
        <f>SUM(I38:O38)</f>
        <v>45022</v>
      </c>
      <c r="Q38" s="1523"/>
    </row>
    <row r="39" spans="1:17" s="991" customFormat="1" ht="22.5" customHeight="1" x14ac:dyDescent="0.35">
      <c r="A39" s="773">
        <v>29</v>
      </c>
      <c r="B39" s="983"/>
      <c r="C39" s="464"/>
      <c r="D39" s="761" t="s">
        <v>1003</v>
      </c>
      <c r="E39" s="430"/>
      <c r="F39" s="1026"/>
      <c r="G39" s="431"/>
      <c r="H39" s="1000"/>
      <c r="I39" s="1525"/>
      <c r="J39" s="1524"/>
      <c r="K39" s="759"/>
      <c r="L39" s="1524"/>
      <c r="M39" s="759"/>
      <c r="N39" s="759"/>
      <c r="O39" s="1524"/>
      <c r="P39" s="767"/>
      <c r="Q39" s="990"/>
    </row>
    <row r="40" spans="1:17" s="991" customFormat="1" ht="22.5" customHeight="1" x14ac:dyDescent="0.35">
      <c r="A40" s="773">
        <v>30</v>
      </c>
      <c r="B40" s="983"/>
      <c r="C40" s="464"/>
      <c r="D40" s="576" t="s">
        <v>1158</v>
      </c>
      <c r="E40" s="1076">
        <f>F40+G40+P42</f>
        <v>86233</v>
      </c>
      <c r="F40" s="1026"/>
      <c r="G40" s="431"/>
      <c r="H40" s="1000"/>
      <c r="I40" s="1525"/>
      <c r="J40" s="1524"/>
      <c r="K40" s="759"/>
      <c r="L40" s="1524"/>
      <c r="M40" s="1524">
        <v>86233</v>
      </c>
      <c r="N40" s="759"/>
      <c r="O40" s="1524"/>
      <c r="P40" s="1547">
        <f>SUM(I40:O40)</f>
        <v>86233</v>
      </c>
      <c r="Q40" s="990"/>
    </row>
    <row r="41" spans="1:17" s="991" customFormat="1" ht="18" customHeight="1" x14ac:dyDescent="0.35">
      <c r="A41" s="773">
        <v>31</v>
      </c>
      <c r="B41" s="983"/>
      <c r="C41" s="464"/>
      <c r="D41" s="1318" t="s">
        <v>969</v>
      </c>
      <c r="E41" s="430"/>
      <c r="F41" s="1026"/>
      <c r="G41" s="431"/>
      <c r="H41" s="1000"/>
      <c r="I41" s="1525"/>
      <c r="J41" s="1524"/>
      <c r="K41" s="759"/>
      <c r="L41" s="1524"/>
      <c r="M41" s="1771"/>
      <c r="N41" s="759"/>
      <c r="O41" s="1524"/>
      <c r="P41" s="1741">
        <f t="shared" si="1"/>
        <v>0</v>
      </c>
      <c r="Q41" s="990"/>
    </row>
    <row r="42" spans="1:17" s="991" customFormat="1" ht="18" customHeight="1" x14ac:dyDescent="0.35">
      <c r="A42" s="773">
        <v>32</v>
      </c>
      <c r="B42" s="983"/>
      <c r="C42" s="464"/>
      <c r="D42" s="576" t="s">
        <v>1250</v>
      </c>
      <c r="E42" s="430"/>
      <c r="F42" s="1026"/>
      <c r="G42" s="431"/>
      <c r="H42" s="1000"/>
      <c r="I42" s="1525"/>
      <c r="J42" s="1524"/>
      <c r="K42" s="759"/>
      <c r="L42" s="1524"/>
      <c r="M42" s="1524">
        <f>SUM(M40:M41)</f>
        <v>86233</v>
      </c>
      <c r="N42" s="759"/>
      <c r="O42" s="1524"/>
      <c r="P42" s="767">
        <f t="shared" si="1"/>
        <v>86233</v>
      </c>
      <c r="Q42" s="990"/>
    </row>
    <row r="43" spans="1:17" s="991" customFormat="1" ht="22.5" customHeight="1" x14ac:dyDescent="0.35">
      <c r="A43" s="773">
        <v>33</v>
      </c>
      <c r="B43" s="983"/>
      <c r="C43" s="464"/>
      <c r="D43" s="761" t="s">
        <v>1005</v>
      </c>
      <c r="E43" s="430"/>
      <c r="F43" s="1026"/>
      <c r="G43" s="431"/>
      <c r="H43" s="1000"/>
      <c r="I43" s="1525"/>
      <c r="J43" s="1524"/>
      <c r="K43" s="759"/>
      <c r="L43" s="1524"/>
      <c r="M43" s="759"/>
      <c r="N43" s="759"/>
      <c r="O43" s="1524"/>
      <c r="P43" s="767"/>
      <c r="Q43" s="990"/>
    </row>
    <row r="44" spans="1:17" s="991" customFormat="1" ht="22.5" customHeight="1" x14ac:dyDescent="0.35">
      <c r="A44" s="773">
        <v>34</v>
      </c>
      <c r="B44" s="983"/>
      <c r="C44" s="464"/>
      <c r="D44" s="576" t="s">
        <v>1158</v>
      </c>
      <c r="E44" s="1076">
        <f>F44+G44+P46</f>
        <v>4328</v>
      </c>
      <c r="F44" s="1026"/>
      <c r="G44" s="431"/>
      <c r="H44" s="1000"/>
      <c r="I44" s="1525"/>
      <c r="J44" s="1524"/>
      <c r="K44" s="1524"/>
      <c r="L44" s="1524"/>
      <c r="M44" s="1524">
        <v>4328</v>
      </c>
      <c r="N44" s="759"/>
      <c r="O44" s="1524"/>
      <c r="P44" s="1547">
        <f>SUM(I44:O44)</f>
        <v>4328</v>
      </c>
      <c r="Q44" s="990"/>
    </row>
    <row r="45" spans="1:17" s="991" customFormat="1" ht="18" customHeight="1" x14ac:dyDescent="0.35">
      <c r="A45" s="773">
        <v>35</v>
      </c>
      <c r="B45" s="983"/>
      <c r="C45" s="464"/>
      <c r="D45" s="1318" t="s">
        <v>969</v>
      </c>
      <c r="E45" s="430"/>
      <c r="F45" s="1026"/>
      <c r="G45" s="431"/>
      <c r="H45" s="1000"/>
      <c r="I45" s="1525"/>
      <c r="J45" s="1524"/>
      <c r="K45" s="1771"/>
      <c r="L45" s="1524"/>
      <c r="M45" s="1771"/>
      <c r="N45" s="759"/>
      <c r="O45" s="1524"/>
      <c r="P45" s="1741">
        <f t="shared" si="1"/>
        <v>0</v>
      </c>
      <c r="Q45" s="990"/>
    </row>
    <row r="46" spans="1:17" s="991" customFormat="1" ht="18" customHeight="1" x14ac:dyDescent="0.35">
      <c r="A46" s="773">
        <v>36</v>
      </c>
      <c r="B46" s="983"/>
      <c r="C46" s="464"/>
      <c r="D46" s="576" t="s">
        <v>1250</v>
      </c>
      <c r="E46" s="430"/>
      <c r="F46" s="1026"/>
      <c r="G46" s="431"/>
      <c r="H46" s="1000"/>
      <c r="I46" s="1525"/>
      <c r="J46" s="1524"/>
      <c r="K46" s="1524"/>
      <c r="L46" s="1524"/>
      <c r="M46" s="1524">
        <f>SUM(M44:M45)</f>
        <v>4328</v>
      </c>
      <c r="N46" s="759"/>
      <c r="O46" s="1524"/>
      <c r="P46" s="767">
        <f t="shared" si="1"/>
        <v>4328</v>
      </c>
      <c r="Q46" s="990"/>
    </row>
    <row r="47" spans="1:17" s="991" customFormat="1" ht="22.5" customHeight="1" x14ac:dyDescent="0.35">
      <c r="A47" s="773">
        <v>37</v>
      </c>
      <c r="B47" s="983"/>
      <c r="C47" s="464"/>
      <c r="D47" s="761" t="s">
        <v>1006</v>
      </c>
      <c r="E47" s="430"/>
      <c r="F47" s="1026"/>
      <c r="G47" s="431"/>
      <c r="H47" s="1000"/>
      <c r="I47" s="1525"/>
      <c r="J47" s="1524"/>
      <c r="K47" s="759"/>
      <c r="L47" s="1524"/>
      <c r="M47" s="759"/>
      <c r="N47" s="759"/>
      <c r="O47" s="1524"/>
      <c r="P47" s="767"/>
      <c r="Q47" s="990"/>
    </row>
    <row r="48" spans="1:17" s="991" customFormat="1" ht="22.5" customHeight="1" x14ac:dyDescent="0.35">
      <c r="A48" s="773">
        <v>38</v>
      </c>
      <c r="B48" s="983"/>
      <c r="C48" s="464"/>
      <c r="D48" s="576" t="s">
        <v>1158</v>
      </c>
      <c r="E48" s="1076">
        <f>F48+G48+P50</f>
        <v>3021</v>
      </c>
      <c r="F48" s="1026"/>
      <c r="G48" s="431"/>
      <c r="H48" s="1000"/>
      <c r="I48" s="1525"/>
      <c r="J48" s="1524"/>
      <c r="K48" s="1524"/>
      <c r="L48" s="1524"/>
      <c r="M48" s="1524">
        <v>3021</v>
      </c>
      <c r="N48" s="759"/>
      <c r="O48" s="1524"/>
      <c r="P48" s="1547">
        <f>SUM(I48:O48)</f>
        <v>3021</v>
      </c>
      <c r="Q48" s="990"/>
    </row>
    <row r="49" spans="1:17" s="991" customFormat="1" ht="18" customHeight="1" x14ac:dyDescent="0.35">
      <c r="A49" s="773">
        <v>39</v>
      </c>
      <c r="B49" s="983"/>
      <c r="C49" s="464"/>
      <c r="D49" s="1318" t="s">
        <v>970</v>
      </c>
      <c r="E49" s="430"/>
      <c r="F49" s="1026"/>
      <c r="G49" s="431"/>
      <c r="H49" s="1000"/>
      <c r="I49" s="1525"/>
      <c r="J49" s="1524"/>
      <c r="K49" s="1771"/>
      <c r="L49" s="1524"/>
      <c r="M49" s="1771"/>
      <c r="N49" s="759"/>
      <c r="O49" s="1524"/>
      <c r="P49" s="1741">
        <f t="shared" si="1"/>
        <v>0</v>
      </c>
      <c r="Q49" s="990"/>
    </row>
    <row r="50" spans="1:17" s="991" customFormat="1" ht="18" customHeight="1" x14ac:dyDescent="0.35">
      <c r="A50" s="773">
        <v>40</v>
      </c>
      <c r="B50" s="983"/>
      <c r="C50" s="464"/>
      <c r="D50" s="576" t="s">
        <v>1250</v>
      </c>
      <c r="E50" s="430"/>
      <c r="F50" s="1026"/>
      <c r="G50" s="431"/>
      <c r="H50" s="1000"/>
      <c r="I50" s="1525"/>
      <c r="J50" s="1524"/>
      <c r="K50" s="1524"/>
      <c r="L50" s="1524"/>
      <c r="M50" s="1524">
        <f>SUM(M48:M49)</f>
        <v>3021</v>
      </c>
      <c r="N50" s="759"/>
      <c r="O50" s="1524"/>
      <c r="P50" s="767">
        <f t="shared" si="1"/>
        <v>3021</v>
      </c>
      <c r="Q50" s="990"/>
    </row>
    <row r="51" spans="1:17" s="991" customFormat="1" ht="22.5" customHeight="1" x14ac:dyDescent="0.35">
      <c r="A51" s="773">
        <v>41</v>
      </c>
      <c r="B51" s="983"/>
      <c r="C51" s="464"/>
      <c r="D51" s="761" t="s">
        <v>1010</v>
      </c>
      <c r="E51" s="430"/>
      <c r="F51" s="1026"/>
      <c r="G51" s="431"/>
      <c r="H51" s="1000"/>
      <c r="I51" s="1525"/>
      <c r="J51" s="1524"/>
      <c r="K51" s="1524"/>
      <c r="L51" s="1524"/>
      <c r="M51" s="1524"/>
      <c r="N51" s="759"/>
      <c r="O51" s="1524"/>
      <c r="P51" s="767"/>
      <c r="Q51" s="990"/>
    </row>
    <row r="52" spans="1:17" s="991" customFormat="1" ht="22.5" customHeight="1" x14ac:dyDescent="0.35">
      <c r="A52" s="773">
        <v>42</v>
      </c>
      <c r="B52" s="983"/>
      <c r="C52" s="464"/>
      <c r="D52" s="576" t="s">
        <v>1158</v>
      </c>
      <c r="E52" s="1076">
        <f>F52+G52+P54</f>
        <v>1397</v>
      </c>
      <c r="F52" s="1026"/>
      <c r="G52" s="431"/>
      <c r="H52" s="1000"/>
      <c r="I52" s="1525"/>
      <c r="J52" s="1524"/>
      <c r="K52" s="1524"/>
      <c r="L52" s="1524"/>
      <c r="M52" s="1524">
        <v>1397</v>
      </c>
      <c r="N52" s="759"/>
      <c r="O52" s="1524"/>
      <c r="P52" s="1547">
        <f>SUM(I52:O52)</f>
        <v>1397</v>
      </c>
      <c r="Q52" s="990"/>
    </row>
    <row r="53" spans="1:17" s="991" customFormat="1" ht="18" customHeight="1" x14ac:dyDescent="0.35">
      <c r="A53" s="773">
        <v>43</v>
      </c>
      <c r="B53" s="983"/>
      <c r="C53" s="464"/>
      <c r="D53" s="1318" t="s">
        <v>969</v>
      </c>
      <c r="E53" s="430"/>
      <c r="F53" s="1026"/>
      <c r="G53" s="431"/>
      <c r="H53" s="1000"/>
      <c r="I53" s="1525"/>
      <c r="J53" s="1524"/>
      <c r="K53" s="1524"/>
      <c r="L53" s="1524"/>
      <c r="M53" s="1771"/>
      <c r="N53" s="759"/>
      <c r="O53" s="1524"/>
      <c r="P53" s="1741">
        <f t="shared" si="1"/>
        <v>0</v>
      </c>
      <c r="Q53" s="990"/>
    </row>
    <row r="54" spans="1:17" s="991" customFormat="1" ht="18" customHeight="1" x14ac:dyDescent="0.35">
      <c r="A54" s="773">
        <v>44</v>
      </c>
      <c r="B54" s="983"/>
      <c r="C54" s="464"/>
      <c r="D54" s="576" t="s">
        <v>1250</v>
      </c>
      <c r="E54" s="430"/>
      <c r="F54" s="1026"/>
      <c r="G54" s="431"/>
      <c r="H54" s="1000"/>
      <c r="I54" s="1525"/>
      <c r="J54" s="1524"/>
      <c r="K54" s="1524"/>
      <c r="L54" s="1524"/>
      <c r="M54" s="1524">
        <f>SUM(M52:M53)</f>
        <v>1397</v>
      </c>
      <c r="N54" s="759"/>
      <c r="O54" s="1524"/>
      <c r="P54" s="767">
        <f t="shared" si="1"/>
        <v>1397</v>
      </c>
      <c r="Q54" s="990"/>
    </row>
    <row r="55" spans="1:17" s="991" customFormat="1" ht="22.5" customHeight="1" x14ac:dyDescent="0.35">
      <c r="A55" s="773">
        <v>45</v>
      </c>
      <c r="B55" s="983"/>
      <c r="C55" s="464"/>
      <c r="D55" s="761" t="s">
        <v>1011</v>
      </c>
      <c r="E55" s="430"/>
      <c r="F55" s="1026"/>
      <c r="G55" s="431"/>
      <c r="H55" s="1000"/>
      <c r="I55" s="1525"/>
      <c r="J55" s="1524"/>
      <c r="K55" s="1524"/>
      <c r="L55" s="1524"/>
      <c r="M55" s="1524"/>
      <c r="N55" s="759"/>
      <c r="O55" s="1524"/>
      <c r="P55" s="767"/>
      <c r="Q55" s="990"/>
    </row>
    <row r="56" spans="1:17" s="991" customFormat="1" ht="22.5" customHeight="1" x14ac:dyDescent="0.35">
      <c r="A56" s="773">
        <v>46</v>
      </c>
      <c r="B56" s="983"/>
      <c r="C56" s="464"/>
      <c r="D56" s="576" t="s">
        <v>1158</v>
      </c>
      <c r="E56" s="1076">
        <f>F56+G56+P58</f>
        <v>6096</v>
      </c>
      <c r="F56" s="1026"/>
      <c r="G56" s="431"/>
      <c r="H56" s="1000"/>
      <c r="I56" s="1525"/>
      <c r="J56" s="1524"/>
      <c r="K56" s="1524"/>
      <c r="L56" s="1524"/>
      <c r="M56" s="1524">
        <v>6096</v>
      </c>
      <c r="N56" s="759"/>
      <c r="O56" s="1524"/>
      <c r="P56" s="1547">
        <f>SUM(I56:O56)</f>
        <v>6096</v>
      </c>
      <c r="Q56" s="990"/>
    </row>
    <row r="57" spans="1:17" s="991" customFormat="1" ht="18" customHeight="1" x14ac:dyDescent="0.35">
      <c r="A57" s="773">
        <v>47</v>
      </c>
      <c r="B57" s="983"/>
      <c r="C57" s="464"/>
      <c r="D57" s="1318" t="s">
        <v>970</v>
      </c>
      <c r="E57" s="430"/>
      <c r="F57" s="1026"/>
      <c r="G57" s="431"/>
      <c r="H57" s="1000"/>
      <c r="I57" s="1525"/>
      <c r="J57" s="1524"/>
      <c r="K57" s="1524"/>
      <c r="L57" s="1524"/>
      <c r="M57" s="1771"/>
      <c r="N57" s="759"/>
      <c r="O57" s="1524"/>
      <c r="P57" s="1741">
        <f t="shared" si="1"/>
        <v>0</v>
      </c>
      <c r="Q57" s="990"/>
    </row>
    <row r="58" spans="1:17" s="991" customFormat="1" ht="18" customHeight="1" x14ac:dyDescent="0.35">
      <c r="A58" s="773">
        <v>48</v>
      </c>
      <c r="B58" s="983"/>
      <c r="C58" s="464"/>
      <c r="D58" s="576" t="s">
        <v>1250</v>
      </c>
      <c r="E58" s="430"/>
      <c r="F58" s="1026"/>
      <c r="G58" s="431"/>
      <c r="H58" s="1000"/>
      <c r="I58" s="1525"/>
      <c r="J58" s="1524"/>
      <c r="K58" s="1524"/>
      <c r="L58" s="1524"/>
      <c r="M58" s="1524">
        <f>SUM(M56:M57)</f>
        <v>6096</v>
      </c>
      <c r="N58" s="759"/>
      <c r="O58" s="1524"/>
      <c r="P58" s="767">
        <f t="shared" si="1"/>
        <v>6096</v>
      </c>
      <c r="Q58" s="990"/>
    </row>
    <row r="59" spans="1:17" s="991" customFormat="1" ht="22.5" customHeight="1" x14ac:dyDescent="0.35">
      <c r="A59" s="773">
        <v>49</v>
      </c>
      <c r="B59" s="983"/>
      <c r="C59" s="464"/>
      <c r="D59" s="761" t="s">
        <v>1007</v>
      </c>
      <c r="E59" s="430"/>
      <c r="F59" s="1026"/>
      <c r="G59" s="431"/>
      <c r="H59" s="1000"/>
      <c r="I59" s="1525"/>
      <c r="J59" s="1524"/>
      <c r="K59" s="1524"/>
      <c r="L59" s="1524"/>
      <c r="M59" s="1524"/>
      <c r="N59" s="759"/>
      <c r="O59" s="1524"/>
      <c r="P59" s="767"/>
      <c r="Q59" s="990"/>
    </row>
    <row r="60" spans="1:17" s="991" customFormat="1" ht="22.5" customHeight="1" x14ac:dyDescent="0.35">
      <c r="A60" s="773">
        <v>50</v>
      </c>
      <c r="B60" s="983"/>
      <c r="C60" s="464"/>
      <c r="D60" s="576" t="s">
        <v>1158</v>
      </c>
      <c r="E60" s="1076">
        <f>F60+G60+P62</f>
        <v>1016</v>
      </c>
      <c r="F60" s="1026"/>
      <c r="G60" s="431"/>
      <c r="H60" s="1000"/>
      <c r="I60" s="1525"/>
      <c r="J60" s="1524"/>
      <c r="K60" s="1524"/>
      <c r="L60" s="1524"/>
      <c r="M60" s="1524">
        <v>1016</v>
      </c>
      <c r="N60" s="759"/>
      <c r="O60" s="1524"/>
      <c r="P60" s="1547">
        <f>SUM(I60:O60)</f>
        <v>1016</v>
      </c>
      <c r="Q60" s="990"/>
    </row>
    <row r="61" spans="1:17" s="991" customFormat="1" ht="18" customHeight="1" x14ac:dyDescent="0.35">
      <c r="A61" s="773">
        <v>51</v>
      </c>
      <c r="B61" s="983"/>
      <c r="C61" s="464"/>
      <c r="D61" s="1318" t="s">
        <v>969</v>
      </c>
      <c r="E61" s="430"/>
      <c r="F61" s="1026"/>
      <c r="G61" s="431"/>
      <c r="H61" s="1000"/>
      <c r="I61" s="1525"/>
      <c r="J61" s="1524"/>
      <c r="K61" s="1524"/>
      <c r="L61" s="1524"/>
      <c r="M61" s="1771"/>
      <c r="N61" s="759"/>
      <c r="O61" s="1524"/>
      <c r="P61" s="1741">
        <f t="shared" si="1"/>
        <v>0</v>
      </c>
      <c r="Q61" s="990"/>
    </row>
    <row r="62" spans="1:17" s="991" customFormat="1" ht="18" customHeight="1" x14ac:dyDescent="0.35">
      <c r="A62" s="773">
        <v>52</v>
      </c>
      <c r="B62" s="983"/>
      <c r="C62" s="464"/>
      <c r="D62" s="576" t="s">
        <v>1250</v>
      </c>
      <c r="E62" s="430"/>
      <c r="F62" s="1026"/>
      <c r="G62" s="431"/>
      <c r="H62" s="1000"/>
      <c r="I62" s="1525"/>
      <c r="J62" s="1524"/>
      <c r="K62" s="1524"/>
      <c r="L62" s="1524"/>
      <c r="M62" s="1524">
        <f>SUM(M60:M61)</f>
        <v>1016</v>
      </c>
      <c r="N62" s="759"/>
      <c r="O62" s="1524"/>
      <c r="P62" s="767">
        <f t="shared" si="1"/>
        <v>1016</v>
      </c>
      <c r="Q62" s="990"/>
    </row>
    <row r="63" spans="1:17" s="991" customFormat="1" ht="22.5" customHeight="1" x14ac:dyDescent="0.35">
      <c r="A63" s="773">
        <v>53</v>
      </c>
      <c r="B63" s="983"/>
      <c r="C63" s="464"/>
      <c r="D63" s="761" t="s">
        <v>1008</v>
      </c>
      <c r="E63" s="430"/>
      <c r="F63" s="1026"/>
      <c r="G63" s="431"/>
      <c r="H63" s="1000"/>
      <c r="I63" s="1525"/>
      <c r="J63" s="1524"/>
      <c r="K63" s="1524"/>
      <c r="L63" s="1524"/>
      <c r="M63" s="1524"/>
      <c r="N63" s="759"/>
      <c r="O63" s="1524"/>
      <c r="P63" s="767"/>
      <c r="Q63" s="990"/>
    </row>
    <row r="64" spans="1:17" s="991" customFormat="1" ht="22.5" customHeight="1" x14ac:dyDescent="0.35">
      <c r="A64" s="773">
        <v>54</v>
      </c>
      <c r="B64" s="983"/>
      <c r="C64" s="464"/>
      <c r="D64" s="576" t="s">
        <v>1158</v>
      </c>
      <c r="E64" s="1076">
        <f>F64+G64+P66</f>
        <v>1206</v>
      </c>
      <c r="F64" s="1026"/>
      <c r="G64" s="431"/>
      <c r="H64" s="1000"/>
      <c r="I64" s="1525"/>
      <c r="J64" s="1524"/>
      <c r="K64" s="1524"/>
      <c r="L64" s="1524"/>
      <c r="M64" s="1524">
        <v>1206</v>
      </c>
      <c r="N64" s="759"/>
      <c r="O64" s="1524"/>
      <c r="P64" s="1547">
        <f>SUM(I64:O64)</f>
        <v>1206</v>
      </c>
      <c r="Q64" s="990"/>
    </row>
    <row r="65" spans="1:17" s="991" customFormat="1" ht="18" customHeight="1" x14ac:dyDescent="0.35">
      <c r="A65" s="773">
        <v>55</v>
      </c>
      <c r="B65" s="983"/>
      <c r="C65" s="464"/>
      <c r="D65" s="1318" t="s">
        <v>969</v>
      </c>
      <c r="E65" s="430"/>
      <c r="F65" s="1026"/>
      <c r="G65" s="431"/>
      <c r="H65" s="1000"/>
      <c r="I65" s="1525"/>
      <c r="J65" s="1524"/>
      <c r="K65" s="1524"/>
      <c r="L65" s="1524"/>
      <c r="M65" s="1771"/>
      <c r="N65" s="759"/>
      <c r="O65" s="1524"/>
      <c r="P65" s="1741">
        <f t="shared" si="1"/>
        <v>0</v>
      </c>
      <c r="Q65" s="990"/>
    </row>
    <row r="66" spans="1:17" s="991" customFormat="1" ht="18" customHeight="1" x14ac:dyDescent="0.35">
      <c r="A66" s="773">
        <v>56</v>
      </c>
      <c r="B66" s="983"/>
      <c r="C66" s="464"/>
      <c r="D66" s="576" t="s">
        <v>1250</v>
      </c>
      <c r="E66" s="430"/>
      <c r="F66" s="1026"/>
      <c r="G66" s="431"/>
      <c r="H66" s="1000"/>
      <c r="I66" s="1525"/>
      <c r="J66" s="1524"/>
      <c r="K66" s="1524"/>
      <c r="L66" s="1524"/>
      <c r="M66" s="1524">
        <f>SUM(M64:M65)</f>
        <v>1206</v>
      </c>
      <c r="N66" s="759"/>
      <c r="O66" s="1524"/>
      <c r="P66" s="767">
        <f>SUM(I66:O66)</f>
        <v>1206</v>
      </c>
      <c r="Q66" s="990"/>
    </row>
    <row r="67" spans="1:17" s="991" customFormat="1" ht="22.5" customHeight="1" x14ac:dyDescent="0.35">
      <c r="A67" s="773">
        <v>57</v>
      </c>
      <c r="B67" s="983"/>
      <c r="C67" s="464"/>
      <c r="D67" s="761" t="s">
        <v>1033</v>
      </c>
      <c r="E67" s="430"/>
      <c r="F67" s="1026"/>
      <c r="G67" s="431"/>
      <c r="H67" s="1000"/>
      <c r="I67" s="1525"/>
      <c r="J67" s="1524"/>
      <c r="K67" s="1524"/>
      <c r="L67" s="1524"/>
      <c r="M67" s="1524"/>
      <c r="N67" s="759"/>
      <c r="O67" s="1524"/>
      <c r="P67" s="1547"/>
      <c r="Q67" s="990"/>
    </row>
    <row r="68" spans="1:17" s="991" customFormat="1" ht="22.5" customHeight="1" x14ac:dyDescent="0.35">
      <c r="A68" s="773">
        <v>58</v>
      </c>
      <c r="B68" s="983"/>
      <c r="C68" s="464"/>
      <c r="D68" s="576" t="s">
        <v>1158</v>
      </c>
      <c r="E68" s="1076">
        <f>F68+G68+P70</f>
        <v>502</v>
      </c>
      <c r="F68" s="1026"/>
      <c r="G68" s="431"/>
      <c r="H68" s="1000"/>
      <c r="I68" s="1525"/>
      <c r="J68" s="1524"/>
      <c r="K68" s="1524"/>
      <c r="L68" s="1524"/>
      <c r="M68" s="1524">
        <v>502</v>
      </c>
      <c r="N68" s="759"/>
      <c r="O68" s="1524"/>
      <c r="P68" s="1547">
        <f>SUM(I68:O68)</f>
        <v>502</v>
      </c>
      <c r="Q68" s="990"/>
    </row>
    <row r="69" spans="1:17" s="991" customFormat="1" ht="18" customHeight="1" x14ac:dyDescent="0.35">
      <c r="A69" s="773">
        <v>59</v>
      </c>
      <c r="B69" s="983"/>
      <c r="C69" s="464"/>
      <c r="D69" s="1318" t="s">
        <v>969</v>
      </c>
      <c r="E69" s="430"/>
      <c r="F69" s="1026"/>
      <c r="G69" s="431"/>
      <c r="H69" s="1000"/>
      <c r="I69" s="1525"/>
      <c r="J69" s="1524"/>
      <c r="K69" s="1524"/>
      <c r="L69" s="1524"/>
      <c r="M69" s="1771"/>
      <c r="N69" s="759"/>
      <c r="O69" s="1524"/>
      <c r="P69" s="1741">
        <f t="shared" si="1"/>
        <v>0</v>
      </c>
      <c r="Q69" s="990"/>
    </row>
    <row r="70" spans="1:17" s="991" customFormat="1" ht="18" customHeight="1" x14ac:dyDescent="0.35">
      <c r="A70" s="773">
        <v>60</v>
      </c>
      <c r="B70" s="983"/>
      <c r="C70" s="464"/>
      <c r="D70" s="576" t="s">
        <v>1250</v>
      </c>
      <c r="E70" s="430"/>
      <c r="F70" s="1026"/>
      <c r="G70" s="431"/>
      <c r="H70" s="1000"/>
      <c r="I70" s="1525"/>
      <c r="J70" s="1524"/>
      <c r="K70" s="1524"/>
      <c r="L70" s="1524"/>
      <c r="M70" s="1524">
        <f>SUM(M68:M69)</f>
        <v>502</v>
      </c>
      <c r="N70" s="759"/>
      <c r="O70" s="1524"/>
      <c r="P70" s="767">
        <f t="shared" si="1"/>
        <v>502</v>
      </c>
      <c r="Q70" s="990"/>
    </row>
    <row r="71" spans="1:17" s="991" customFormat="1" ht="22.5" customHeight="1" x14ac:dyDescent="0.35">
      <c r="A71" s="773">
        <v>61</v>
      </c>
      <c r="B71" s="983"/>
      <c r="C71" s="464"/>
      <c r="D71" s="761" t="s">
        <v>1004</v>
      </c>
      <c r="E71" s="430"/>
      <c r="F71" s="1026"/>
      <c r="G71" s="431"/>
      <c r="H71" s="1000"/>
      <c r="I71" s="1525"/>
      <c r="J71" s="1524"/>
      <c r="K71" s="759"/>
      <c r="L71" s="1524"/>
      <c r="M71" s="759"/>
      <c r="N71" s="759"/>
      <c r="O71" s="1524"/>
      <c r="P71" s="767"/>
      <c r="Q71" s="990"/>
    </row>
    <row r="72" spans="1:17" s="991" customFormat="1" ht="22.5" customHeight="1" x14ac:dyDescent="0.35">
      <c r="A72" s="773">
        <v>62</v>
      </c>
      <c r="B72" s="983"/>
      <c r="C72" s="464"/>
      <c r="D72" s="576" t="s">
        <v>1158</v>
      </c>
      <c r="E72" s="1076">
        <f>F72+G72+P74</f>
        <v>12573</v>
      </c>
      <c r="F72" s="1026"/>
      <c r="G72" s="431"/>
      <c r="H72" s="1000"/>
      <c r="I72" s="1525"/>
      <c r="J72" s="1524"/>
      <c r="K72" s="759"/>
      <c r="L72" s="1524"/>
      <c r="M72" s="1524">
        <v>12573</v>
      </c>
      <c r="N72" s="759"/>
      <c r="O72" s="1524"/>
      <c r="P72" s="1547">
        <f>SUM(I72:O72)</f>
        <v>12573</v>
      </c>
      <c r="Q72" s="990"/>
    </row>
    <row r="73" spans="1:17" s="991" customFormat="1" ht="18" customHeight="1" x14ac:dyDescent="0.35">
      <c r="A73" s="773">
        <v>63</v>
      </c>
      <c r="B73" s="983"/>
      <c r="C73" s="464"/>
      <c r="D73" s="1318" t="s">
        <v>969</v>
      </c>
      <c r="E73" s="430"/>
      <c r="F73" s="1026"/>
      <c r="G73" s="431"/>
      <c r="H73" s="1000"/>
      <c r="I73" s="1525"/>
      <c r="J73" s="1524"/>
      <c r="K73" s="759"/>
      <c r="L73" s="1524"/>
      <c r="M73" s="1771"/>
      <c r="N73" s="759"/>
      <c r="O73" s="1524"/>
      <c r="P73" s="1741">
        <f t="shared" ref="P73:P74" si="2">SUM(I73:O73)</f>
        <v>0</v>
      </c>
      <c r="Q73" s="990"/>
    </row>
    <row r="74" spans="1:17" s="991" customFormat="1" ht="18" customHeight="1" thickBot="1" x14ac:dyDescent="0.4">
      <c r="A74" s="773">
        <v>64</v>
      </c>
      <c r="B74" s="983"/>
      <c r="C74" s="464"/>
      <c r="D74" s="576" t="s">
        <v>1250</v>
      </c>
      <c r="E74" s="430"/>
      <c r="F74" s="1026"/>
      <c r="G74" s="431"/>
      <c r="H74" s="1000"/>
      <c r="I74" s="1525"/>
      <c r="J74" s="1524"/>
      <c r="K74" s="759"/>
      <c r="L74" s="1524"/>
      <c r="M74" s="1524">
        <f>SUM(M72:M73)</f>
        <v>12573</v>
      </c>
      <c r="N74" s="759"/>
      <c r="O74" s="1524"/>
      <c r="P74" s="767">
        <f t="shared" si="2"/>
        <v>12573</v>
      </c>
      <c r="Q74" s="990"/>
    </row>
    <row r="75" spans="1:17" s="991" customFormat="1" ht="21.95" customHeight="1" thickTop="1" thickBot="1" x14ac:dyDescent="0.4">
      <c r="A75" s="773">
        <v>65</v>
      </c>
      <c r="B75" s="983"/>
      <c r="C75" s="1074"/>
      <c r="D75" s="1544" t="s">
        <v>828</v>
      </c>
      <c r="E75" s="1089">
        <f>E31+E26+E21+E14+E40+E44+E48+E52+E56+E60+E64+E68+E72+E36</f>
        <v>504377</v>
      </c>
      <c r="F75" s="1089">
        <f>F31+F26+F21+F14+F13</f>
        <v>0</v>
      </c>
      <c r="G75" s="1089">
        <f>G31+G26+G21+G14</f>
        <v>74920</v>
      </c>
      <c r="H75" s="1086"/>
      <c r="I75" s="1087"/>
      <c r="J75" s="1087"/>
      <c r="K75" s="1087"/>
      <c r="L75" s="1087"/>
      <c r="M75" s="1087"/>
      <c r="N75" s="1087"/>
      <c r="O75" s="1087"/>
      <c r="P75" s="1087"/>
      <c r="Q75" s="1075"/>
    </row>
    <row r="76" spans="1:17" s="991" customFormat="1" ht="20.100000000000001" customHeight="1" thickTop="1" x14ac:dyDescent="0.35">
      <c r="A76" s="773">
        <v>66</v>
      </c>
      <c r="B76" s="983"/>
      <c r="C76" s="1817"/>
      <c r="D76" s="1447" t="s">
        <v>308</v>
      </c>
      <c r="E76" s="1529"/>
      <c r="F76" s="1529"/>
      <c r="G76" s="1531"/>
      <c r="H76" s="1533"/>
      <c r="I76" s="1530">
        <f t="shared" ref="I76:P76" si="3">I31+I26+I21+I14</f>
        <v>1000</v>
      </c>
      <c r="J76" s="1530">
        <f t="shared" si="3"/>
        <v>500</v>
      </c>
      <c r="K76" s="1530">
        <f t="shared" si="3"/>
        <v>318696</v>
      </c>
      <c r="L76" s="1530">
        <f t="shared" si="3"/>
        <v>0</v>
      </c>
      <c r="M76" s="1530">
        <f t="shared" si="3"/>
        <v>38500</v>
      </c>
      <c r="N76" s="1530">
        <f t="shared" si="3"/>
        <v>68500</v>
      </c>
      <c r="O76" s="1530">
        <f t="shared" si="3"/>
        <v>0</v>
      </c>
      <c r="P76" s="1537">
        <f t="shared" si="3"/>
        <v>427196</v>
      </c>
      <c r="Q76" s="1535"/>
    </row>
    <row r="77" spans="1:17" s="991" customFormat="1" ht="20.100000000000001" customHeight="1" x14ac:dyDescent="0.35">
      <c r="A77" s="773">
        <v>67</v>
      </c>
      <c r="B77" s="983"/>
      <c r="C77" s="1518"/>
      <c r="D77" s="576" t="s">
        <v>1158</v>
      </c>
      <c r="E77" s="425"/>
      <c r="F77" s="425"/>
      <c r="G77" s="1813"/>
      <c r="H77" s="1814"/>
      <c r="I77" s="1815">
        <f t="shared" ref="I77:P77" si="4">I32+I27+I22+I15+I72+I68+I64+I60+I56+I52+I48+I44+I40+I36</f>
        <v>0</v>
      </c>
      <c r="J77" s="1815">
        <f t="shared" si="4"/>
        <v>0</v>
      </c>
      <c r="K77" s="1815">
        <f t="shared" si="4"/>
        <v>264302</v>
      </c>
      <c r="L77" s="1815">
        <f t="shared" si="4"/>
        <v>350</v>
      </c>
      <c r="M77" s="1815">
        <f t="shared" si="4"/>
        <v>161394</v>
      </c>
      <c r="N77" s="1815">
        <f t="shared" si="4"/>
        <v>0</v>
      </c>
      <c r="O77" s="1815">
        <f t="shared" si="4"/>
        <v>1150</v>
      </c>
      <c r="P77" s="767">
        <f t="shared" si="4"/>
        <v>427196</v>
      </c>
      <c r="Q77" s="1816"/>
    </row>
    <row r="78" spans="1:17" s="991" customFormat="1" ht="20.100000000000001" customHeight="1" x14ac:dyDescent="0.35">
      <c r="A78" s="773">
        <v>68</v>
      </c>
      <c r="B78" s="983"/>
      <c r="C78" s="464"/>
      <c r="D78" s="1458" t="s">
        <v>947</v>
      </c>
      <c r="E78" s="762"/>
      <c r="F78" s="762"/>
      <c r="G78" s="1532"/>
      <c r="H78" s="1534"/>
      <c r="I78" s="1771">
        <f>I33+I28+I23+I16+I41+I45+I49+I73+I69+I65+I61+I57+I53+I37</f>
        <v>0</v>
      </c>
      <c r="J78" s="1771">
        <f t="shared" ref="J78:O78" si="5">J33+J28+J23+J16+J41+J45+J49+J73+J69+J65+J61+J57+J53+J37</f>
        <v>0</v>
      </c>
      <c r="K78" s="1771">
        <f t="shared" si="5"/>
        <v>0</v>
      </c>
      <c r="L78" s="1771">
        <f t="shared" si="5"/>
        <v>0</v>
      </c>
      <c r="M78" s="1771">
        <f t="shared" si="5"/>
        <v>0</v>
      </c>
      <c r="N78" s="1771">
        <f t="shared" si="5"/>
        <v>0</v>
      </c>
      <c r="O78" s="1771">
        <f t="shared" si="5"/>
        <v>0</v>
      </c>
      <c r="P78" s="1741">
        <f>SUM(I78:O78)</f>
        <v>0</v>
      </c>
      <c r="Q78" s="1536"/>
    </row>
    <row r="79" spans="1:17" s="991" customFormat="1" ht="20.100000000000001" customHeight="1" thickBot="1" x14ac:dyDescent="0.4">
      <c r="A79" s="773">
        <v>69</v>
      </c>
      <c r="B79" s="983"/>
      <c r="C79" s="1538"/>
      <c r="D79" s="1487" t="s">
        <v>1250</v>
      </c>
      <c r="E79" s="1503"/>
      <c r="F79" s="1503"/>
      <c r="G79" s="1539"/>
      <c r="H79" s="1540"/>
      <c r="I79" s="1541">
        <f>SUM(I77:I78)</f>
        <v>0</v>
      </c>
      <c r="J79" s="1541">
        <f t="shared" ref="J79:O79" si="6">SUM(J77:J78)</f>
        <v>0</v>
      </c>
      <c r="K79" s="1541">
        <f t="shared" si="6"/>
        <v>264302</v>
      </c>
      <c r="L79" s="1541">
        <f t="shared" si="6"/>
        <v>350</v>
      </c>
      <c r="M79" s="1541">
        <f t="shared" si="6"/>
        <v>161394</v>
      </c>
      <c r="N79" s="1541">
        <f t="shared" si="6"/>
        <v>0</v>
      </c>
      <c r="O79" s="1541">
        <f t="shared" si="6"/>
        <v>1150</v>
      </c>
      <c r="P79" s="1542">
        <f>SUM(P77:P78)</f>
        <v>427196</v>
      </c>
      <c r="Q79" s="1543"/>
    </row>
    <row r="80" spans="1:17" s="991" customFormat="1" ht="24.95" customHeight="1" x14ac:dyDescent="0.35">
      <c r="A80" s="773">
        <v>70</v>
      </c>
      <c r="B80" s="983"/>
      <c r="C80" s="1056">
        <v>2</v>
      </c>
      <c r="D80" s="1064" t="s">
        <v>740</v>
      </c>
      <c r="E80" s="1057"/>
      <c r="F80" s="1058"/>
      <c r="G80" s="1059"/>
      <c r="H80" s="998" t="s">
        <v>24</v>
      </c>
      <c r="I80" s="1060"/>
      <c r="J80" s="1061"/>
      <c r="K80" s="1062"/>
      <c r="L80" s="1061"/>
      <c r="M80" s="1061"/>
      <c r="N80" s="1061"/>
      <c r="O80" s="1061"/>
      <c r="P80" s="1063"/>
      <c r="Q80" s="1066"/>
    </row>
    <row r="81" spans="1:262" s="758" customFormat="1" ht="22.5" customHeight="1" x14ac:dyDescent="0.35">
      <c r="A81" s="773">
        <v>71</v>
      </c>
      <c r="B81" s="766"/>
      <c r="C81" s="464"/>
      <c r="D81" s="2053" t="s">
        <v>741</v>
      </c>
      <c r="E81" s="430">
        <f>F81+G81+P85</f>
        <v>6205</v>
      </c>
      <c r="F81" s="762"/>
      <c r="G81" s="431"/>
      <c r="H81" s="999"/>
      <c r="I81" s="995"/>
      <c r="J81" s="759"/>
      <c r="K81" s="759"/>
      <c r="L81" s="759"/>
      <c r="M81" s="759"/>
      <c r="N81" s="759"/>
      <c r="O81" s="759"/>
      <c r="P81" s="767"/>
      <c r="Q81" s="763"/>
      <c r="R81" s="418"/>
      <c r="S81" s="418"/>
      <c r="T81" s="418"/>
      <c r="U81" s="418"/>
      <c r="V81" s="418"/>
      <c r="W81" s="418"/>
      <c r="X81" s="418"/>
      <c r="Y81" s="418"/>
      <c r="Z81" s="418"/>
      <c r="AA81" s="418"/>
      <c r="AB81" s="418"/>
      <c r="AC81" s="418"/>
      <c r="AD81" s="418"/>
      <c r="AE81" s="418"/>
      <c r="AF81" s="418"/>
      <c r="AG81" s="418"/>
      <c r="AH81" s="418"/>
      <c r="AI81" s="418"/>
      <c r="AJ81" s="418"/>
      <c r="AK81" s="418"/>
      <c r="AL81" s="418"/>
      <c r="AM81" s="418"/>
      <c r="AN81" s="418"/>
      <c r="AO81" s="418"/>
      <c r="AP81" s="418"/>
      <c r="AQ81" s="418"/>
      <c r="AR81" s="418"/>
      <c r="AS81" s="418"/>
      <c r="AT81" s="418"/>
      <c r="AU81" s="418"/>
      <c r="AV81" s="418"/>
      <c r="AW81" s="418"/>
      <c r="AX81" s="418"/>
      <c r="AY81" s="418"/>
      <c r="AZ81" s="418"/>
      <c r="BA81" s="418"/>
      <c r="BB81" s="418"/>
      <c r="BC81" s="418"/>
      <c r="BD81" s="418"/>
      <c r="BE81" s="418"/>
      <c r="BF81" s="418"/>
      <c r="BG81" s="418"/>
      <c r="BH81" s="418"/>
      <c r="BI81" s="418"/>
      <c r="BJ81" s="418"/>
      <c r="BK81" s="418"/>
      <c r="BL81" s="418"/>
      <c r="BM81" s="418"/>
      <c r="BN81" s="418"/>
      <c r="BO81" s="418"/>
      <c r="BP81" s="418"/>
      <c r="BQ81" s="418"/>
      <c r="BR81" s="418"/>
      <c r="BS81" s="418"/>
      <c r="BT81" s="418"/>
      <c r="BU81" s="418"/>
      <c r="BV81" s="418"/>
      <c r="BW81" s="418"/>
      <c r="BX81" s="418"/>
      <c r="BY81" s="418"/>
      <c r="BZ81" s="418"/>
      <c r="CA81" s="418"/>
      <c r="CB81" s="418"/>
      <c r="CC81" s="418"/>
      <c r="CD81" s="418"/>
      <c r="CE81" s="418"/>
      <c r="CF81" s="418"/>
      <c r="CG81" s="418"/>
      <c r="CH81" s="418"/>
      <c r="CI81" s="418"/>
      <c r="CJ81" s="418"/>
      <c r="CK81" s="418"/>
      <c r="CL81" s="418"/>
      <c r="CM81" s="418"/>
      <c r="CN81" s="418"/>
      <c r="CO81" s="418"/>
      <c r="CP81" s="418"/>
      <c r="CQ81" s="418"/>
      <c r="CR81" s="418"/>
      <c r="CS81" s="418"/>
      <c r="CT81" s="418"/>
      <c r="CU81" s="418"/>
      <c r="CV81" s="418"/>
      <c r="CW81" s="418"/>
      <c r="CX81" s="418"/>
      <c r="CY81" s="418"/>
      <c r="CZ81" s="418"/>
      <c r="DA81" s="418"/>
      <c r="DB81" s="418"/>
      <c r="DC81" s="418"/>
      <c r="DD81" s="418"/>
      <c r="DE81" s="418"/>
      <c r="DF81" s="418"/>
      <c r="DG81" s="418"/>
      <c r="DH81" s="418"/>
      <c r="DI81" s="418"/>
      <c r="DJ81" s="418"/>
      <c r="DK81" s="418"/>
      <c r="DL81" s="418"/>
      <c r="DM81" s="418"/>
      <c r="DN81" s="418"/>
      <c r="DO81" s="418"/>
      <c r="DP81" s="418"/>
      <c r="DQ81" s="418"/>
      <c r="DR81" s="418"/>
      <c r="DS81" s="418"/>
      <c r="DT81" s="418"/>
      <c r="DU81" s="418"/>
      <c r="DV81" s="418"/>
      <c r="DW81" s="418"/>
      <c r="DX81" s="418"/>
      <c r="DY81" s="418"/>
      <c r="DZ81" s="418"/>
      <c r="EA81" s="418"/>
      <c r="EB81" s="418"/>
      <c r="EC81" s="418"/>
      <c r="ED81" s="418"/>
      <c r="EE81" s="418"/>
      <c r="EF81" s="418"/>
      <c r="EG81" s="418"/>
      <c r="EH81" s="418"/>
      <c r="EI81" s="418"/>
      <c r="EJ81" s="418"/>
      <c r="EK81" s="418"/>
      <c r="EL81" s="418"/>
      <c r="EM81" s="418"/>
      <c r="EN81" s="418"/>
      <c r="EO81" s="418"/>
      <c r="EP81" s="418"/>
      <c r="EQ81" s="418"/>
      <c r="ER81" s="418"/>
      <c r="ES81" s="418"/>
      <c r="ET81" s="418"/>
      <c r="EU81" s="418"/>
      <c r="EV81" s="418"/>
      <c r="EW81" s="418"/>
      <c r="EX81" s="418"/>
      <c r="EY81" s="418"/>
      <c r="EZ81" s="418"/>
      <c r="FA81" s="418"/>
      <c r="FB81" s="418"/>
      <c r="FC81" s="418"/>
      <c r="FD81" s="418"/>
      <c r="FE81" s="418"/>
      <c r="FF81" s="418"/>
      <c r="FG81" s="418"/>
      <c r="FH81" s="418"/>
      <c r="FI81" s="418"/>
      <c r="FJ81" s="418"/>
      <c r="FK81" s="418"/>
      <c r="FL81" s="418"/>
      <c r="FM81" s="418"/>
      <c r="FN81" s="418"/>
      <c r="FO81" s="418"/>
      <c r="FP81" s="418"/>
      <c r="FQ81" s="418"/>
      <c r="FR81" s="418"/>
      <c r="FS81" s="418"/>
      <c r="FT81" s="418"/>
      <c r="FU81" s="418"/>
      <c r="FV81" s="418"/>
      <c r="FW81" s="418"/>
      <c r="FX81" s="418"/>
      <c r="FY81" s="418"/>
      <c r="FZ81" s="418"/>
      <c r="GA81" s="418"/>
      <c r="GB81" s="418"/>
      <c r="GC81" s="418"/>
      <c r="GD81" s="418"/>
      <c r="GE81" s="418"/>
      <c r="GF81" s="418"/>
      <c r="GG81" s="418"/>
      <c r="GH81" s="418"/>
      <c r="GI81" s="418"/>
      <c r="GJ81" s="418"/>
      <c r="GK81" s="418"/>
      <c r="GL81" s="418"/>
      <c r="GM81" s="418"/>
      <c r="GN81" s="418"/>
      <c r="GO81" s="418"/>
      <c r="GP81" s="418"/>
      <c r="GQ81" s="418"/>
      <c r="GR81" s="418"/>
      <c r="GS81" s="418"/>
      <c r="GT81" s="418"/>
      <c r="GU81" s="418"/>
      <c r="GV81" s="418"/>
      <c r="GW81" s="418"/>
      <c r="GX81" s="418"/>
      <c r="GY81" s="418"/>
      <c r="GZ81" s="418"/>
      <c r="HA81" s="418"/>
      <c r="HB81" s="418"/>
      <c r="HC81" s="418"/>
      <c r="HD81" s="418"/>
      <c r="HE81" s="418"/>
      <c r="HF81" s="418"/>
      <c r="HG81" s="418"/>
      <c r="HH81" s="418"/>
      <c r="HI81" s="418"/>
      <c r="HJ81" s="418"/>
      <c r="HK81" s="418"/>
      <c r="HL81" s="418"/>
      <c r="HM81" s="418"/>
      <c r="HN81" s="418"/>
      <c r="HO81" s="418"/>
      <c r="HP81" s="418"/>
      <c r="HQ81" s="418"/>
      <c r="HR81" s="418"/>
      <c r="HS81" s="418"/>
      <c r="HT81" s="418"/>
      <c r="HU81" s="418"/>
      <c r="HV81" s="418"/>
      <c r="HW81" s="418"/>
      <c r="HX81" s="418"/>
      <c r="HY81" s="418"/>
      <c r="HZ81" s="418"/>
      <c r="IA81" s="418"/>
      <c r="IB81" s="418"/>
      <c r="IC81" s="418"/>
      <c r="ID81" s="418"/>
      <c r="IE81" s="418"/>
      <c r="IF81" s="418"/>
      <c r="IG81" s="418"/>
      <c r="IH81" s="418"/>
      <c r="II81" s="418"/>
      <c r="IJ81" s="418"/>
      <c r="IK81" s="418"/>
      <c r="IL81" s="418"/>
      <c r="IM81" s="418"/>
      <c r="IN81" s="418"/>
      <c r="IO81" s="418"/>
      <c r="IP81" s="418"/>
      <c r="IQ81" s="418"/>
      <c r="IR81" s="418"/>
      <c r="IS81" s="418"/>
      <c r="IT81" s="418"/>
      <c r="IU81" s="418"/>
      <c r="IV81" s="418"/>
      <c r="IW81" s="418"/>
      <c r="IX81" s="418"/>
      <c r="IY81" s="418"/>
      <c r="IZ81" s="418"/>
      <c r="JA81" s="418"/>
      <c r="JB81" s="418"/>
    </row>
    <row r="82" spans="1:262" s="991" customFormat="1" ht="18" customHeight="1" x14ac:dyDescent="0.35">
      <c r="A82" s="773">
        <v>72</v>
      </c>
      <c r="B82" s="983"/>
      <c r="C82" s="464"/>
      <c r="D82" s="985" t="s">
        <v>308</v>
      </c>
      <c r="E82" s="986"/>
      <c r="F82" s="987"/>
      <c r="G82" s="988"/>
      <c r="H82" s="1000"/>
      <c r="I82" s="996"/>
      <c r="J82" s="989"/>
      <c r="K82" s="989">
        <f>197850-25400</f>
        <v>172450</v>
      </c>
      <c r="L82" s="989">
        <v>165075</v>
      </c>
      <c r="M82" s="989"/>
      <c r="N82" s="989"/>
      <c r="O82" s="989"/>
      <c r="P82" s="982">
        <f>SUM(I82:O82)</f>
        <v>337525</v>
      </c>
      <c r="Q82" s="990"/>
    </row>
    <row r="83" spans="1:262" s="991" customFormat="1" ht="18" customHeight="1" x14ac:dyDescent="0.35">
      <c r="A83" s="773">
        <v>73</v>
      </c>
      <c r="B83" s="983"/>
      <c r="C83" s="464"/>
      <c r="D83" s="576" t="s">
        <v>1158</v>
      </c>
      <c r="E83" s="986"/>
      <c r="F83" s="987"/>
      <c r="G83" s="988"/>
      <c r="H83" s="1000"/>
      <c r="I83" s="1525">
        <v>3600</v>
      </c>
      <c r="J83" s="1524">
        <v>535</v>
      </c>
      <c r="K83" s="1524">
        <v>2298</v>
      </c>
      <c r="L83" s="1524"/>
      <c r="M83" s="1524"/>
      <c r="N83" s="1524"/>
      <c r="O83" s="1524"/>
      <c r="P83" s="767">
        <f>SUM(I83:O83)</f>
        <v>6433</v>
      </c>
      <c r="Q83" s="990"/>
    </row>
    <row r="84" spans="1:262" s="991" customFormat="1" ht="18" customHeight="1" x14ac:dyDescent="0.35">
      <c r="A84" s="773">
        <v>74</v>
      </c>
      <c r="B84" s="983"/>
      <c r="C84" s="464"/>
      <c r="D84" s="1318" t="s">
        <v>970</v>
      </c>
      <c r="E84" s="986"/>
      <c r="F84" s="987"/>
      <c r="G84" s="988"/>
      <c r="H84" s="1000"/>
      <c r="I84" s="1775"/>
      <c r="J84" s="1771"/>
      <c r="K84" s="1771">
        <v>-228</v>
      </c>
      <c r="L84" s="1771"/>
      <c r="M84" s="1911"/>
      <c r="N84" s="1911"/>
      <c r="O84" s="1911"/>
      <c r="P84" s="1741">
        <f>SUM(I84:O84)</f>
        <v>-228</v>
      </c>
      <c r="Q84" s="990"/>
    </row>
    <row r="85" spans="1:262" s="991" customFormat="1" ht="18" customHeight="1" x14ac:dyDescent="0.35">
      <c r="A85" s="773">
        <v>75</v>
      </c>
      <c r="B85" s="983"/>
      <c r="C85" s="464"/>
      <c r="D85" s="576" t="s">
        <v>1250</v>
      </c>
      <c r="E85" s="986"/>
      <c r="F85" s="987"/>
      <c r="G85" s="988"/>
      <c r="H85" s="1000"/>
      <c r="I85" s="1525">
        <f>SUM(I83:I84)</f>
        <v>3600</v>
      </c>
      <c r="J85" s="1525">
        <f t="shared" ref="J85:K85" si="7">SUM(J83:J84)</f>
        <v>535</v>
      </c>
      <c r="K85" s="1525">
        <f t="shared" si="7"/>
        <v>2070</v>
      </c>
      <c r="L85" s="1524"/>
      <c r="M85" s="1524"/>
      <c r="N85" s="1524"/>
      <c r="O85" s="1524"/>
      <c r="P85" s="1524">
        <f>SUM(P83:P84)</f>
        <v>6205</v>
      </c>
      <c r="Q85" s="990"/>
    </row>
    <row r="86" spans="1:262" s="991" customFormat="1" ht="22.5" customHeight="1" x14ac:dyDescent="0.35">
      <c r="A86" s="773">
        <v>76</v>
      </c>
      <c r="B86" s="983"/>
      <c r="C86" s="464"/>
      <c r="D86" s="761" t="s">
        <v>1046</v>
      </c>
      <c r="E86" s="430">
        <f>F86+G86+P89</f>
        <v>1500</v>
      </c>
      <c r="F86" s="987"/>
      <c r="G86" s="988"/>
      <c r="H86" s="1000"/>
      <c r="I86" s="1525"/>
      <c r="J86" s="1524"/>
      <c r="K86" s="1524"/>
      <c r="L86" s="1524"/>
      <c r="M86" s="1524"/>
      <c r="N86" s="1524"/>
      <c r="O86" s="1524"/>
      <c r="P86" s="1927"/>
      <c r="Q86" s="990"/>
    </row>
    <row r="87" spans="1:262" s="991" customFormat="1" ht="18" customHeight="1" x14ac:dyDescent="0.35">
      <c r="A87" s="773">
        <v>77</v>
      </c>
      <c r="B87" s="983"/>
      <c r="C87" s="464"/>
      <c r="D87" s="576" t="s">
        <v>1158</v>
      </c>
      <c r="E87" s="986"/>
      <c r="F87" s="987"/>
      <c r="G87" s="988"/>
      <c r="H87" s="1000"/>
      <c r="I87" s="1525"/>
      <c r="J87" s="1524"/>
      <c r="K87" s="1524"/>
      <c r="L87" s="1524"/>
      <c r="M87" s="1524">
        <v>1500</v>
      </c>
      <c r="N87" s="1524">
        <v>0</v>
      </c>
      <c r="O87" s="1524"/>
      <c r="P87" s="767">
        <f>SUM(I87:O87)</f>
        <v>1500</v>
      </c>
      <c r="Q87" s="990"/>
    </row>
    <row r="88" spans="1:262" s="991" customFormat="1" ht="18" customHeight="1" x14ac:dyDescent="0.35">
      <c r="A88" s="773">
        <v>78</v>
      </c>
      <c r="B88" s="983"/>
      <c r="C88" s="464"/>
      <c r="D88" s="1318" t="s">
        <v>969</v>
      </c>
      <c r="E88" s="986"/>
      <c r="F88" s="987"/>
      <c r="G88" s="988"/>
      <c r="H88" s="1000"/>
      <c r="I88" s="1525"/>
      <c r="J88" s="1524"/>
      <c r="K88" s="1524"/>
      <c r="L88" s="1524"/>
      <c r="M88" s="1771"/>
      <c r="N88" s="1771"/>
      <c r="O88" s="1524"/>
      <c r="P88" s="1741">
        <f>SUM(I88:O88)</f>
        <v>0</v>
      </c>
      <c r="Q88" s="990"/>
    </row>
    <row r="89" spans="1:262" s="991" customFormat="1" ht="18" customHeight="1" x14ac:dyDescent="0.35">
      <c r="A89" s="773">
        <v>79</v>
      </c>
      <c r="B89" s="983"/>
      <c r="C89" s="464"/>
      <c r="D89" s="576" t="s">
        <v>1250</v>
      </c>
      <c r="E89" s="986"/>
      <c r="F89" s="987"/>
      <c r="G89" s="988"/>
      <c r="H89" s="1000"/>
      <c r="I89" s="1525"/>
      <c r="J89" s="1524"/>
      <c r="K89" s="1524"/>
      <c r="L89" s="1524"/>
      <c r="M89" s="1524">
        <f>SUM(M87:M88)</f>
        <v>1500</v>
      </c>
      <c r="N89" s="1524">
        <f>SUM(N87:N88)</f>
        <v>0</v>
      </c>
      <c r="O89" s="1524"/>
      <c r="P89" s="767">
        <f>SUM(I89:O89)</f>
        <v>1500</v>
      </c>
      <c r="Q89" s="990"/>
    </row>
    <row r="90" spans="1:262" s="991" customFormat="1" ht="22.5" customHeight="1" x14ac:dyDescent="0.35">
      <c r="A90" s="773">
        <v>80</v>
      </c>
      <c r="B90" s="983"/>
      <c r="C90" s="464"/>
      <c r="D90" s="761" t="s">
        <v>1047</v>
      </c>
      <c r="E90" s="430">
        <f>F90+G90+P93</f>
        <v>54932</v>
      </c>
      <c r="F90" s="987"/>
      <c r="G90" s="988"/>
      <c r="H90" s="1000"/>
      <c r="I90" s="1525"/>
      <c r="J90" s="1524"/>
      <c r="K90" s="1524"/>
      <c r="L90" s="1524"/>
      <c r="M90" s="1524"/>
      <c r="N90" s="1524"/>
      <c r="O90" s="1524"/>
      <c r="P90" s="1927"/>
      <c r="Q90" s="990"/>
    </row>
    <row r="91" spans="1:262" s="991" customFormat="1" ht="18" customHeight="1" x14ac:dyDescent="0.35">
      <c r="A91" s="773">
        <v>81</v>
      </c>
      <c r="B91" s="983"/>
      <c r="C91" s="464"/>
      <c r="D91" s="576" t="s">
        <v>1158</v>
      </c>
      <c r="E91" s="986"/>
      <c r="F91" s="987"/>
      <c r="G91" s="988"/>
      <c r="H91" s="1000"/>
      <c r="I91" s="1525"/>
      <c r="J91" s="1524"/>
      <c r="K91" s="1524"/>
      <c r="L91" s="1524"/>
      <c r="M91" s="1524">
        <v>54704</v>
      </c>
      <c r="N91" s="1524">
        <v>0</v>
      </c>
      <c r="O91" s="1524"/>
      <c r="P91" s="767">
        <f>SUM(I91:O91)</f>
        <v>54704</v>
      </c>
      <c r="Q91" s="990"/>
    </row>
    <row r="92" spans="1:262" s="991" customFormat="1" ht="18" customHeight="1" x14ac:dyDescent="0.35">
      <c r="A92" s="773">
        <v>82</v>
      </c>
      <c r="B92" s="983"/>
      <c r="C92" s="464"/>
      <c r="D92" s="1318" t="s">
        <v>970</v>
      </c>
      <c r="E92" s="986"/>
      <c r="F92" s="987"/>
      <c r="G92" s="988"/>
      <c r="H92" s="1000"/>
      <c r="I92" s="1525"/>
      <c r="J92" s="1524"/>
      <c r="K92" s="1524"/>
      <c r="L92" s="1524"/>
      <c r="M92" s="1771">
        <v>228</v>
      </c>
      <c r="N92" s="1771"/>
      <c r="O92" s="1524"/>
      <c r="P92" s="1741">
        <f>SUM(I92:O92)</f>
        <v>228</v>
      </c>
      <c r="Q92" s="990"/>
    </row>
    <row r="93" spans="1:262" s="991" customFormat="1" ht="18" customHeight="1" x14ac:dyDescent="0.35">
      <c r="A93" s="773">
        <v>83</v>
      </c>
      <c r="B93" s="983"/>
      <c r="C93" s="464"/>
      <c r="D93" s="576" t="s">
        <v>1250</v>
      </c>
      <c r="E93" s="986"/>
      <c r="F93" s="987"/>
      <c r="G93" s="988"/>
      <c r="H93" s="1000"/>
      <c r="I93" s="1525"/>
      <c r="J93" s="1524"/>
      <c r="K93" s="1524"/>
      <c r="L93" s="1524"/>
      <c r="M93" s="1524">
        <f>SUM(M91:M92)</f>
        <v>54932</v>
      </c>
      <c r="N93" s="1524">
        <f>SUM(N91:N92)</f>
        <v>0</v>
      </c>
      <c r="O93" s="1524"/>
      <c r="P93" s="767">
        <f>SUM(I93:O93)</f>
        <v>54932</v>
      </c>
      <c r="Q93" s="990"/>
    </row>
    <row r="94" spans="1:262" s="991" customFormat="1" ht="22.5" customHeight="1" x14ac:dyDescent="0.35">
      <c r="A94" s="773">
        <v>84</v>
      </c>
      <c r="B94" s="983"/>
      <c r="C94" s="464"/>
      <c r="D94" s="761" t="s">
        <v>1233</v>
      </c>
      <c r="E94" s="430">
        <f>F94+G94+P97</f>
        <v>108404</v>
      </c>
      <c r="F94" s="987"/>
      <c r="G94" s="988"/>
      <c r="H94" s="1000"/>
      <c r="I94" s="1525"/>
      <c r="J94" s="1524"/>
      <c r="K94" s="1524"/>
      <c r="L94" s="1524"/>
      <c r="M94" s="1524"/>
      <c r="N94" s="1524"/>
      <c r="O94" s="1524"/>
      <c r="P94" s="1927"/>
      <c r="Q94" s="990"/>
    </row>
    <row r="95" spans="1:262" s="991" customFormat="1" ht="18" customHeight="1" x14ac:dyDescent="0.35">
      <c r="A95" s="773">
        <v>85</v>
      </c>
      <c r="B95" s="983"/>
      <c r="C95" s="464"/>
      <c r="D95" s="576" t="s">
        <v>1158</v>
      </c>
      <c r="E95" s="986"/>
      <c r="F95" s="987"/>
      <c r="G95" s="988"/>
      <c r="H95" s="1000"/>
      <c r="I95" s="1525"/>
      <c r="J95" s="1524"/>
      <c r="K95" s="1524"/>
      <c r="L95" s="1524"/>
      <c r="M95" s="1524">
        <v>108404</v>
      </c>
      <c r="N95" s="1524">
        <v>0</v>
      </c>
      <c r="O95" s="1524"/>
      <c r="P95" s="767">
        <f>SUM(I95:O95)</f>
        <v>108404</v>
      </c>
      <c r="Q95" s="990"/>
    </row>
    <row r="96" spans="1:262" s="991" customFormat="1" ht="18" customHeight="1" x14ac:dyDescent="0.35">
      <c r="A96" s="773">
        <v>86</v>
      </c>
      <c r="B96" s="983"/>
      <c r="C96" s="464"/>
      <c r="D96" s="1318" t="s">
        <v>969</v>
      </c>
      <c r="E96" s="986"/>
      <c r="F96" s="987"/>
      <c r="G96" s="988"/>
      <c r="H96" s="1000"/>
      <c r="I96" s="1525"/>
      <c r="J96" s="1524"/>
      <c r="K96" s="1524"/>
      <c r="L96" s="1524"/>
      <c r="M96" s="1771"/>
      <c r="N96" s="1771"/>
      <c r="O96" s="1524"/>
      <c r="P96" s="1741">
        <f>SUM(I96:O96)</f>
        <v>0</v>
      </c>
      <c r="Q96" s="990"/>
    </row>
    <row r="97" spans="1:262" s="991" customFormat="1" ht="18" customHeight="1" x14ac:dyDescent="0.35">
      <c r="A97" s="773">
        <v>87</v>
      </c>
      <c r="B97" s="983"/>
      <c r="C97" s="464"/>
      <c r="D97" s="576" t="s">
        <v>1250</v>
      </c>
      <c r="E97" s="986"/>
      <c r="F97" s="987"/>
      <c r="G97" s="988"/>
      <c r="H97" s="1000"/>
      <c r="I97" s="1525"/>
      <c r="J97" s="1524"/>
      <c r="K97" s="1524"/>
      <c r="L97" s="1524"/>
      <c r="M97" s="1524">
        <f>SUM(M95:M96)</f>
        <v>108404</v>
      </c>
      <c r="N97" s="1524">
        <f>SUM(N95:N96)</f>
        <v>0</v>
      </c>
      <c r="O97" s="1524"/>
      <c r="P97" s="767">
        <f>SUM(I97:O97)</f>
        <v>108404</v>
      </c>
      <c r="Q97" s="990"/>
    </row>
    <row r="98" spans="1:262" s="991" customFormat="1" ht="22.5" customHeight="1" x14ac:dyDescent="0.35">
      <c r="A98" s="773">
        <v>88</v>
      </c>
      <c r="B98" s="983"/>
      <c r="C98" s="464"/>
      <c r="D98" s="761" t="s">
        <v>1048</v>
      </c>
      <c r="E98" s="430">
        <f>F98+G98+P101</f>
        <v>37500</v>
      </c>
      <c r="F98" s="987"/>
      <c r="G98" s="988"/>
      <c r="H98" s="1000"/>
      <c r="I98" s="1525"/>
      <c r="J98" s="1524"/>
      <c r="K98" s="1524"/>
      <c r="L98" s="1524"/>
      <c r="M98" s="1524"/>
      <c r="N98" s="1524"/>
      <c r="O98" s="1524"/>
      <c r="P98" s="1927"/>
      <c r="Q98" s="990"/>
    </row>
    <row r="99" spans="1:262" s="991" customFormat="1" ht="18" customHeight="1" x14ac:dyDescent="0.35">
      <c r="A99" s="773">
        <v>89</v>
      </c>
      <c r="B99" s="983"/>
      <c r="C99" s="464"/>
      <c r="D99" s="576" t="s">
        <v>1158</v>
      </c>
      <c r="E99" s="986"/>
      <c r="F99" s="987"/>
      <c r="G99" s="988"/>
      <c r="H99" s="1000"/>
      <c r="I99" s="1525"/>
      <c r="J99" s="1524"/>
      <c r="K99" s="1524"/>
      <c r="L99" s="1524"/>
      <c r="M99" s="1524">
        <v>37500</v>
      </c>
      <c r="N99" s="1524">
        <v>0</v>
      </c>
      <c r="O99" s="1524"/>
      <c r="P99" s="767">
        <f>SUM(I99:O99)</f>
        <v>37500</v>
      </c>
      <c r="Q99" s="990"/>
    </row>
    <row r="100" spans="1:262" s="991" customFormat="1" ht="18" customHeight="1" x14ac:dyDescent="0.35">
      <c r="A100" s="773">
        <v>90</v>
      </c>
      <c r="B100" s="983"/>
      <c r="C100" s="464"/>
      <c r="D100" s="1318" t="s">
        <v>969</v>
      </c>
      <c r="E100" s="986"/>
      <c r="F100" s="987"/>
      <c r="G100" s="988"/>
      <c r="H100" s="1000"/>
      <c r="I100" s="1525"/>
      <c r="J100" s="1524"/>
      <c r="K100" s="1524"/>
      <c r="L100" s="1524"/>
      <c r="M100" s="1771"/>
      <c r="N100" s="1771"/>
      <c r="O100" s="1524"/>
      <c r="P100" s="1741">
        <f>SUM(I100:O100)</f>
        <v>0</v>
      </c>
      <c r="Q100" s="990"/>
    </row>
    <row r="101" spans="1:262" s="991" customFormat="1" ht="18" customHeight="1" x14ac:dyDescent="0.35">
      <c r="A101" s="773">
        <v>91</v>
      </c>
      <c r="B101" s="983"/>
      <c r="C101" s="464"/>
      <c r="D101" s="576" t="s">
        <v>1250</v>
      </c>
      <c r="E101" s="986"/>
      <c r="F101" s="987"/>
      <c r="G101" s="988"/>
      <c r="H101" s="1000"/>
      <c r="I101" s="1525"/>
      <c r="J101" s="1524"/>
      <c r="K101" s="1524"/>
      <c r="L101" s="1524"/>
      <c r="M101" s="1524">
        <f>SUM(M99:M100)</f>
        <v>37500</v>
      </c>
      <c r="N101" s="1524">
        <f>SUM(N99:N100)</f>
        <v>0</v>
      </c>
      <c r="O101" s="1524"/>
      <c r="P101" s="767">
        <f>SUM(I101:O101)</f>
        <v>37500</v>
      </c>
      <c r="Q101" s="990"/>
    </row>
    <row r="102" spans="1:262" s="991" customFormat="1" ht="22.5" customHeight="1" x14ac:dyDescent="0.35">
      <c r="A102" s="773">
        <v>92</v>
      </c>
      <c r="B102" s="983"/>
      <c r="C102" s="464"/>
      <c r="D102" s="761" t="s">
        <v>1049</v>
      </c>
      <c r="E102" s="430">
        <f>F102+G102+P105</f>
        <v>8000</v>
      </c>
      <c r="F102" s="987"/>
      <c r="G102" s="988"/>
      <c r="H102" s="1000"/>
      <c r="I102" s="1525"/>
      <c r="J102" s="1524"/>
      <c r="K102" s="1524"/>
      <c r="L102" s="1524"/>
      <c r="M102" s="1524"/>
      <c r="N102" s="1524"/>
      <c r="O102" s="1524"/>
      <c r="P102" s="1927"/>
      <c r="Q102" s="990"/>
    </row>
    <row r="103" spans="1:262" s="991" customFormat="1" ht="18" customHeight="1" x14ac:dyDescent="0.35">
      <c r="A103" s="773">
        <v>93</v>
      </c>
      <c r="B103" s="983"/>
      <c r="C103" s="464"/>
      <c r="D103" s="576" t="s">
        <v>1158</v>
      </c>
      <c r="E103" s="986"/>
      <c r="F103" s="987"/>
      <c r="G103" s="988"/>
      <c r="H103" s="1000"/>
      <c r="I103" s="1525"/>
      <c r="J103" s="1524"/>
      <c r="K103" s="1524"/>
      <c r="L103" s="1524"/>
      <c r="M103" s="1524">
        <v>8000</v>
      </c>
      <c r="N103" s="1524">
        <v>0</v>
      </c>
      <c r="O103" s="1524"/>
      <c r="P103" s="767">
        <f>SUM(I103:O103)</f>
        <v>8000</v>
      </c>
      <c r="Q103" s="990"/>
    </row>
    <row r="104" spans="1:262" s="991" customFormat="1" ht="18" customHeight="1" x14ac:dyDescent="0.35">
      <c r="A104" s="773">
        <v>94</v>
      </c>
      <c r="B104" s="983"/>
      <c r="C104" s="464"/>
      <c r="D104" s="1318" t="s">
        <v>969</v>
      </c>
      <c r="E104" s="986"/>
      <c r="F104" s="987"/>
      <c r="G104" s="988"/>
      <c r="H104" s="1000"/>
      <c r="I104" s="1525"/>
      <c r="J104" s="1524"/>
      <c r="K104" s="1524"/>
      <c r="L104" s="1524"/>
      <c r="M104" s="1771"/>
      <c r="N104" s="1771"/>
      <c r="O104" s="1524"/>
      <c r="P104" s="1741">
        <f>SUM(I104:O104)</f>
        <v>0</v>
      </c>
      <c r="Q104" s="990"/>
    </row>
    <row r="105" spans="1:262" s="991" customFormat="1" ht="18" customHeight="1" x14ac:dyDescent="0.35">
      <c r="A105" s="773">
        <v>95</v>
      </c>
      <c r="B105" s="983"/>
      <c r="C105" s="464"/>
      <c r="D105" s="576" t="s">
        <v>1250</v>
      </c>
      <c r="E105" s="986"/>
      <c r="F105" s="987"/>
      <c r="G105" s="988"/>
      <c r="H105" s="1000"/>
      <c r="I105" s="1525"/>
      <c r="J105" s="1524"/>
      <c r="K105" s="1524"/>
      <c r="L105" s="1524"/>
      <c r="M105" s="1524">
        <f>SUM(M103:M104)</f>
        <v>8000</v>
      </c>
      <c r="N105" s="1524">
        <f>SUM(N103:N104)</f>
        <v>0</v>
      </c>
      <c r="O105" s="1524"/>
      <c r="P105" s="767">
        <f>SUM(I105:O105)</f>
        <v>8000</v>
      </c>
      <c r="Q105" s="990"/>
    </row>
    <row r="106" spans="1:262" s="991" customFormat="1" ht="22.5" customHeight="1" x14ac:dyDescent="0.35">
      <c r="A106" s="773">
        <v>96</v>
      </c>
      <c r="B106" s="983"/>
      <c r="C106" s="464"/>
      <c r="D106" s="761" t="s">
        <v>773</v>
      </c>
      <c r="E106" s="430"/>
      <c r="F106" s="987"/>
      <c r="G106" s="988"/>
      <c r="H106" s="1000"/>
      <c r="I106" s="996"/>
      <c r="J106" s="989"/>
      <c r="K106" s="1013"/>
      <c r="L106" s="1013"/>
      <c r="M106" s="989"/>
      <c r="N106" s="989"/>
      <c r="O106" s="989"/>
      <c r="P106" s="982"/>
      <c r="Q106" s="990"/>
    </row>
    <row r="107" spans="1:262" s="991" customFormat="1" ht="18" customHeight="1" x14ac:dyDescent="0.35">
      <c r="A107" s="773">
        <v>97</v>
      </c>
      <c r="B107" s="983"/>
      <c r="C107" s="464"/>
      <c r="D107" s="985" t="s">
        <v>308</v>
      </c>
      <c r="E107" s="986"/>
      <c r="F107" s="987"/>
      <c r="G107" s="988"/>
      <c r="H107" s="1000"/>
      <c r="I107" s="996"/>
      <c r="J107" s="989"/>
      <c r="K107" s="989">
        <v>25400</v>
      </c>
      <c r="L107" s="1013"/>
      <c r="M107" s="989"/>
      <c r="N107" s="989"/>
      <c r="O107" s="989"/>
      <c r="P107" s="982">
        <f>SUM(I107:O107)</f>
        <v>25400</v>
      </c>
      <c r="Q107" s="990"/>
    </row>
    <row r="108" spans="1:262" s="991" customFormat="1" ht="18" customHeight="1" x14ac:dyDescent="0.35">
      <c r="A108" s="773">
        <v>98</v>
      </c>
      <c r="B108" s="983"/>
      <c r="C108" s="464"/>
      <c r="D108" s="576" t="s">
        <v>1158</v>
      </c>
      <c r="E108" s="986"/>
      <c r="F108" s="987"/>
      <c r="G108" s="988"/>
      <c r="H108" s="1000"/>
      <c r="I108" s="996"/>
      <c r="J108" s="989"/>
      <c r="K108" s="1524">
        <v>0</v>
      </c>
      <c r="L108" s="1013"/>
      <c r="M108" s="989"/>
      <c r="N108" s="989"/>
      <c r="O108" s="989"/>
      <c r="P108" s="767">
        <f>SUM(I108:O108)</f>
        <v>0</v>
      </c>
      <c r="Q108" s="990"/>
    </row>
    <row r="109" spans="1:262" s="991" customFormat="1" ht="18" customHeight="1" x14ac:dyDescent="0.35">
      <c r="A109" s="773">
        <v>99</v>
      </c>
      <c r="B109" s="983"/>
      <c r="C109" s="464"/>
      <c r="D109" s="1318" t="s">
        <v>947</v>
      </c>
      <c r="E109" s="986"/>
      <c r="F109" s="987"/>
      <c r="G109" s="988"/>
      <c r="H109" s="1000"/>
      <c r="I109" s="1525"/>
      <c r="J109" s="1524"/>
      <c r="K109" s="759"/>
      <c r="L109" s="759"/>
      <c r="M109" s="1524"/>
      <c r="N109" s="1524"/>
      <c r="O109" s="1524"/>
      <c r="P109" s="767">
        <f>SUM(I109:O109)</f>
        <v>0</v>
      </c>
      <c r="Q109" s="990"/>
    </row>
    <row r="110" spans="1:262" s="991" customFormat="1" ht="18" customHeight="1" x14ac:dyDescent="0.35">
      <c r="A110" s="773">
        <v>100</v>
      </c>
      <c r="B110" s="983"/>
      <c r="C110" s="464"/>
      <c r="D110" s="576" t="s">
        <v>1250</v>
      </c>
      <c r="E110" s="986"/>
      <c r="F110" s="987"/>
      <c r="G110" s="988"/>
      <c r="H110" s="1000"/>
      <c r="I110" s="1525"/>
      <c r="J110" s="1524"/>
      <c r="K110" s="1524">
        <f>SUM(K108:K109)</f>
        <v>0</v>
      </c>
      <c r="L110" s="759"/>
      <c r="M110" s="1524"/>
      <c r="N110" s="1524"/>
      <c r="O110" s="1524"/>
      <c r="P110" s="767">
        <f>SUM(P108:P109)</f>
        <v>0</v>
      </c>
      <c r="Q110" s="990"/>
    </row>
    <row r="111" spans="1:262" s="758" customFormat="1" ht="22.5" customHeight="1" x14ac:dyDescent="0.35">
      <c r="A111" s="773">
        <v>101</v>
      </c>
      <c r="B111" s="766"/>
      <c r="C111" s="420"/>
      <c r="D111" s="1024" t="s">
        <v>933</v>
      </c>
      <c r="E111" s="430"/>
      <c r="F111" s="762"/>
      <c r="G111" s="431"/>
      <c r="H111" s="999"/>
      <c r="I111" s="995"/>
      <c r="J111" s="759"/>
      <c r="K111" s="759"/>
      <c r="L111" s="759"/>
      <c r="M111" s="759"/>
      <c r="N111" s="759"/>
      <c r="O111" s="759"/>
      <c r="P111" s="767"/>
      <c r="Q111" s="763"/>
      <c r="R111" s="418"/>
      <c r="S111" s="418"/>
      <c r="T111" s="418"/>
      <c r="U111" s="418"/>
      <c r="V111" s="418"/>
      <c r="W111" s="418"/>
      <c r="X111" s="418"/>
      <c r="Y111" s="418"/>
      <c r="Z111" s="418"/>
      <c r="AA111" s="418"/>
      <c r="AB111" s="418"/>
      <c r="AC111" s="418"/>
      <c r="AD111" s="418"/>
      <c r="AE111" s="418"/>
      <c r="AF111" s="418"/>
      <c r="AG111" s="418"/>
      <c r="AH111" s="418"/>
      <c r="AI111" s="418"/>
      <c r="AJ111" s="418"/>
      <c r="AK111" s="418"/>
      <c r="AL111" s="418"/>
      <c r="AM111" s="418"/>
      <c r="AN111" s="418"/>
      <c r="AO111" s="418"/>
      <c r="AP111" s="418"/>
      <c r="AQ111" s="418"/>
      <c r="AR111" s="418"/>
      <c r="AS111" s="418"/>
      <c r="AT111" s="418"/>
      <c r="AU111" s="418"/>
      <c r="AV111" s="418"/>
      <c r="AW111" s="418"/>
      <c r="AX111" s="418"/>
      <c r="AY111" s="418"/>
      <c r="AZ111" s="418"/>
      <c r="BA111" s="418"/>
      <c r="BB111" s="418"/>
      <c r="BC111" s="418"/>
      <c r="BD111" s="418"/>
      <c r="BE111" s="418"/>
      <c r="BF111" s="418"/>
      <c r="BG111" s="418"/>
      <c r="BH111" s="418"/>
      <c r="BI111" s="418"/>
      <c r="BJ111" s="418"/>
      <c r="BK111" s="418"/>
      <c r="BL111" s="418"/>
      <c r="BM111" s="418"/>
      <c r="BN111" s="418"/>
      <c r="BO111" s="418"/>
      <c r="BP111" s="418"/>
      <c r="BQ111" s="418"/>
      <c r="BR111" s="418"/>
      <c r="BS111" s="418"/>
      <c r="BT111" s="418"/>
      <c r="BU111" s="418"/>
      <c r="BV111" s="418"/>
      <c r="BW111" s="418"/>
      <c r="BX111" s="418"/>
      <c r="BY111" s="418"/>
      <c r="BZ111" s="418"/>
      <c r="CA111" s="418"/>
      <c r="CB111" s="418"/>
      <c r="CC111" s="418"/>
      <c r="CD111" s="418"/>
      <c r="CE111" s="418"/>
      <c r="CF111" s="418"/>
      <c r="CG111" s="418"/>
      <c r="CH111" s="418"/>
      <c r="CI111" s="418"/>
      <c r="CJ111" s="418"/>
      <c r="CK111" s="418"/>
      <c r="CL111" s="418"/>
      <c r="CM111" s="418"/>
      <c r="CN111" s="418"/>
      <c r="CO111" s="418"/>
      <c r="CP111" s="418"/>
      <c r="CQ111" s="418"/>
      <c r="CR111" s="418"/>
      <c r="CS111" s="418"/>
      <c r="CT111" s="418"/>
      <c r="CU111" s="418"/>
      <c r="CV111" s="418"/>
      <c r="CW111" s="418"/>
      <c r="CX111" s="418"/>
      <c r="CY111" s="418"/>
      <c r="CZ111" s="418"/>
      <c r="DA111" s="418"/>
      <c r="DB111" s="418"/>
      <c r="DC111" s="418"/>
      <c r="DD111" s="418"/>
      <c r="DE111" s="418"/>
      <c r="DF111" s="418"/>
      <c r="DG111" s="418"/>
      <c r="DH111" s="418"/>
      <c r="DI111" s="418"/>
      <c r="DJ111" s="418"/>
      <c r="DK111" s="418"/>
      <c r="DL111" s="418"/>
      <c r="DM111" s="418"/>
      <c r="DN111" s="418"/>
      <c r="DO111" s="418"/>
      <c r="DP111" s="418"/>
      <c r="DQ111" s="418"/>
      <c r="DR111" s="418"/>
      <c r="DS111" s="418"/>
      <c r="DT111" s="418"/>
      <c r="DU111" s="418"/>
      <c r="DV111" s="418"/>
      <c r="DW111" s="418"/>
      <c r="DX111" s="418"/>
      <c r="DY111" s="418"/>
      <c r="DZ111" s="418"/>
      <c r="EA111" s="418"/>
      <c r="EB111" s="418"/>
      <c r="EC111" s="418"/>
      <c r="ED111" s="418"/>
      <c r="EE111" s="418"/>
      <c r="EF111" s="418"/>
      <c r="EG111" s="418"/>
      <c r="EH111" s="418"/>
      <c r="EI111" s="418"/>
      <c r="EJ111" s="418"/>
      <c r="EK111" s="418"/>
      <c r="EL111" s="418"/>
      <c r="EM111" s="418"/>
      <c r="EN111" s="418"/>
      <c r="EO111" s="418"/>
      <c r="EP111" s="418"/>
      <c r="EQ111" s="418"/>
      <c r="ER111" s="418"/>
      <c r="ES111" s="418"/>
      <c r="ET111" s="418"/>
      <c r="EU111" s="418"/>
      <c r="EV111" s="418"/>
      <c r="EW111" s="418"/>
      <c r="EX111" s="418"/>
      <c r="EY111" s="418"/>
      <c r="EZ111" s="418"/>
      <c r="FA111" s="418"/>
      <c r="FB111" s="418"/>
      <c r="FC111" s="418"/>
      <c r="FD111" s="418"/>
      <c r="FE111" s="418"/>
      <c r="FF111" s="418"/>
      <c r="FG111" s="418"/>
      <c r="FH111" s="418"/>
      <c r="FI111" s="418"/>
      <c r="FJ111" s="418"/>
      <c r="FK111" s="418"/>
      <c r="FL111" s="418"/>
      <c r="FM111" s="418"/>
      <c r="FN111" s="418"/>
      <c r="FO111" s="418"/>
      <c r="FP111" s="418"/>
      <c r="FQ111" s="418"/>
      <c r="FR111" s="418"/>
      <c r="FS111" s="418"/>
      <c r="FT111" s="418"/>
      <c r="FU111" s="418"/>
      <c r="FV111" s="418"/>
      <c r="FW111" s="418"/>
      <c r="FX111" s="418"/>
      <c r="FY111" s="418"/>
      <c r="FZ111" s="418"/>
      <c r="GA111" s="418"/>
      <c r="GB111" s="418"/>
      <c r="GC111" s="418"/>
      <c r="GD111" s="418"/>
      <c r="GE111" s="418"/>
      <c r="GF111" s="418"/>
      <c r="GG111" s="418"/>
      <c r="GH111" s="418"/>
      <c r="GI111" s="418"/>
      <c r="GJ111" s="418"/>
      <c r="GK111" s="418"/>
      <c r="GL111" s="418"/>
      <c r="GM111" s="418"/>
      <c r="GN111" s="418"/>
      <c r="GO111" s="418"/>
      <c r="GP111" s="418"/>
      <c r="GQ111" s="418"/>
      <c r="GR111" s="418"/>
      <c r="GS111" s="418"/>
      <c r="GT111" s="418"/>
      <c r="GU111" s="418"/>
      <c r="GV111" s="418"/>
      <c r="GW111" s="418"/>
      <c r="GX111" s="418"/>
      <c r="GY111" s="418"/>
      <c r="GZ111" s="418"/>
      <c r="HA111" s="418"/>
      <c r="HB111" s="418"/>
      <c r="HC111" s="418"/>
      <c r="HD111" s="418"/>
      <c r="HE111" s="418"/>
      <c r="HF111" s="418"/>
      <c r="HG111" s="418"/>
      <c r="HH111" s="418"/>
      <c r="HI111" s="418"/>
      <c r="HJ111" s="418"/>
      <c r="HK111" s="418"/>
      <c r="HL111" s="418"/>
      <c r="HM111" s="418"/>
      <c r="HN111" s="418"/>
      <c r="HO111" s="418"/>
      <c r="HP111" s="418"/>
      <c r="HQ111" s="418"/>
      <c r="HR111" s="418"/>
      <c r="HS111" s="418"/>
      <c r="HT111" s="418"/>
      <c r="HU111" s="418"/>
      <c r="HV111" s="418"/>
      <c r="HW111" s="418"/>
      <c r="HX111" s="418"/>
      <c r="HY111" s="418"/>
      <c r="HZ111" s="418"/>
      <c r="IA111" s="418"/>
      <c r="IB111" s="418"/>
      <c r="IC111" s="418"/>
      <c r="ID111" s="418"/>
      <c r="IE111" s="418"/>
      <c r="IF111" s="418"/>
      <c r="IG111" s="418"/>
      <c r="IH111" s="418"/>
      <c r="II111" s="418"/>
      <c r="IJ111" s="418"/>
      <c r="IK111" s="418"/>
      <c r="IL111" s="418"/>
      <c r="IM111" s="418"/>
      <c r="IN111" s="418"/>
      <c r="IO111" s="418"/>
      <c r="IP111" s="418"/>
      <c r="IQ111" s="418"/>
      <c r="IR111" s="418"/>
      <c r="IS111" s="418"/>
      <c r="IT111" s="418"/>
      <c r="IU111" s="418"/>
      <c r="IV111" s="418"/>
      <c r="IW111" s="418"/>
      <c r="IX111" s="418"/>
      <c r="IY111" s="418"/>
      <c r="IZ111" s="418"/>
      <c r="JA111" s="418"/>
      <c r="JB111" s="418"/>
    </row>
    <row r="112" spans="1:262" s="758" customFormat="1" ht="22.5" customHeight="1" x14ac:dyDescent="0.35">
      <c r="A112" s="773">
        <v>102</v>
      </c>
      <c r="B112" s="766"/>
      <c r="C112" s="464"/>
      <c r="D112" s="761" t="s">
        <v>773</v>
      </c>
      <c r="E112" s="430"/>
      <c r="F112" s="762"/>
      <c r="G112" s="431"/>
      <c r="H112" s="999"/>
      <c r="I112" s="995"/>
      <c r="J112" s="759"/>
      <c r="K112" s="759"/>
      <c r="L112" s="759"/>
      <c r="M112" s="759"/>
      <c r="N112" s="759"/>
      <c r="O112" s="759"/>
      <c r="P112" s="767"/>
      <c r="Q112" s="763"/>
      <c r="R112" s="418"/>
      <c r="S112" s="418"/>
      <c r="T112" s="418"/>
      <c r="U112" s="418"/>
      <c r="V112" s="418"/>
      <c r="W112" s="418"/>
      <c r="X112" s="418"/>
      <c r="Y112" s="418"/>
      <c r="Z112" s="418"/>
      <c r="AA112" s="418"/>
      <c r="AB112" s="418"/>
      <c r="AC112" s="418"/>
      <c r="AD112" s="418"/>
      <c r="AE112" s="418"/>
      <c r="AF112" s="418"/>
      <c r="AG112" s="418"/>
      <c r="AH112" s="418"/>
      <c r="AI112" s="418"/>
      <c r="AJ112" s="418"/>
      <c r="AK112" s="418"/>
      <c r="AL112" s="418"/>
      <c r="AM112" s="418"/>
      <c r="AN112" s="418"/>
      <c r="AO112" s="418"/>
      <c r="AP112" s="418"/>
      <c r="AQ112" s="418"/>
      <c r="AR112" s="418"/>
      <c r="AS112" s="418"/>
      <c r="AT112" s="418"/>
      <c r="AU112" s="418"/>
      <c r="AV112" s="418"/>
      <c r="AW112" s="418"/>
      <c r="AX112" s="418"/>
      <c r="AY112" s="418"/>
      <c r="AZ112" s="418"/>
      <c r="BA112" s="418"/>
      <c r="BB112" s="418"/>
      <c r="BC112" s="418"/>
      <c r="BD112" s="418"/>
      <c r="BE112" s="418"/>
      <c r="BF112" s="418"/>
      <c r="BG112" s="418"/>
      <c r="BH112" s="418"/>
      <c r="BI112" s="418"/>
      <c r="BJ112" s="418"/>
      <c r="BK112" s="418"/>
      <c r="BL112" s="418"/>
      <c r="BM112" s="418"/>
      <c r="BN112" s="418"/>
      <c r="BO112" s="418"/>
      <c r="BP112" s="418"/>
      <c r="BQ112" s="418"/>
      <c r="BR112" s="418"/>
      <c r="BS112" s="418"/>
      <c r="BT112" s="418"/>
      <c r="BU112" s="418"/>
      <c r="BV112" s="418"/>
      <c r="BW112" s="418"/>
      <c r="BX112" s="418"/>
      <c r="BY112" s="418"/>
      <c r="BZ112" s="418"/>
      <c r="CA112" s="418"/>
      <c r="CB112" s="418"/>
      <c r="CC112" s="418"/>
      <c r="CD112" s="418"/>
      <c r="CE112" s="418"/>
      <c r="CF112" s="418"/>
      <c r="CG112" s="418"/>
      <c r="CH112" s="418"/>
      <c r="CI112" s="418"/>
      <c r="CJ112" s="418"/>
      <c r="CK112" s="418"/>
      <c r="CL112" s="418"/>
      <c r="CM112" s="418"/>
      <c r="CN112" s="418"/>
      <c r="CO112" s="418"/>
      <c r="CP112" s="418"/>
      <c r="CQ112" s="418"/>
      <c r="CR112" s="418"/>
      <c r="CS112" s="418"/>
      <c r="CT112" s="418"/>
      <c r="CU112" s="418"/>
      <c r="CV112" s="418"/>
      <c r="CW112" s="418"/>
      <c r="CX112" s="418"/>
      <c r="CY112" s="418"/>
      <c r="CZ112" s="418"/>
      <c r="DA112" s="418"/>
      <c r="DB112" s="418"/>
      <c r="DC112" s="418"/>
      <c r="DD112" s="418"/>
      <c r="DE112" s="418"/>
      <c r="DF112" s="418"/>
      <c r="DG112" s="418"/>
      <c r="DH112" s="418"/>
      <c r="DI112" s="418"/>
      <c r="DJ112" s="418"/>
      <c r="DK112" s="418"/>
      <c r="DL112" s="418"/>
      <c r="DM112" s="418"/>
      <c r="DN112" s="418"/>
      <c r="DO112" s="418"/>
      <c r="DP112" s="418"/>
      <c r="DQ112" s="418"/>
      <c r="DR112" s="418"/>
      <c r="DS112" s="418"/>
      <c r="DT112" s="418"/>
      <c r="DU112" s="418"/>
      <c r="DV112" s="418"/>
      <c r="DW112" s="418"/>
      <c r="DX112" s="418"/>
      <c r="DY112" s="418"/>
      <c r="DZ112" s="418"/>
      <c r="EA112" s="418"/>
      <c r="EB112" s="418"/>
      <c r="EC112" s="418"/>
      <c r="ED112" s="418"/>
      <c r="EE112" s="418"/>
      <c r="EF112" s="418"/>
      <c r="EG112" s="418"/>
      <c r="EH112" s="418"/>
      <c r="EI112" s="418"/>
      <c r="EJ112" s="418"/>
      <c r="EK112" s="418"/>
      <c r="EL112" s="418"/>
      <c r="EM112" s="418"/>
      <c r="EN112" s="418"/>
      <c r="EO112" s="418"/>
      <c r="EP112" s="418"/>
      <c r="EQ112" s="418"/>
      <c r="ER112" s="418"/>
      <c r="ES112" s="418"/>
      <c r="ET112" s="418"/>
      <c r="EU112" s="418"/>
      <c r="EV112" s="418"/>
      <c r="EW112" s="418"/>
      <c r="EX112" s="418"/>
      <c r="EY112" s="418"/>
      <c r="EZ112" s="418"/>
      <c r="FA112" s="418"/>
      <c r="FB112" s="418"/>
      <c r="FC112" s="418"/>
      <c r="FD112" s="418"/>
      <c r="FE112" s="418"/>
      <c r="FF112" s="418"/>
      <c r="FG112" s="418"/>
      <c r="FH112" s="418"/>
      <c r="FI112" s="418"/>
      <c r="FJ112" s="418"/>
      <c r="FK112" s="418"/>
      <c r="FL112" s="418"/>
      <c r="FM112" s="418"/>
      <c r="FN112" s="418"/>
      <c r="FO112" s="418"/>
      <c r="FP112" s="418"/>
      <c r="FQ112" s="418"/>
      <c r="FR112" s="418"/>
      <c r="FS112" s="418"/>
      <c r="FT112" s="418"/>
      <c r="FU112" s="418"/>
      <c r="FV112" s="418"/>
      <c r="FW112" s="418"/>
      <c r="FX112" s="418"/>
      <c r="FY112" s="418"/>
      <c r="FZ112" s="418"/>
      <c r="GA112" s="418"/>
      <c r="GB112" s="418"/>
      <c r="GC112" s="418"/>
      <c r="GD112" s="418"/>
      <c r="GE112" s="418"/>
      <c r="GF112" s="418"/>
      <c r="GG112" s="418"/>
      <c r="GH112" s="418"/>
      <c r="GI112" s="418"/>
      <c r="GJ112" s="418"/>
      <c r="GK112" s="418"/>
      <c r="GL112" s="418"/>
      <c r="GM112" s="418"/>
      <c r="GN112" s="418"/>
      <c r="GO112" s="418"/>
      <c r="GP112" s="418"/>
      <c r="GQ112" s="418"/>
      <c r="GR112" s="418"/>
      <c r="GS112" s="418"/>
      <c r="GT112" s="418"/>
      <c r="GU112" s="418"/>
      <c r="GV112" s="418"/>
      <c r="GW112" s="418"/>
      <c r="GX112" s="418"/>
      <c r="GY112" s="418"/>
      <c r="GZ112" s="418"/>
      <c r="HA112" s="418"/>
      <c r="HB112" s="418"/>
      <c r="HC112" s="418"/>
      <c r="HD112" s="418"/>
      <c r="HE112" s="418"/>
      <c r="HF112" s="418"/>
      <c r="HG112" s="418"/>
      <c r="HH112" s="418"/>
      <c r="HI112" s="418"/>
      <c r="HJ112" s="418"/>
      <c r="HK112" s="418"/>
      <c r="HL112" s="418"/>
      <c r="HM112" s="418"/>
      <c r="HN112" s="418"/>
      <c r="HO112" s="418"/>
      <c r="HP112" s="418"/>
      <c r="HQ112" s="418"/>
      <c r="HR112" s="418"/>
      <c r="HS112" s="418"/>
      <c r="HT112" s="418"/>
      <c r="HU112" s="418"/>
      <c r="HV112" s="418"/>
      <c r="HW112" s="418"/>
      <c r="HX112" s="418"/>
      <c r="HY112" s="418"/>
      <c r="HZ112" s="418"/>
      <c r="IA112" s="418"/>
      <c r="IB112" s="418"/>
      <c r="IC112" s="418"/>
      <c r="ID112" s="418"/>
      <c r="IE112" s="418"/>
      <c r="IF112" s="418"/>
      <c r="IG112" s="418"/>
      <c r="IH112" s="418"/>
      <c r="II112" s="418"/>
      <c r="IJ112" s="418"/>
      <c r="IK112" s="418"/>
      <c r="IL112" s="418"/>
      <c r="IM112" s="418"/>
      <c r="IN112" s="418"/>
      <c r="IO112" s="418"/>
      <c r="IP112" s="418"/>
      <c r="IQ112" s="418"/>
      <c r="IR112" s="418"/>
      <c r="IS112" s="418"/>
      <c r="IT112" s="418"/>
      <c r="IU112" s="418"/>
      <c r="IV112" s="418"/>
      <c r="IW112" s="418"/>
      <c r="IX112" s="418"/>
      <c r="IY112" s="418"/>
      <c r="IZ112" s="418"/>
      <c r="JA112" s="418"/>
      <c r="JB112" s="418"/>
    </row>
    <row r="113" spans="1:262" s="758" customFormat="1" ht="20.100000000000001" customHeight="1" x14ac:dyDescent="0.35">
      <c r="A113" s="773">
        <v>103</v>
      </c>
      <c r="B113" s="766"/>
      <c r="C113" s="420"/>
      <c r="D113" s="985" t="s">
        <v>308</v>
      </c>
      <c r="E113" s="430"/>
      <c r="F113" s="762"/>
      <c r="G113" s="431"/>
      <c r="H113" s="999"/>
      <c r="I113" s="995"/>
      <c r="J113" s="759"/>
      <c r="K113" s="759"/>
      <c r="L113" s="759"/>
      <c r="M113" s="989">
        <v>408940</v>
      </c>
      <c r="N113" s="759"/>
      <c r="O113" s="759"/>
      <c r="P113" s="982">
        <f>SUM(I113:O113)</f>
        <v>408940</v>
      </c>
      <c r="Q113" s="763"/>
      <c r="R113" s="418"/>
      <c r="S113" s="418"/>
      <c r="T113" s="418"/>
      <c r="U113" s="418"/>
      <c r="V113" s="418"/>
      <c r="W113" s="418"/>
      <c r="X113" s="418"/>
      <c r="Y113" s="418"/>
      <c r="Z113" s="418"/>
      <c r="AA113" s="418"/>
      <c r="AB113" s="418"/>
      <c r="AC113" s="418"/>
      <c r="AD113" s="418"/>
      <c r="AE113" s="418"/>
      <c r="AF113" s="418"/>
      <c r="AG113" s="418"/>
      <c r="AH113" s="418"/>
      <c r="AI113" s="418"/>
      <c r="AJ113" s="418"/>
      <c r="AK113" s="418"/>
      <c r="AL113" s="418"/>
      <c r="AM113" s="418"/>
      <c r="AN113" s="418"/>
      <c r="AO113" s="418"/>
      <c r="AP113" s="418"/>
      <c r="AQ113" s="418"/>
      <c r="AR113" s="418"/>
      <c r="AS113" s="418"/>
      <c r="AT113" s="418"/>
      <c r="AU113" s="418"/>
      <c r="AV113" s="418"/>
      <c r="AW113" s="418"/>
      <c r="AX113" s="418"/>
      <c r="AY113" s="418"/>
      <c r="AZ113" s="418"/>
      <c r="BA113" s="418"/>
      <c r="BB113" s="418"/>
      <c r="BC113" s="418"/>
      <c r="BD113" s="418"/>
      <c r="BE113" s="418"/>
      <c r="BF113" s="418"/>
      <c r="BG113" s="418"/>
      <c r="BH113" s="418"/>
      <c r="BI113" s="418"/>
      <c r="BJ113" s="418"/>
      <c r="BK113" s="418"/>
      <c r="BL113" s="418"/>
      <c r="BM113" s="418"/>
      <c r="BN113" s="418"/>
      <c r="BO113" s="418"/>
      <c r="BP113" s="418"/>
      <c r="BQ113" s="418"/>
      <c r="BR113" s="418"/>
      <c r="BS113" s="418"/>
      <c r="BT113" s="418"/>
      <c r="BU113" s="418"/>
      <c r="BV113" s="418"/>
      <c r="BW113" s="418"/>
      <c r="BX113" s="418"/>
      <c r="BY113" s="418"/>
      <c r="BZ113" s="418"/>
      <c r="CA113" s="418"/>
      <c r="CB113" s="418"/>
      <c r="CC113" s="418"/>
      <c r="CD113" s="418"/>
      <c r="CE113" s="418"/>
      <c r="CF113" s="418"/>
      <c r="CG113" s="418"/>
      <c r="CH113" s="418"/>
      <c r="CI113" s="418"/>
      <c r="CJ113" s="418"/>
      <c r="CK113" s="418"/>
      <c r="CL113" s="418"/>
      <c r="CM113" s="418"/>
      <c r="CN113" s="418"/>
      <c r="CO113" s="418"/>
      <c r="CP113" s="418"/>
      <c r="CQ113" s="418"/>
      <c r="CR113" s="418"/>
      <c r="CS113" s="418"/>
      <c r="CT113" s="418"/>
      <c r="CU113" s="418"/>
      <c r="CV113" s="418"/>
      <c r="CW113" s="418"/>
      <c r="CX113" s="418"/>
      <c r="CY113" s="418"/>
      <c r="CZ113" s="418"/>
      <c r="DA113" s="418"/>
      <c r="DB113" s="418"/>
      <c r="DC113" s="418"/>
      <c r="DD113" s="418"/>
      <c r="DE113" s="418"/>
      <c r="DF113" s="418"/>
      <c r="DG113" s="418"/>
      <c r="DH113" s="418"/>
      <c r="DI113" s="418"/>
      <c r="DJ113" s="418"/>
      <c r="DK113" s="418"/>
      <c r="DL113" s="418"/>
      <c r="DM113" s="418"/>
      <c r="DN113" s="418"/>
      <c r="DO113" s="418"/>
      <c r="DP113" s="418"/>
      <c r="DQ113" s="418"/>
      <c r="DR113" s="418"/>
      <c r="DS113" s="418"/>
      <c r="DT113" s="418"/>
      <c r="DU113" s="418"/>
      <c r="DV113" s="418"/>
      <c r="DW113" s="418"/>
      <c r="DX113" s="418"/>
      <c r="DY113" s="418"/>
      <c r="DZ113" s="418"/>
      <c r="EA113" s="418"/>
      <c r="EB113" s="418"/>
      <c r="EC113" s="418"/>
      <c r="ED113" s="418"/>
      <c r="EE113" s="418"/>
      <c r="EF113" s="418"/>
      <c r="EG113" s="418"/>
      <c r="EH113" s="418"/>
      <c r="EI113" s="418"/>
      <c r="EJ113" s="418"/>
      <c r="EK113" s="418"/>
      <c r="EL113" s="418"/>
      <c r="EM113" s="418"/>
      <c r="EN113" s="418"/>
      <c r="EO113" s="418"/>
      <c r="EP113" s="418"/>
      <c r="EQ113" s="418"/>
      <c r="ER113" s="418"/>
      <c r="ES113" s="418"/>
      <c r="ET113" s="418"/>
      <c r="EU113" s="418"/>
      <c r="EV113" s="418"/>
      <c r="EW113" s="418"/>
      <c r="EX113" s="418"/>
      <c r="EY113" s="418"/>
      <c r="EZ113" s="418"/>
      <c r="FA113" s="418"/>
      <c r="FB113" s="418"/>
      <c r="FC113" s="418"/>
      <c r="FD113" s="418"/>
      <c r="FE113" s="418"/>
      <c r="FF113" s="418"/>
      <c r="FG113" s="418"/>
      <c r="FH113" s="418"/>
      <c r="FI113" s="418"/>
      <c r="FJ113" s="418"/>
      <c r="FK113" s="418"/>
      <c r="FL113" s="418"/>
      <c r="FM113" s="418"/>
      <c r="FN113" s="418"/>
      <c r="FO113" s="418"/>
      <c r="FP113" s="418"/>
      <c r="FQ113" s="418"/>
      <c r="FR113" s="418"/>
      <c r="FS113" s="418"/>
      <c r="FT113" s="418"/>
      <c r="FU113" s="418"/>
      <c r="FV113" s="418"/>
      <c r="FW113" s="418"/>
      <c r="FX113" s="418"/>
      <c r="FY113" s="418"/>
      <c r="FZ113" s="418"/>
      <c r="GA113" s="418"/>
      <c r="GB113" s="418"/>
      <c r="GC113" s="418"/>
      <c r="GD113" s="418"/>
      <c r="GE113" s="418"/>
      <c r="GF113" s="418"/>
      <c r="GG113" s="418"/>
      <c r="GH113" s="418"/>
      <c r="GI113" s="418"/>
      <c r="GJ113" s="418"/>
      <c r="GK113" s="418"/>
      <c r="GL113" s="418"/>
      <c r="GM113" s="418"/>
      <c r="GN113" s="418"/>
      <c r="GO113" s="418"/>
      <c r="GP113" s="418"/>
      <c r="GQ113" s="418"/>
      <c r="GR113" s="418"/>
      <c r="GS113" s="418"/>
      <c r="GT113" s="418"/>
      <c r="GU113" s="418"/>
      <c r="GV113" s="418"/>
      <c r="GW113" s="418"/>
      <c r="GX113" s="418"/>
      <c r="GY113" s="418"/>
      <c r="GZ113" s="418"/>
      <c r="HA113" s="418"/>
      <c r="HB113" s="418"/>
      <c r="HC113" s="418"/>
      <c r="HD113" s="418"/>
      <c r="HE113" s="418"/>
      <c r="HF113" s="418"/>
      <c r="HG113" s="418"/>
      <c r="HH113" s="418"/>
      <c r="HI113" s="418"/>
      <c r="HJ113" s="418"/>
      <c r="HK113" s="418"/>
      <c r="HL113" s="418"/>
      <c r="HM113" s="418"/>
      <c r="HN113" s="418"/>
      <c r="HO113" s="418"/>
      <c r="HP113" s="418"/>
      <c r="HQ113" s="418"/>
      <c r="HR113" s="418"/>
      <c r="HS113" s="418"/>
      <c r="HT113" s="418"/>
      <c r="HU113" s="418"/>
      <c r="HV113" s="418"/>
      <c r="HW113" s="418"/>
      <c r="HX113" s="418"/>
      <c r="HY113" s="418"/>
      <c r="HZ113" s="418"/>
      <c r="IA113" s="418"/>
      <c r="IB113" s="418"/>
      <c r="IC113" s="418"/>
      <c r="ID113" s="418"/>
      <c r="IE113" s="418"/>
      <c r="IF113" s="418"/>
      <c r="IG113" s="418"/>
      <c r="IH113" s="418"/>
      <c r="II113" s="418"/>
      <c r="IJ113" s="418"/>
      <c r="IK113" s="418"/>
      <c r="IL113" s="418"/>
      <c r="IM113" s="418"/>
      <c r="IN113" s="418"/>
      <c r="IO113" s="418"/>
      <c r="IP113" s="418"/>
      <c r="IQ113" s="418"/>
      <c r="IR113" s="418"/>
      <c r="IS113" s="418"/>
      <c r="IT113" s="418"/>
      <c r="IU113" s="418"/>
      <c r="IV113" s="418"/>
      <c r="IW113" s="418"/>
      <c r="IX113" s="418"/>
      <c r="IY113" s="418"/>
      <c r="IZ113" s="418"/>
      <c r="JA113" s="418"/>
      <c r="JB113" s="418"/>
    </row>
    <row r="114" spans="1:262" s="758" customFormat="1" ht="20.100000000000001" customHeight="1" x14ac:dyDescent="0.35">
      <c r="A114" s="773">
        <v>104</v>
      </c>
      <c r="B114" s="766"/>
      <c r="C114" s="420"/>
      <c r="D114" s="576" t="s">
        <v>1158</v>
      </c>
      <c r="E114" s="430"/>
      <c r="F114" s="762"/>
      <c r="G114" s="431"/>
      <c r="H114" s="999"/>
      <c r="I114" s="995"/>
      <c r="J114" s="759"/>
      <c r="K114" s="759"/>
      <c r="L114" s="759"/>
      <c r="M114" s="1524">
        <v>0</v>
      </c>
      <c r="N114" s="759"/>
      <c r="O114" s="759"/>
      <c r="P114" s="767">
        <f>SUM(I114:O114)</f>
        <v>0</v>
      </c>
      <c r="Q114" s="763"/>
      <c r="R114" s="418"/>
      <c r="S114" s="418"/>
      <c r="T114" s="418"/>
      <c r="U114" s="418"/>
      <c r="V114" s="418"/>
      <c r="W114" s="418"/>
      <c r="X114" s="418"/>
      <c r="Y114" s="418"/>
      <c r="Z114" s="418"/>
      <c r="AA114" s="418"/>
      <c r="AB114" s="418"/>
      <c r="AC114" s="418"/>
      <c r="AD114" s="418"/>
      <c r="AE114" s="418"/>
      <c r="AF114" s="418"/>
      <c r="AG114" s="418"/>
      <c r="AH114" s="418"/>
      <c r="AI114" s="418"/>
      <c r="AJ114" s="418"/>
      <c r="AK114" s="418"/>
      <c r="AL114" s="418"/>
      <c r="AM114" s="418"/>
      <c r="AN114" s="418"/>
      <c r="AO114" s="418"/>
      <c r="AP114" s="418"/>
      <c r="AQ114" s="418"/>
      <c r="AR114" s="418"/>
      <c r="AS114" s="418"/>
      <c r="AT114" s="418"/>
      <c r="AU114" s="418"/>
      <c r="AV114" s="418"/>
      <c r="AW114" s="418"/>
      <c r="AX114" s="418"/>
      <c r="AY114" s="418"/>
      <c r="AZ114" s="418"/>
      <c r="BA114" s="418"/>
      <c r="BB114" s="418"/>
      <c r="BC114" s="418"/>
      <c r="BD114" s="418"/>
      <c r="BE114" s="418"/>
      <c r="BF114" s="418"/>
      <c r="BG114" s="418"/>
      <c r="BH114" s="418"/>
      <c r="BI114" s="418"/>
      <c r="BJ114" s="418"/>
      <c r="BK114" s="418"/>
      <c r="BL114" s="418"/>
      <c r="BM114" s="418"/>
      <c r="BN114" s="418"/>
      <c r="BO114" s="418"/>
      <c r="BP114" s="418"/>
      <c r="BQ114" s="418"/>
      <c r="BR114" s="418"/>
      <c r="BS114" s="418"/>
      <c r="BT114" s="418"/>
      <c r="BU114" s="418"/>
      <c r="BV114" s="418"/>
      <c r="BW114" s="418"/>
      <c r="BX114" s="418"/>
      <c r="BY114" s="418"/>
      <c r="BZ114" s="418"/>
      <c r="CA114" s="418"/>
      <c r="CB114" s="418"/>
      <c r="CC114" s="418"/>
      <c r="CD114" s="418"/>
      <c r="CE114" s="418"/>
      <c r="CF114" s="418"/>
      <c r="CG114" s="418"/>
      <c r="CH114" s="418"/>
      <c r="CI114" s="418"/>
      <c r="CJ114" s="418"/>
      <c r="CK114" s="418"/>
      <c r="CL114" s="418"/>
      <c r="CM114" s="418"/>
      <c r="CN114" s="418"/>
      <c r="CO114" s="418"/>
      <c r="CP114" s="418"/>
      <c r="CQ114" s="418"/>
      <c r="CR114" s="418"/>
      <c r="CS114" s="418"/>
      <c r="CT114" s="418"/>
      <c r="CU114" s="418"/>
      <c r="CV114" s="418"/>
      <c r="CW114" s="418"/>
      <c r="CX114" s="418"/>
      <c r="CY114" s="418"/>
      <c r="CZ114" s="418"/>
      <c r="DA114" s="418"/>
      <c r="DB114" s="418"/>
      <c r="DC114" s="418"/>
      <c r="DD114" s="418"/>
      <c r="DE114" s="418"/>
      <c r="DF114" s="418"/>
      <c r="DG114" s="418"/>
      <c r="DH114" s="418"/>
      <c r="DI114" s="418"/>
      <c r="DJ114" s="418"/>
      <c r="DK114" s="418"/>
      <c r="DL114" s="418"/>
      <c r="DM114" s="418"/>
      <c r="DN114" s="418"/>
      <c r="DO114" s="418"/>
      <c r="DP114" s="418"/>
      <c r="DQ114" s="418"/>
      <c r="DR114" s="418"/>
      <c r="DS114" s="418"/>
      <c r="DT114" s="418"/>
      <c r="DU114" s="418"/>
      <c r="DV114" s="418"/>
      <c r="DW114" s="418"/>
      <c r="DX114" s="418"/>
      <c r="DY114" s="418"/>
      <c r="DZ114" s="418"/>
      <c r="EA114" s="418"/>
      <c r="EB114" s="418"/>
      <c r="EC114" s="418"/>
      <c r="ED114" s="418"/>
      <c r="EE114" s="418"/>
      <c r="EF114" s="418"/>
      <c r="EG114" s="418"/>
      <c r="EH114" s="418"/>
      <c r="EI114" s="418"/>
      <c r="EJ114" s="418"/>
      <c r="EK114" s="418"/>
      <c r="EL114" s="418"/>
      <c r="EM114" s="418"/>
      <c r="EN114" s="418"/>
      <c r="EO114" s="418"/>
      <c r="EP114" s="418"/>
      <c r="EQ114" s="418"/>
      <c r="ER114" s="418"/>
      <c r="ES114" s="418"/>
      <c r="ET114" s="418"/>
      <c r="EU114" s="418"/>
      <c r="EV114" s="418"/>
      <c r="EW114" s="418"/>
      <c r="EX114" s="418"/>
      <c r="EY114" s="418"/>
      <c r="EZ114" s="418"/>
      <c r="FA114" s="418"/>
      <c r="FB114" s="418"/>
      <c r="FC114" s="418"/>
      <c r="FD114" s="418"/>
      <c r="FE114" s="418"/>
      <c r="FF114" s="418"/>
      <c r="FG114" s="418"/>
      <c r="FH114" s="418"/>
      <c r="FI114" s="418"/>
      <c r="FJ114" s="418"/>
      <c r="FK114" s="418"/>
      <c r="FL114" s="418"/>
      <c r="FM114" s="418"/>
      <c r="FN114" s="418"/>
      <c r="FO114" s="418"/>
      <c r="FP114" s="418"/>
      <c r="FQ114" s="418"/>
      <c r="FR114" s="418"/>
      <c r="FS114" s="418"/>
      <c r="FT114" s="418"/>
      <c r="FU114" s="418"/>
      <c r="FV114" s="418"/>
      <c r="FW114" s="418"/>
      <c r="FX114" s="418"/>
      <c r="FY114" s="418"/>
      <c r="FZ114" s="418"/>
      <c r="GA114" s="418"/>
      <c r="GB114" s="418"/>
      <c r="GC114" s="418"/>
      <c r="GD114" s="418"/>
      <c r="GE114" s="418"/>
      <c r="GF114" s="418"/>
      <c r="GG114" s="418"/>
      <c r="GH114" s="418"/>
      <c r="GI114" s="418"/>
      <c r="GJ114" s="418"/>
      <c r="GK114" s="418"/>
      <c r="GL114" s="418"/>
      <c r="GM114" s="418"/>
      <c r="GN114" s="418"/>
      <c r="GO114" s="418"/>
      <c r="GP114" s="418"/>
      <c r="GQ114" s="418"/>
      <c r="GR114" s="418"/>
      <c r="GS114" s="418"/>
      <c r="GT114" s="418"/>
      <c r="GU114" s="418"/>
      <c r="GV114" s="418"/>
      <c r="GW114" s="418"/>
      <c r="GX114" s="418"/>
      <c r="GY114" s="418"/>
      <c r="GZ114" s="418"/>
      <c r="HA114" s="418"/>
      <c r="HB114" s="418"/>
      <c r="HC114" s="418"/>
      <c r="HD114" s="418"/>
      <c r="HE114" s="418"/>
      <c r="HF114" s="418"/>
      <c r="HG114" s="418"/>
      <c r="HH114" s="418"/>
      <c r="HI114" s="418"/>
      <c r="HJ114" s="418"/>
      <c r="HK114" s="418"/>
      <c r="HL114" s="418"/>
      <c r="HM114" s="418"/>
      <c r="HN114" s="418"/>
      <c r="HO114" s="418"/>
      <c r="HP114" s="418"/>
      <c r="HQ114" s="418"/>
      <c r="HR114" s="418"/>
      <c r="HS114" s="418"/>
      <c r="HT114" s="418"/>
      <c r="HU114" s="418"/>
      <c r="HV114" s="418"/>
      <c r="HW114" s="418"/>
      <c r="HX114" s="418"/>
      <c r="HY114" s="418"/>
      <c r="HZ114" s="418"/>
      <c r="IA114" s="418"/>
      <c r="IB114" s="418"/>
      <c r="IC114" s="418"/>
      <c r="ID114" s="418"/>
      <c r="IE114" s="418"/>
      <c r="IF114" s="418"/>
      <c r="IG114" s="418"/>
      <c r="IH114" s="418"/>
      <c r="II114" s="418"/>
      <c r="IJ114" s="418"/>
      <c r="IK114" s="418"/>
      <c r="IL114" s="418"/>
      <c r="IM114" s="418"/>
      <c r="IN114" s="418"/>
      <c r="IO114" s="418"/>
      <c r="IP114" s="418"/>
      <c r="IQ114" s="418"/>
      <c r="IR114" s="418"/>
      <c r="IS114" s="418"/>
      <c r="IT114" s="418"/>
      <c r="IU114" s="418"/>
      <c r="IV114" s="418"/>
      <c r="IW114" s="418"/>
      <c r="IX114" s="418"/>
      <c r="IY114" s="418"/>
      <c r="IZ114" s="418"/>
      <c r="JA114" s="418"/>
      <c r="JB114" s="418"/>
    </row>
    <row r="115" spans="1:262" s="758" customFormat="1" ht="20.100000000000001" customHeight="1" x14ac:dyDescent="0.35">
      <c r="A115" s="773">
        <v>105</v>
      </c>
      <c r="B115" s="766"/>
      <c r="C115" s="420"/>
      <c r="D115" s="1318" t="s">
        <v>947</v>
      </c>
      <c r="E115" s="430"/>
      <c r="F115" s="762"/>
      <c r="G115" s="431"/>
      <c r="H115" s="999"/>
      <c r="I115" s="995"/>
      <c r="J115" s="759"/>
      <c r="K115" s="759"/>
      <c r="L115" s="759"/>
      <c r="M115" s="759"/>
      <c r="N115" s="759"/>
      <c r="O115" s="759"/>
      <c r="P115" s="767">
        <f t="shared" ref="P115:P116" si="8">SUM(I115:O115)</f>
        <v>0</v>
      </c>
      <c r="Q115" s="763"/>
      <c r="R115" s="418"/>
      <c r="S115" s="418"/>
      <c r="T115" s="418"/>
      <c r="U115" s="418"/>
      <c r="V115" s="418"/>
      <c r="W115" s="418"/>
      <c r="X115" s="418"/>
      <c r="Y115" s="418"/>
      <c r="Z115" s="418"/>
      <c r="AA115" s="418"/>
      <c r="AB115" s="418"/>
      <c r="AC115" s="418"/>
      <c r="AD115" s="418"/>
      <c r="AE115" s="418"/>
      <c r="AF115" s="418"/>
      <c r="AG115" s="418"/>
      <c r="AH115" s="418"/>
      <c r="AI115" s="418"/>
      <c r="AJ115" s="418"/>
      <c r="AK115" s="418"/>
      <c r="AL115" s="418"/>
      <c r="AM115" s="418"/>
      <c r="AN115" s="418"/>
      <c r="AO115" s="418"/>
      <c r="AP115" s="418"/>
      <c r="AQ115" s="418"/>
      <c r="AR115" s="418"/>
      <c r="AS115" s="418"/>
      <c r="AT115" s="418"/>
      <c r="AU115" s="418"/>
      <c r="AV115" s="418"/>
      <c r="AW115" s="418"/>
      <c r="AX115" s="418"/>
      <c r="AY115" s="418"/>
      <c r="AZ115" s="418"/>
      <c r="BA115" s="418"/>
      <c r="BB115" s="418"/>
      <c r="BC115" s="418"/>
      <c r="BD115" s="418"/>
      <c r="BE115" s="418"/>
      <c r="BF115" s="418"/>
      <c r="BG115" s="418"/>
      <c r="BH115" s="418"/>
      <c r="BI115" s="418"/>
      <c r="BJ115" s="418"/>
      <c r="BK115" s="418"/>
      <c r="BL115" s="418"/>
      <c r="BM115" s="418"/>
      <c r="BN115" s="418"/>
      <c r="BO115" s="418"/>
      <c r="BP115" s="418"/>
      <c r="BQ115" s="418"/>
      <c r="BR115" s="418"/>
      <c r="BS115" s="418"/>
      <c r="BT115" s="418"/>
      <c r="BU115" s="418"/>
      <c r="BV115" s="418"/>
      <c r="BW115" s="418"/>
      <c r="BX115" s="418"/>
      <c r="BY115" s="418"/>
      <c r="BZ115" s="418"/>
      <c r="CA115" s="418"/>
      <c r="CB115" s="418"/>
      <c r="CC115" s="418"/>
      <c r="CD115" s="418"/>
      <c r="CE115" s="418"/>
      <c r="CF115" s="418"/>
      <c r="CG115" s="418"/>
      <c r="CH115" s="418"/>
      <c r="CI115" s="418"/>
      <c r="CJ115" s="418"/>
      <c r="CK115" s="418"/>
      <c r="CL115" s="418"/>
      <c r="CM115" s="418"/>
      <c r="CN115" s="418"/>
      <c r="CO115" s="418"/>
      <c r="CP115" s="418"/>
      <c r="CQ115" s="418"/>
      <c r="CR115" s="418"/>
      <c r="CS115" s="418"/>
      <c r="CT115" s="418"/>
      <c r="CU115" s="418"/>
      <c r="CV115" s="418"/>
      <c r="CW115" s="418"/>
      <c r="CX115" s="418"/>
      <c r="CY115" s="418"/>
      <c r="CZ115" s="418"/>
      <c r="DA115" s="418"/>
      <c r="DB115" s="418"/>
      <c r="DC115" s="418"/>
      <c r="DD115" s="418"/>
      <c r="DE115" s="418"/>
      <c r="DF115" s="418"/>
      <c r="DG115" s="418"/>
      <c r="DH115" s="418"/>
      <c r="DI115" s="418"/>
      <c r="DJ115" s="418"/>
      <c r="DK115" s="418"/>
      <c r="DL115" s="418"/>
      <c r="DM115" s="418"/>
      <c r="DN115" s="418"/>
      <c r="DO115" s="418"/>
      <c r="DP115" s="418"/>
      <c r="DQ115" s="418"/>
      <c r="DR115" s="418"/>
      <c r="DS115" s="418"/>
      <c r="DT115" s="418"/>
      <c r="DU115" s="418"/>
      <c r="DV115" s="418"/>
      <c r="DW115" s="418"/>
      <c r="DX115" s="418"/>
      <c r="DY115" s="418"/>
      <c r="DZ115" s="418"/>
      <c r="EA115" s="418"/>
      <c r="EB115" s="418"/>
      <c r="EC115" s="418"/>
      <c r="ED115" s="418"/>
      <c r="EE115" s="418"/>
      <c r="EF115" s="418"/>
      <c r="EG115" s="418"/>
      <c r="EH115" s="418"/>
      <c r="EI115" s="418"/>
      <c r="EJ115" s="418"/>
      <c r="EK115" s="418"/>
      <c r="EL115" s="418"/>
      <c r="EM115" s="418"/>
      <c r="EN115" s="418"/>
      <c r="EO115" s="418"/>
      <c r="EP115" s="418"/>
      <c r="EQ115" s="418"/>
      <c r="ER115" s="418"/>
      <c r="ES115" s="418"/>
      <c r="ET115" s="418"/>
      <c r="EU115" s="418"/>
      <c r="EV115" s="418"/>
      <c r="EW115" s="418"/>
      <c r="EX115" s="418"/>
      <c r="EY115" s="418"/>
      <c r="EZ115" s="418"/>
      <c r="FA115" s="418"/>
      <c r="FB115" s="418"/>
      <c r="FC115" s="418"/>
      <c r="FD115" s="418"/>
      <c r="FE115" s="418"/>
      <c r="FF115" s="418"/>
      <c r="FG115" s="418"/>
      <c r="FH115" s="418"/>
      <c r="FI115" s="418"/>
      <c r="FJ115" s="418"/>
      <c r="FK115" s="418"/>
      <c r="FL115" s="418"/>
      <c r="FM115" s="418"/>
      <c r="FN115" s="418"/>
      <c r="FO115" s="418"/>
      <c r="FP115" s="418"/>
      <c r="FQ115" s="418"/>
      <c r="FR115" s="418"/>
      <c r="FS115" s="418"/>
      <c r="FT115" s="418"/>
      <c r="FU115" s="418"/>
      <c r="FV115" s="418"/>
      <c r="FW115" s="418"/>
      <c r="FX115" s="418"/>
      <c r="FY115" s="418"/>
      <c r="FZ115" s="418"/>
      <c r="GA115" s="418"/>
      <c r="GB115" s="418"/>
      <c r="GC115" s="418"/>
      <c r="GD115" s="418"/>
      <c r="GE115" s="418"/>
      <c r="GF115" s="418"/>
      <c r="GG115" s="418"/>
      <c r="GH115" s="418"/>
      <c r="GI115" s="418"/>
      <c r="GJ115" s="418"/>
      <c r="GK115" s="418"/>
      <c r="GL115" s="418"/>
      <c r="GM115" s="418"/>
      <c r="GN115" s="418"/>
      <c r="GO115" s="418"/>
      <c r="GP115" s="418"/>
      <c r="GQ115" s="418"/>
      <c r="GR115" s="418"/>
      <c r="GS115" s="418"/>
      <c r="GT115" s="418"/>
      <c r="GU115" s="418"/>
      <c r="GV115" s="418"/>
      <c r="GW115" s="418"/>
      <c r="GX115" s="418"/>
      <c r="GY115" s="418"/>
      <c r="GZ115" s="418"/>
      <c r="HA115" s="418"/>
      <c r="HB115" s="418"/>
      <c r="HC115" s="418"/>
      <c r="HD115" s="418"/>
      <c r="HE115" s="418"/>
      <c r="HF115" s="418"/>
      <c r="HG115" s="418"/>
      <c r="HH115" s="418"/>
      <c r="HI115" s="418"/>
      <c r="HJ115" s="418"/>
      <c r="HK115" s="418"/>
      <c r="HL115" s="418"/>
      <c r="HM115" s="418"/>
      <c r="HN115" s="418"/>
      <c r="HO115" s="418"/>
      <c r="HP115" s="418"/>
      <c r="HQ115" s="418"/>
      <c r="HR115" s="418"/>
      <c r="HS115" s="418"/>
      <c r="HT115" s="418"/>
      <c r="HU115" s="418"/>
      <c r="HV115" s="418"/>
      <c r="HW115" s="418"/>
      <c r="HX115" s="418"/>
      <c r="HY115" s="418"/>
      <c r="HZ115" s="418"/>
      <c r="IA115" s="418"/>
      <c r="IB115" s="418"/>
      <c r="IC115" s="418"/>
      <c r="ID115" s="418"/>
      <c r="IE115" s="418"/>
      <c r="IF115" s="418"/>
      <c r="IG115" s="418"/>
      <c r="IH115" s="418"/>
      <c r="II115" s="418"/>
      <c r="IJ115" s="418"/>
      <c r="IK115" s="418"/>
      <c r="IL115" s="418"/>
      <c r="IM115" s="418"/>
      <c r="IN115" s="418"/>
      <c r="IO115" s="418"/>
      <c r="IP115" s="418"/>
      <c r="IQ115" s="418"/>
      <c r="IR115" s="418"/>
      <c r="IS115" s="418"/>
      <c r="IT115" s="418"/>
      <c r="IU115" s="418"/>
      <c r="IV115" s="418"/>
      <c r="IW115" s="418"/>
      <c r="IX115" s="418"/>
      <c r="IY115" s="418"/>
      <c r="IZ115" s="418"/>
      <c r="JA115" s="418"/>
      <c r="JB115" s="418"/>
    </row>
    <row r="116" spans="1:262" s="758" customFormat="1" ht="20.100000000000001" customHeight="1" x14ac:dyDescent="0.35">
      <c r="A116" s="773">
        <v>106</v>
      </c>
      <c r="B116" s="766"/>
      <c r="C116" s="420"/>
      <c r="D116" s="576" t="s">
        <v>1250</v>
      </c>
      <c r="E116" s="430"/>
      <c r="F116" s="762"/>
      <c r="G116" s="431"/>
      <c r="H116" s="999"/>
      <c r="I116" s="995"/>
      <c r="J116" s="759"/>
      <c r="K116" s="759"/>
      <c r="L116" s="759"/>
      <c r="M116" s="1524">
        <f>SUM(M114:M115)</f>
        <v>0</v>
      </c>
      <c r="N116" s="759"/>
      <c r="O116" s="759"/>
      <c r="P116" s="767">
        <f t="shared" si="8"/>
        <v>0</v>
      </c>
      <c r="Q116" s="763"/>
      <c r="R116" s="418"/>
      <c r="S116" s="418"/>
      <c r="T116" s="418"/>
      <c r="U116" s="418"/>
      <c r="V116" s="418"/>
      <c r="W116" s="418"/>
      <c r="X116" s="418"/>
      <c r="Y116" s="418"/>
      <c r="Z116" s="418"/>
      <c r="AA116" s="418"/>
      <c r="AB116" s="418"/>
      <c r="AC116" s="418"/>
      <c r="AD116" s="418"/>
      <c r="AE116" s="418"/>
      <c r="AF116" s="418"/>
      <c r="AG116" s="418"/>
      <c r="AH116" s="418"/>
      <c r="AI116" s="418"/>
      <c r="AJ116" s="418"/>
      <c r="AK116" s="418"/>
      <c r="AL116" s="418"/>
      <c r="AM116" s="418"/>
      <c r="AN116" s="418"/>
      <c r="AO116" s="418"/>
      <c r="AP116" s="418"/>
      <c r="AQ116" s="418"/>
      <c r="AR116" s="418"/>
      <c r="AS116" s="418"/>
      <c r="AT116" s="418"/>
      <c r="AU116" s="418"/>
      <c r="AV116" s="418"/>
      <c r="AW116" s="418"/>
      <c r="AX116" s="418"/>
      <c r="AY116" s="418"/>
      <c r="AZ116" s="418"/>
      <c r="BA116" s="418"/>
      <c r="BB116" s="418"/>
      <c r="BC116" s="418"/>
      <c r="BD116" s="418"/>
      <c r="BE116" s="418"/>
      <c r="BF116" s="418"/>
      <c r="BG116" s="418"/>
      <c r="BH116" s="418"/>
      <c r="BI116" s="418"/>
      <c r="BJ116" s="418"/>
      <c r="BK116" s="418"/>
      <c r="BL116" s="418"/>
      <c r="BM116" s="418"/>
      <c r="BN116" s="418"/>
      <c r="BO116" s="418"/>
      <c r="BP116" s="418"/>
      <c r="BQ116" s="418"/>
      <c r="BR116" s="418"/>
      <c r="BS116" s="418"/>
      <c r="BT116" s="418"/>
      <c r="BU116" s="418"/>
      <c r="BV116" s="418"/>
      <c r="BW116" s="418"/>
      <c r="BX116" s="418"/>
      <c r="BY116" s="418"/>
      <c r="BZ116" s="418"/>
      <c r="CA116" s="418"/>
      <c r="CB116" s="418"/>
      <c r="CC116" s="418"/>
      <c r="CD116" s="418"/>
      <c r="CE116" s="418"/>
      <c r="CF116" s="418"/>
      <c r="CG116" s="418"/>
      <c r="CH116" s="418"/>
      <c r="CI116" s="418"/>
      <c r="CJ116" s="418"/>
      <c r="CK116" s="418"/>
      <c r="CL116" s="418"/>
      <c r="CM116" s="418"/>
      <c r="CN116" s="418"/>
      <c r="CO116" s="418"/>
      <c r="CP116" s="418"/>
      <c r="CQ116" s="418"/>
      <c r="CR116" s="418"/>
      <c r="CS116" s="418"/>
      <c r="CT116" s="418"/>
      <c r="CU116" s="418"/>
      <c r="CV116" s="418"/>
      <c r="CW116" s="418"/>
      <c r="CX116" s="418"/>
      <c r="CY116" s="418"/>
      <c r="CZ116" s="418"/>
      <c r="DA116" s="418"/>
      <c r="DB116" s="418"/>
      <c r="DC116" s="418"/>
      <c r="DD116" s="418"/>
      <c r="DE116" s="418"/>
      <c r="DF116" s="418"/>
      <c r="DG116" s="418"/>
      <c r="DH116" s="418"/>
      <c r="DI116" s="418"/>
      <c r="DJ116" s="418"/>
      <c r="DK116" s="418"/>
      <c r="DL116" s="418"/>
      <c r="DM116" s="418"/>
      <c r="DN116" s="418"/>
      <c r="DO116" s="418"/>
      <c r="DP116" s="418"/>
      <c r="DQ116" s="418"/>
      <c r="DR116" s="418"/>
      <c r="DS116" s="418"/>
      <c r="DT116" s="418"/>
      <c r="DU116" s="418"/>
      <c r="DV116" s="418"/>
      <c r="DW116" s="418"/>
      <c r="DX116" s="418"/>
      <c r="DY116" s="418"/>
      <c r="DZ116" s="418"/>
      <c r="EA116" s="418"/>
      <c r="EB116" s="418"/>
      <c r="EC116" s="418"/>
      <c r="ED116" s="418"/>
      <c r="EE116" s="418"/>
      <c r="EF116" s="418"/>
      <c r="EG116" s="418"/>
      <c r="EH116" s="418"/>
      <c r="EI116" s="418"/>
      <c r="EJ116" s="418"/>
      <c r="EK116" s="418"/>
      <c r="EL116" s="418"/>
      <c r="EM116" s="418"/>
      <c r="EN116" s="418"/>
      <c r="EO116" s="418"/>
      <c r="EP116" s="418"/>
      <c r="EQ116" s="418"/>
      <c r="ER116" s="418"/>
      <c r="ES116" s="418"/>
      <c r="ET116" s="418"/>
      <c r="EU116" s="418"/>
      <c r="EV116" s="418"/>
      <c r="EW116" s="418"/>
      <c r="EX116" s="418"/>
      <c r="EY116" s="418"/>
      <c r="EZ116" s="418"/>
      <c r="FA116" s="418"/>
      <c r="FB116" s="418"/>
      <c r="FC116" s="418"/>
      <c r="FD116" s="418"/>
      <c r="FE116" s="418"/>
      <c r="FF116" s="418"/>
      <c r="FG116" s="418"/>
      <c r="FH116" s="418"/>
      <c r="FI116" s="418"/>
      <c r="FJ116" s="418"/>
      <c r="FK116" s="418"/>
      <c r="FL116" s="418"/>
      <c r="FM116" s="418"/>
      <c r="FN116" s="418"/>
      <c r="FO116" s="418"/>
      <c r="FP116" s="418"/>
      <c r="FQ116" s="418"/>
      <c r="FR116" s="418"/>
      <c r="FS116" s="418"/>
      <c r="FT116" s="418"/>
      <c r="FU116" s="418"/>
      <c r="FV116" s="418"/>
      <c r="FW116" s="418"/>
      <c r="FX116" s="418"/>
      <c r="FY116" s="418"/>
      <c r="FZ116" s="418"/>
      <c r="GA116" s="418"/>
      <c r="GB116" s="418"/>
      <c r="GC116" s="418"/>
      <c r="GD116" s="418"/>
      <c r="GE116" s="418"/>
      <c r="GF116" s="418"/>
      <c r="GG116" s="418"/>
      <c r="GH116" s="418"/>
      <c r="GI116" s="418"/>
      <c r="GJ116" s="418"/>
      <c r="GK116" s="418"/>
      <c r="GL116" s="418"/>
      <c r="GM116" s="418"/>
      <c r="GN116" s="418"/>
      <c r="GO116" s="418"/>
      <c r="GP116" s="418"/>
      <c r="GQ116" s="418"/>
      <c r="GR116" s="418"/>
      <c r="GS116" s="418"/>
      <c r="GT116" s="418"/>
      <c r="GU116" s="418"/>
      <c r="GV116" s="418"/>
      <c r="GW116" s="418"/>
      <c r="GX116" s="418"/>
      <c r="GY116" s="418"/>
      <c r="GZ116" s="418"/>
      <c r="HA116" s="418"/>
      <c r="HB116" s="418"/>
      <c r="HC116" s="418"/>
      <c r="HD116" s="418"/>
      <c r="HE116" s="418"/>
      <c r="HF116" s="418"/>
      <c r="HG116" s="418"/>
      <c r="HH116" s="418"/>
      <c r="HI116" s="418"/>
      <c r="HJ116" s="418"/>
      <c r="HK116" s="418"/>
      <c r="HL116" s="418"/>
      <c r="HM116" s="418"/>
      <c r="HN116" s="418"/>
      <c r="HO116" s="418"/>
      <c r="HP116" s="418"/>
      <c r="HQ116" s="418"/>
      <c r="HR116" s="418"/>
      <c r="HS116" s="418"/>
      <c r="HT116" s="418"/>
      <c r="HU116" s="418"/>
      <c r="HV116" s="418"/>
      <c r="HW116" s="418"/>
      <c r="HX116" s="418"/>
      <c r="HY116" s="418"/>
      <c r="HZ116" s="418"/>
      <c r="IA116" s="418"/>
      <c r="IB116" s="418"/>
      <c r="IC116" s="418"/>
      <c r="ID116" s="418"/>
      <c r="IE116" s="418"/>
      <c r="IF116" s="418"/>
      <c r="IG116" s="418"/>
      <c r="IH116" s="418"/>
      <c r="II116" s="418"/>
      <c r="IJ116" s="418"/>
      <c r="IK116" s="418"/>
      <c r="IL116" s="418"/>
      <c r="IM116" s="418"/>
      <c r="IN116" s="418"/>
      <c r="IO116" s="418"/>
      <c r="IP116" s="418"/>
      <c r="IQ116" s="418"/>
      <c r="IR116" s="418"/>
      <c r="IS116" s="418"/>
      <c r="IT116" s="418"/>
      <c r="IU116" s="418"/>
      <c r="IV116" s="418"/>
      <c r="IW116" s="418"/>
      <c r="IX116" s="418"/>
      <c r="IY116" s="418"/>
      <c r="IZ116" s="418"/>
      <c r="JA116" s="418"/>
      <c r="JB116" s="418"/>
    </row>
    <row r="117" spans="1:262" s="991" customFormat="1" ht="22.5" customHeight="1" x14ac:dyDescent="0.35">
      <c r="A117" s="773">
        <v>107</v>
      </c>
      <c r="B117" s="983"/>
      <c r="C117" s="464"/>
      <c r="D117" s="761" t="s">
        <v>706</v>
      </c>
      <c r="E117" s="986"/>
      <c r="F117" s="987"/>
      <c r="G117" s="988"/>
      <c r="H117" s="1000"/>
      <c r="I117" s="996"/>
      <c r="J117" s="989"/>
      <c r="K117" s="989"/>
      <c r="L117" s="989"/>
      <c r="M117" s="1013"/>
      <c r="N117" s="989"/>
      <c r="O117" s="989"/>
      <c r="P117" s="982"/>
      <c r="Q117" s="990"/>
    </row>
    <row r="118" spans="1:262" s="758" customFormat="1" ht="18" customHeight="1" x14ac:dyDescent="0.35">
      <c r="A118" s="773">
        <v>108</v>
      </c>
      <c r="B118" s="766"/>
      <c r="C118" s="464"/>
      <c r="D118" s="992" t="s">
        <v>308</v>
      </c>
      <c r="E118" s="430"/>
      <c r="F118" s="430"/>
      <c r="G118" s="431"/>
      <c r="H118" s="999"/>
      <c r="I118" s="997"/>
      <c r="J118" s="430"/>
      <c r="K118" s="430"/>
      <c r="L118" s="430"/>
      <c r="M118" s="989">
        <v>37000</v>
      </c>
      <c r="N118" s="430"/>
      <c r="O118" s="430"/>
      <c r="P118" s="982">
        <f>SUM(I118:O118)</f>
        <v>37000</v>
      </c>
      <c r="Q118" s="763"/>
      <c r="R118" s="418"/>
      <c r="S118" s="418"/>
      <c r="T118" s="418"/>
      <c r="U118" s="418"/>
      <c r="V118" s="418"/>
      <c r="W118" s="418"/>
      <c r="X118" s="418"/>
      <c r="Y118" s="418"/>
      <c r="Z118" s="418"/>
      <c r="AA118" s="418"/>
      <c r="AB118" s="418"/>
      <c r="AC118" s="418"/>
      <c r="AD118" s="418"/>
      <c r="AE118" s="418"/>
      <c r="AF118" s="418"/>
      <c r="AG118" s="418"/>
      <c r="AH118" s="418"/>
      <c r="AI118" s="418"/>
      <c r="AJ118" s="418"/>
      <c r="AK118" s="418"/>
      <c r="AL118" s="418"/>
      <c r="AM118" s="418"/>
      <c r="AN118" s="418"/>
      <c r="AO118" s="418"/>
      <c r="AP118" s="418"/>
      <c r="AQ118" s="418"/>
      <c r="AR118" s="418"/>
      <c r="AS118" s="418"/>
      <c r="AT118" s="418"/>
      <c r="AU118" s="418"/>
      <c r="AV118" s="418"/>
      <c r="AW118" s="418"/>
      <c r="AX118" s="418"/>
      <c r="AY118" s="418"/>
      <c r="AZ118" s="418"/>
      <c r="BA118" s="418"/>
      <c r="BB118" s="418"/>
      <c r="BC118" s="418"/>
      <c r="BD118" s="418"/>
      <c r="BE118" s="418"/>
      <c r="BF118" s="418"/>
      <c r="BG118" s="418"/>
      <c r="BH118" s="418"/>
      <c r="BI118" s="418"/>
      <c r="BJ118" s="418"/>
      <c r="BK118" s="418"/>
      <c r="BL118" s="418"/>
      <c r="BM118" s="418"/>
      <c r="BN118" s="418"/>
      <c r="BO118" s="418"/>
      <c r="BP118" s="418"/>
      <c r="BQ118" s="418"/>
      <c r="BR118" s="418"/>
      <c r="BS118" s="418"/>
      <c r="BT118" s="418"/>
      <c r="BU118" s="418"/>
      <c r="BV118" s="418"/>
      <c r="BW118" s="418"/>
      <c r="BX118" s="418"/>
      <c r="BY118" s="418"/>
      <c r="BZ118" s="418"/>
      <c r="CA118" s="418"/>
      <c r="CB118" s="418"/>
      <c r="CC118" s="418"/>
      <c r="CD118" s="418"/>
      <c r="CE118" s="418"/>
      <c r="CF118" s="418"/>
      <c r="CG118" s="418"/>
      <c r="CH118" s="418"/>
      <c r="CI118" s="418"/>
      <c r="CJ118" s="418"/>
      <c r="CK118" s="418"/>
      <c r="CL118" s="418"/>
      <c r="CM118" s="418"/>
      <c r="CN118" s="418"/>
      <c r="CO118" s="418"/>
      <c r="CP118" s="418"/>
      <c r="CQ118" s="418"/>
      <c r="CR118" s="418"/>
      <c r="CS118" s="418"/>
      <c r="CT118" s="418"/>
      <c r="CU118" s="418"/>
      <c r="CV118" s="418"/>
      <c r="CW118" s="418"/>
      <c r="CX118" s="418"/>
      <c r="CY118" s="418"/>
      <c r="CZ118" s="418"/>
      <c r="DA118" s="418"/>
      <c r="DB118" s="418"/>
      <c r="DC118" s="418"/>
      <c r="DD118" s="418"/>
      <c r="DE118" s="418"/>
      <c r="DF118" s="418"/>
      <c r="DG118" s="418"/>
      <c r="DH118" s="418"/>
      <c r="DI118" s="418"/>
      <c r="DJ118" s="418"/>
      <c r="DK118" s="418"/>
      <c r="DL118" s="418"/>
      <c r="DM118" s="418"/>
      <c r="DN118" s="418"/>
      <c r="DO118" s="418"/>
      <c r="DP118" s="418"/>
      <c r="DQ118" s="418"/>
      <c r="DR118" s="418"/>
      <c r="DS118" s="418"/>
      <c r="DT118" s="418"/>
      <c r="DU118" s="418"/>
      <c r="DV118" s="418"/>
      <c r="DW118" s="418"/>
      <c r="DX118" s="418"/>
      <c r="DY118" s="418"/>
      <c r="DZ118" s="418"/>
      <c r="EA118" s="418"/>
      <c r="EB118" s="418"/>
      <c r="EC118" s="418"/>
      <c r="ED118" s="418"/>
      <c r="EE118" s="418"/>
      <c r="EF118" s="418"/>
      <c r="EG118" s="418"/>
      <c r="EH118" s="418"/>
      <c r="EI118" s="418"/>
      <c r="EJ118" s="418"/>
      <c r="EK118" s="418"/>
      <c r="EL118" s="418"/>
      <c r="EM118" s="418"/>
      <c r="EN118" s="418"/>
      <c r="EO118" s="418"/>
      <c r="EP118" s="418"/>
      <c r="EQ118" s="418"/>
      <c r="ER118" s="418"/>
      <c r="ES118" s="418"/>
      <c r="ET118" s="418"/>
      <c r="EU118" s="418"/>
      <c r="EV118" s="418"/>
      <c r="EW118" s="418"/>
      <c r="EX118" s="418"/>
      <c r="EY118" s="418"/>
      <c r="EZ118" s="418"/>
      <c r="FA118" s="418"/>
      <c r="FB118" s="418"/>
      <c r="FC118" s="418"/>
      <c r="FD118" s="418"/>
      <c r="FE118" s="418"/>
      <c r="FF118" s="418"/>
      <c r="FG118" s="418"/>
      <c r="FH118" s="418"/>
      <c r="FI118" s="418"/>
      <c r="FJ118" s="418"/>
      <c r="FK118" s="418"/>
      <c r="FL118" s="418"/>
      <c r="FM118" s="418"/>
      <c r="FN118" s="418"/>
      <c r="FO118" s="418"/>
      <c r="FP118" s="418"/>
      <c r="FQ118" s="418"/>
      <c r="FR118" s="418"/>
      <c r="FS118" s="418"/>
      <c r="FT118" s="418"/>
      <c r="FU118" s="418"/>
      <c r="FV118" s="418"/>
      <c r="FW118" s="418"/>
      <c r="FX118" s="418"/>
      <c r="FY118" s="418"/>
      <c r="FZ118" s="418"/>
      <c r="GA118" s="418"/>
      <c r="GB118" s="418"/>
      <c r="GC118" s="418"/>
      <c r="GD118" s="418"/>
      <c r="GE118" s="418"/>
      <c r="GF118" s="418"/>
      <c r="GG118" s="418"/>
      <c r="GH118" s="418"/>
      <c r="GI118" s="418"/>
      <c r="GJ118" s="418"/>
      <c r="GK118" s="418"/>
      <c r="GL118" s="418"/>
      <c r="GM118" s="418"/>
      <c r="GN118" s="418"/>
      <c r="GO118" s="418"/>
      <c r="GP118" s="418"/>
      <c r="GQ118" s="418"/>
      <c r="GR118" s="418"/>
      <c r="GS118" s="418"/>
      <c r="GT118" s="418"/>
      <c r="GU118" s="418"/>
      <c r="GV118" s="418"/>
      <c r="GW118" s="418"/>
      <c r="GX118" s="418"/>
      <c r="GY118" s="418"/>
      <c r="GZ118" s="418"/>
      <c r="HA118" s="418"/>
      <c r="HB118" s="418"/>
      <c r="HC118" s="418"/>
      <c r="HD118" s="418"/>
      <c r="HE118" s="418"/>
      <c r="HF118" s="418"/>
      <c r="HG118" s="418"/>
      <c r="HH118" s="418"/>
      <c r="HI118" s="418"/>
      <c r="HJ118" s="418"/>
      <c r="HK118" s="418"/>
      <c r="HL118" s="418"/>
      <c r="HM118" s="418"/>
      <c r="HN118" s="418"/>
      <c r="HO118" s="418"/>
      <c r="HP118" s="418"/>
      <c r="HQ118" s="418"/>
      <c r="HR118" s="418"/>
      <c r="HS118" s="418"/>
      <c r="HT118" s="418"/>
      <c r="HU118" s="418"/>
      <c r="HV118" s="418"/>
      <c r="HW118" s="418"/>
      <c r="HX118" s="418"/>
      <c r="HY118" s="418"/>
      <c r="HZ118" s="418"/>
      <c r="IA118" s="418"/>
      <c r="IB118" s="418"/>
      <c r="IC118" s="418"/>
      <c r="ID118" s="418"/>
      <c r="IE118" s="418"/>
      <c r="IF118" s="418"/>
      <c r="IG118" s="418"/>
      <c r="IH118" s="418"/>
      <c r="II118" s="418"/>
      <c r="IJ118" s="418"/>
      <c r="IK118" s="418"/>
      <c r="IL118" s="418"/>
      <c r="IM118" s="418"/>
      <c r="IN118" s="418"/>
      <c r="IO118" s="418"/>
      <c r="IP118" s="418"/>
      <c r="IQ118" s="418"/>
      <c r="IR118" s="418"/>
      <c r="IS118" s="418"/>
      <c r="IT118" s="418"/>
      <c r="IU118" s="418"/>
      <c r="IV118" s="418"/>
      <c r="IW118" s="418"/>
      <c r="IX118" s="418"/>
      <c r="IY118" s="418"/>
      <c r="IZ118" s="418"/>
      <c r="JA118" s="418"/>
      <c r="JB118" s="418"/>
    </row>
    <row r="119" spans="1:262" s="758" customFormat="1" ht="18" customHeight="1" x14ac:dyDescent="0.35">
      <c r="A119" s="773">
        <v>109</v>
      </c>
      <c r="B119" s="766"/>
      <c r="C119" s="464"/>
      <c r="D119" s="576" t="s">
        <v>1158</v>
      </c>
      <c r="E119" s="430"/>
      <c r="F119" s="430"/>
      <c r="G119" s="431"/>
      <c r="H119" s="999"/>
      <c r="I119" s="997"/>
      <c r="J119" s="430"/>
      <c r="K119" s="430"/>
      <c r="L119" s="430"/>
      <c r="M119" s="1524">
        <v>0</v>
      </c>
      <c r="N119" s="1825"/>
      <c r="O119" s="1825"/>
      <c r="P119" s="767">
        <f>SUM(I119:O119)</f>
        <v>0</v>
      </c>
      <c r="Q119" s="763"/>
      <c r="R119" s="418"/>
      <c r="S119" s="418"/>
      <c r="T119" s="418"/>
      <c r="U119" s="418"/>
      <c r="V119" s="418"/>
      <c r="W119" s="418"/>
      <c r="X119" s="418"/>
      <c r="Y119" s="418"/>
      <c r="Z119" s="418"/>
      <c r="AA119" s="418"/>
      <c r="AB119" s="418"/>
      <c r="AC119" s="418"/>
      <c r="AD119" s="418"/>
      <c r="AE119" s="418"/>
      <c r="AF119" s="418"/>
      <c r="AG119" s="418"/>
      <c r="AH119" s="418"/>
      <c r="AI119" s="418"/>
      <c r="AJ119" s="418"/>
      <c r="AK119" s="418"/>
      <c r="AL119" s="418"/>
      <c r="AM119" s="418"/>
      <c r="AN119" s="418"/>
      <c r="AO119" s="418"/>
      <c r="AP119" s="418"/>
      <c r="AQ119" s="418"/>
      <c r="AR119" s="418"/>
      <c r="AS119" s="418"/>
      <c r="AT119" s="418"/>
      <c r="AU119" s="418"/>
      <c r="AV119" s="418"/>
      <c r="AW119" s="418"/>
      <c r="AX119" s="418"/>
      <c r="AY119" s="418"/>
      <c r="AZ119" s="418"/>
      <c r="BA119" s="418"/>
      <c r="BB119" s="418"/>
      <c r="BC119" s="418"/>
      <c r="BD119" s="418"/>
      <c r="BE119" s="418"/>
      <c r="BF119" s="418"/>
      <c r="BG119" s="418"/>
      <c r="BH119" s="418"/>
      <c r="BI119" s="418"/>
      <c r="BJ119" s="418"/>
      <c r="BK119" s="418"/>
      <c r="BL119" s="418"/>
      <c r="BM119" s="418"/>
      <c r="BN119" s="418"/>
      <c r="BO119" s="418"/>
      <c r="BP119" s="418"/>
      <c r="BQ119" s="418"/>
      <c r="BR119" s="418"/>
      <c r="BS119" s="418"/>
      <c r="BT119" s="418"/>
      <c r="BU119" s="418"/>
      <c r="BV119" s="418"/>
      <c r="BW119" s="418"/>
      <c r="BX119" s="418"/>
      <c r="BY119" s="418"/>
      <c r="BZ119" s="418"/>
      <c r="CA119" s="418"/>
      <c r="CB119" s="418"/>
      <c r="CC119" s="418"/>
      <c r="CD119" s="418"/>
      <c r="CE119" s="418"/>
      <c r="CF119" s="418"/>
      <c r="CG119" s="418"/>
      <c r="CH119" s="418"/>
      <c r="CI119" s="418"/>
      <c r="CJ119" s="418"/>
      <c r="CK119" s="418"/>
      <c r="CL119" s="418"/>
      <c r="CM119" s="418"/>
      <c r="CN119" s="418"/>
      <c r="CO119" s="418"/>
      <c r="CP119" s="418"/>
      <c r="CQ119" s="418"/>
      <c r="CR119" s="418"/>
      <c r="CS119" s="418"/>
      <c r="CT119" s="418"/>
      <c r="CU119" s="418"/>
      <c r="CV119" s="418"/>
      <c r="CW119" s="418"/>
      <c r="CX119" s="418"/>
      <c r="CY119" s="418"/>
      <c r="CZ119" s="418"/>
      <c r="DA119" s="418"/>
      <c r="DB119" s="418"/>
      <c r="DC119" s="418"/>
      <c r="DD119" s="418"/>
      <c r="DE119" s="418"/>
      <c r="DF119" s="418"/>
      <c r="DG119" s="418"/>
      <c r="DH119" s="418"/>
      <c r="DI119" s="418"/>
      <c r="DJ119" s="418"/>
      <c r="DK119" s="418"/>
      <c r="DL119" s="418"/>
      <c r="DM119" s="418"/>
      <c r="DN119" s="418"/>
      <c r="DO119" s="418"/>
      <c r="DP119" s="418"/>
      <c r="DQ119" s="418"/>
      <c r="DR119" s="418"/>
      <c r="DS119" s="418"/>
      <c r="DT119" s="418"/>
      <c r="DU119" s="418"/>
      <c r="DV119" s="418"/>
      <c r="DW119" s="418"/>
      <c r="DX119" s="418"/>
      <c r="DY119" s="418"/>
      <c r="DZ119" s="418"/>
      <c r="EA119" s="418"/>
      <c r="EB119" s="418"/>
      <c r="EC119" s="418"/>
      <c r="ED119" s="418"/>
      <c r="EE119" s="418"/>
      <c r="EF119" s="418"/>
      <c r="EG119" s="418"/>
      <c r="EH119" s="418"/>
      <c r="EI119" s="418"/>
      <c r="EJ119" s="418"/>
      <c r="EK119" s="418"/>
      <c r="EL119" s="418"/>
      <c r="EM119" s="418"/>
      <c r="EN119" s="418"/>
      <c r="EO119" s="418"/>
      <c r="EP119" s="418"/>
      <c r="EQ119" s="418"/>
      <c r="ER119" s="418"/>
      <c r="ES119" s="418"/>
      <c r="ET119" s="418"/>
      <c r="EU119" s="418"/>
      <c r="EV119" s="418"/>
      <c r="EW119" s="418"/>
      <c r="EX119" s="418"/>
      <c r="EY119" s="418"/>
      <c r="EZ119" s="418"/>
      <c r="FA119" s="418"/>
      <c r="FB119" s="418"/>
      <c r="FC119" s="418"/>
      <c r="FD119" s="418"/>
      <c r="FE119" s="418"/>
      <c r="FF119" s="418"/>
      <c r="FG119" s="418"/>
      <c r="FH119" s="418"/>
      <c r="FI119" s="418"/>
      <c r="FJ119" s="418"/>
      <c r="FK119" s="418"/>
      <c r="FL119" s="418"/>
      <c r="FM119" s="418"/>
      <c r="FN119" s="418"/>
      <c r="FO119" s="418"/>
      <c r="FP119" s="418"/>
      <c r="FQ119" s="418"/>
      <c r="FR119" s="418"/>
      <c r="FS119" s="418"/>
      <c r="FT119" s="418"/>
      <c r="FU119" s="418"/>
      <c r="FV119" s="418"/>
      <c r="FW119" s="418"/>
      <c r="FX119" s="418"/>
      <c r="FY119" s="418"/>
      <c r="FZ119" s="418"/>
      <c r="GA119" s="418"/>
      <c r="GB119" s="418"/>
      <c r="GC119" s="418"/>
      <c r="GD119" s="418"/>
      <c r="GE119" s="418"/>
      <c r="GF119" s="418"/>
      <c r="GG119" s="418"/>
      <c r="GH119" s="418"/>
      <c r="GI119" s="418"/>
      <c r="GJ119" s="418"/>
      <c r="GK119" s="418"/>
      <c r="GL119" s="418"/>
      <c r="GM119" s="418"/>
      <c r="GN119" s="418"/>
      <c r="GO119" s="418"/>
      <c r="GP119" s="418"/>
      <c r="GQ119" s="418"/>
      <c r="GR119" s="418"/>
      <c r="GS119" s="418"/>
      <c r="GT119" s="418"/>
      <c r="GU119" s="418"/>
      <c r="GV119" s="418"/>
      <c r="GW119" s="418"/>
      <c r="GX119" s="418"/>
      <c r="GY119" s="418"/>
      <c r="GZ119" s="418"/>
      <c r="HA119" s="418"/>
      <c r="HB119" s="418"/>
      <c r="HC119" s="418"/>
      <c r="HD119" s="418"/>
      <c r="HE119" s="418"/>
      <c r="HF119" s="418"/>
      <c r="HG119" s="418"/>
      <c r="HH119" s="418"/>
      <c r="HI119" s="418"/>
      <c r="HJ119" s="418"/>
      <c r="HK119" s="418"/>
      <c r="HL119" s="418"/>
      <c r="HM119" s="418"/>
      <c r="HN119" s="418"/>
      <c r="HO119" s="418"/>
      <c r="HP119" s="418"/>
      <c r="HQ119" s="418"/>
      <c r="HR119" s="418"/>
      <c r="HS119" s="418"/>
      <c r="HT119" s="418"/>
      <c r="HU119" s="418"/>
      <c r="HV119" s="418"/>
      <c r="HW119" s="418"/>
      <c r="HX119" s="418"/>
      <c r="HY119" s="418"/>
      <c r="HZ119" s="418"/>
      <c r="IA119" s="418"/>
      <c r="IB119" s="418"/>
      <c r="IC119" s="418"/>
      <c r="ID119" s="418"/>
      <c r="IE119" s="418"/>
      <c r="IF119" s="418"/>
      <c r="IG119" s="418"/>
      <c r="IH119" s="418"/>
      <c r="II119" s="418"/>
      <c r="IJ119" s="418"/>
      <c r="IK119" s="418"/>
      <c r="IL119" s="418"/>
      <c r="IM119" s="418"/>
      <c r="IN119" s="418"/>
      <c r="IO119" s="418"/>
      <c r="IP119" s="418"/>
      <c r="IQ119" s="418"/>
      <c r="IR119" s="418"/>
      <c r="IS119" s="418"/>
      <c r="IT119" s="418"/>
      <c r="IU119" s="418"/>
      <c r="IV119" s="418"/>
      <c r="IW119" s="418"/>
      <c r="IX119" s="418"/>
      <c r="IY119" s="418"/>
      <c r="IZ119" s="418"/>
      <c r="JA119" s="418"/>
      <c r="JB119" s="418"/>
    </row>
    <row r="120" spans="1:262" s="758" customFormat="1" ht="18" customHeight="1" x14ac:dyDescent="0.35">
      <c r="A120" s="773">
        <v>110</v>
      </c>
      <c r="B120" s="766"/>
      <c r="C120" s="464"/>
      <c r="D120" s="1318" t="s">
        <v>947</v>
      </c>
      <c r="E120" s="430"/>
      <c r="F120" s="430"/>
      <c r="G120" s="431"/>
      <c r="H120" s="999"/>
      <c r="I120" s="997"/>
      <c r="J120" s="430"/>
      <c r="K120" s="430"/>
      <c r="L120" s="430"/>
      <c r="M120" s="759"/>
      <c r="N120" s="430"/>
      <c r="O120" s="430"/>
      <c r="P120" s="767">
        <f t="shared" ref="P120:P121" si="9">SUM(I120:O120)</f>
        <v>0</v>
      </c>
      <c r="Q120" s="763"/>
      <c r="R120" s="418"/>
      <c r="S120" s="418"/>
      <c r="T120" s="418"/>
      <c r="U120" s="418"/>
      <c r="V120" s="418"/>
      <c r="W120" s="418"/>
      <c r="X120" s="418"/>
      <c r="Y120" s="418"/>
      <c r="Z120" s="418"/>
      <c r="AA120" s="418"/>
      <c r="AB120" s="418"/>
      <c r="AC120" s="418"/>
      <c r="AD120" s="418"/>
      <c r="AE120" s="418"/>
      <c r="AF120" s="418"/>
      <c r="AG120" s="418"/>
      <c r="AH120" s="418"/>
      <c r="AI120" s="418"/>
      <c r="AJ120" s="418"/>
      <c r="AK120" s="418"/>
      <c r="AL120" s="418"/>
      <c r="AM120" s="418"/>
      <c r="AN120" s="418"/>
      <c r="AO120" s="418"/>
      <c r="AP120" s="418"/>
      <c r="AQ120" s="418"/>
      <c r="AR120" s="418"/>
      <c r="AS120" s="418"/>
      <c r="AT120" s="418"/>
      <c r="AU120" s="418"/>
      <c r="AV120" s="418"/>
      <c r="AW120" s="418"/>
      <c r="AX120" s="418"/>
      <c r="AY120" s="418"/>
      <c r="AZ120" s="418"/>
      <c r="BA120" s="418"/>
      <c r="BB120" s="418"/>
      <c r="BC120" s="418"/>
      <c r="BD120" s="418"/>
      <c r="BE120" s="418"/>
      <c r="BF120" s="418"/>
      <c r="BG120" s="418"/>
      <c r="BH120" s="418"/>
      <c r="BI120" s="418"/>
      <c r="BJ120" s="418"/>
      <c r="BK120" s="418"/>
      <c r="BL120" s="418"/>
      <c r="BM120" s="418"/>
      <c r="BN120" s="418"/>
      <c r="BO120" s="418"/>
      <c r="BP120" s="418"/>
      <c r="BQ120" s="418"/>
      <c r="BR120" s="418"/>
      <c r="BS120" s="418"/>
      <c r="BT120" s="418"/>
      <c r="BU120" s="418"/>
      <c r="BV120" s="418"/>
      <c r="BW120" s="418"/>
      <c r="BX120" s="418"/>
      <c r="BY120" s="418"/>
      <c r="BZ120" s="418"/>
      <c r="CA120" s="418"/>
      <c r="CB120" s="418"/>
      <c r="CC120" s="418"/>
      <c r="CD120" s="418"/>
      <c r="CE120" s="418"/>
      <c r="CF120" s="418"/>
      <c r="CG120" s="418"/>
      <c r="CH120" s="418"/>
      <c r="CI120" s="418"/>
      <c r="CJ120" s="418"/>
      <c r="CK120" s="418"/>
      <c r="CL120" s="418"/>
      <c r="CM120" s="418"/>
      <c r="CN120" s="418"/>
      <c r="CO120" s="418"/>
      <c r="CP120" s="418"/>
      <c r="CQ120" s="418"/>
      <c r="CR120" s="418"/>
      <c r="CS120" s="418"/>
      <c r="CT120" s="418"/>
      <c r="CU120" s="418"/>
      <c r="CV120" s="418"/>
      <c r="CW120" s="418"/>
      <c r="CX120" s="418"/>
      <c r="CY120" s="418"/>
      <c r="CZ120" s="418"/>
      <c r="DA120" s="418"/>
      <c r="DB120" s="418"/>
      <c r="DC120" s="418"/>
      <c r="DD120" s="418"/>
      <c r="DE120" s="418"/>
      <c r="DF120" s="418"/>
      <c r="DG120" s="418"/>
      <c r="DH120" s="418"/>
      <c r="DI120" s="418"/>
      <c r="DJ120" s="418"/>
      <c r="DK120" s="418"/>
      <c r="DL120" s="418"/>
      <c r="DM120" s="418"/>
      <c r="DN120" s="418"/>
      <c r="DO120" s="418"/>
      <c r="DP120" s="418"/>
      <c r="DQ120" s="418"/>
      <c r="DR120" s="418"/>
      <c r="DS120" s="418"/>
      <c r="DT120" s="418"/>
      <c r="DU120" s="418"/>
      <c r="DV120" s="418"/>
      <c r="DW120" s="418"/>
      <c r="DX120" s="418"/>
      <c r="DY120" s="418"/>
      <c r="DZ120" s="418"/>
      <c r="EA120" s="418"/>
      <c r="EB120" s="418"/>
      <c r="EC120" s="418"/>
      <c r="ED120" s="418"/>
      <c r="EE120" s="418"/>
      <c r="EF120" s="418"/>
      <c r="EG120" s="418"/>
      <c r="EH120" s="418"/>
      <c r="EI120" s="418"/>
      <c r="EJ120" s="418"/>
      <c r="EK120" s="418"/>
      <c r="EL120" s="418"/>
      <c r="EM120" s="418"/>
      <c r="EN120" s="418"/>
      <c r="EO120" s="418"/>
      <c r="EP120" s="418"/>
      <c r="EQ120" s="418"/>
      <c r="ER120" s="418"/>
      <c r="ES120" s="418"/>
      <c r="ET120" s="418"/>
      <c r="EU120" s="418"/>
      <c r="EV120" s="418"/>
      <c r="EW120" s="418"/>
      <c r="EX120" s="418"/>
      <c r="EY120" s="418"/>
      <c r="EZ120" s="418"/>
      <c r="FA120" s="418"/>
      <c r="FB120" s="418"/>
      <c r="FC120" s="418"/>
      <c r="FD120" s="418"/>
      <c r="FE120" s="418"/>
      <c r="FF120" s="418"/>
      <c r="FG120" s="418"/>
      <c r="FH120" s="418"/>
      <c r="FI120" s="418"/>
      <c r="FJ120" s="418"/>
      <c r="FK120" s="418"/>
      <c r="FL120" s="418"/>
      <c r="FM120" s="418"/>
      <c r="FN120" s="418"/>
      <c r="FO120" s="418"/>
      <c r="FP120" s="418"/>
      <c r="FQ120" s="418"/>
      <c r="FR120" s="418"/>
      <c r="FS120" s="418"/>
      <c r="FT120" s="418"/>
      <c r="FU120" s="418"/>
      <c r="FV120" s="418"/>
      <c r="FW120" s="418"/>
      <c r="FX120" s="418"/>
      <c r="FY120" s="418"/>
      <c r="FZ120" s="418"/>
      <c r="GA120" s="418"/>
      <c r="GB120" s="418"/>
      <c r="GC120" s="418"/>
      <c r="GD120" s="418"/>
      <c r="GE120" s="418"/>
      <c r="GF120" s="418"/>
      <c r="GG120" s="418"/>
      <c r="GH120" s="418"/>
      <c r="GI120" s="418"/>
      <c r="GJ120" s="418"/>
      <c r="GK120" s="418"/>
      <c r="GL120" s="418"/>
      <c r="GM120" s="418"/>
      <c r="GN120" s="418"/>
      <c r="GO120" s="418"/>
      <c r="GP120" s="418"/>
      <c r="GQ120" s="418"/>
      <c r="GR120" s="418"/>
      <c r="GS120" s="418"/>
      <c r="GT120" s="418"/>
      <c r="GU120" s="418"/>
      <c r="GV120" s="418"/>
      <c r="GW120" s="418"/>
      <c r="GX120" s="418"/>
      <c r="GY120" s="418"/>
      <c r="GZ120" s="418"/>
      <c r="HA120" s="418"/>
      <c r="HB120" s="418"/>
      <c r="HC120" s="418"/>
      <c r="HD120" s="418"/>
      <c r="HE120" s="418"/>
      <c r="HF120" s="418"/>
      <c r="HG120" s="418"/>
      <c r="HH120" s="418"/>
      <c r="HI120" s="418"/>
      <c r="HJ120" s="418"/>
      <c r="HK120" s="418"/>
      <c r="HL120" s="418"/>
      <c r="HM120" s="418"/>
      <c r="HN120" s="418"/>
      <c r="HO120" s="418"/>
      <c r="HP120" s="418"/>
      <c r="HQ120" s="418"/>
      <c r="HR120" s="418"/>
      <c r="HS120" s="418"/>
      <c r="HT120" s="418"/>
      <c r="HU120" s="418"/>
      <c r="HV120" s="418"/>
      <c r="HW120" s="418"/>
      <c r="HX120" s="418"/>
      <c r="HY120" s="418"/>
      <c r="HZ120" s="418"/>
      <c r="IA120" s="418"/>
      <c r="IB120" s="418"/>
      <c r="IC120" s="418"/>
      <c r="ID120" s="418"/>
      <c r="IE120" s="418"/>
      <c r="IF120" s="418"/>
      <c r="IG120" s="418"/>
      <c r="IH120" s="418"/>
      <c r="II120" s="418"/>
      <c r="IJ120" s="418"/>
      <c r="IK120" s="418"/>
      <c r="IL120" s="418"/>
      <c r="IM120" s="418"/>
      <c r="IN120" s="418"/>
      <c r="IO120" s="418"/>
      <c r="IP120" s="418"/>
      <c r="IQ120" s="418"/>
      <c r="IR120" s="418"/>
      <c r="IS120" s="418"/>
      <c r="IT120" s="418"/>
      <c r="IU120" s="418"/>
      <c r="IV120" s="418"/>
      <c r="IW120" s="418"/>
      <c r="IX120" s="418"/>
      <c r="IY120" s="418"/>
      <c r="IZ120" s="418"/>
      <c r="JA120" s="418"/>
      <c r="JB120" s="418"/>
    </row>
    <row r="121" spans="1:262" s="758" customFormat="1" ht="18" customHeight="1" x14ac:dyDescent="0.35">
      <c r="A121" s="773">
        <v>111</v>
      </c>
      <c r="B121" s="766"/>
      <c r="C121" s="464"/>
      <c r="D121" s="576" t="s">
        <v>1250</v>
      </c>
      <c r="E121" s="430"/>
      <c r="F121" s="430"/>
      <c r="G121" s="431"/>
      <c r="H121" s="999"/>
      <c r="I121" s="997"/>
      <c r="J121" s="430"/>
      <c r="K121" s="430"/>
      <c r="L121" s="430"/>
      <c r="M121" s="1524">
        <f>SUM(M119:M120)</f>
        <v>0</v>
      </c>
      <c r="N121" s="430"/>
      <c r="O121" s="430"/>
      <c r="P121" s="767">
        <f t="shared" si="9"/>
        <v>0</v>
      </c>
      <c r="Q121" s="763"/>
      <c r="R121" s="418"/>
      <c r="S121" s="418"/>
      <c r="T121" s="418"/>
      <c r="U121" s="418"/>
      <c r="V121" s="418"/>
      <c r="W121" s="418"/>
      <c r="X121" s="418"/>
      <c r="Y121" s="418"/>
      <c r="Z121" s="418"/>
      <c r="AA121" s="418"/>
      <c r="AB121" s="418"/>
      <c r="AC121" s="418"/>
      <c r="AD121" s="418"/>
      <c r="AE121" s="418"/>
      <c r="AF121" s="418"/>
      <c r="AG121" s="418"/>
      <c r="AH121" s="418"/>
      <c r="AI121" s="418"/>
      <c r="AJ121" s="418"/>
      <c r="AK121" s="418"/>
      <c r="AL121" s="418"/>
      <c r="AM121" s="418"/>
      <c r="AN121" s="418"/>
      <c r="AO121" s="418"/>
      <c r="AP121" s="418"/>
      <c r="AQ121" s="418"/>
      <c r="AR121" s="418"/>
      <c r="AS121" s="418"/>
      <c r="AT121" s="418"/>
      <c r="AU121" s="418"/>
      <c r="AV121" s="418"/>
      <c r="AW121" s="418"/>
      <c r="AX121" s="418"/>
      <c r="AY121" s="418"/>
      <c r="AZ121" s="418"/>
      <c r="BA121" s="418"/>
      <c r="BB121" s="418"/>
      <c r="BC121" s="418"/>
      <c r="BD121" s="418"/>
      <c r="BE121" s="418"/>
      <c r="BF121" s="418"/>
      <c r="BG121" s="418"/>
      <c r="BH121" s="418"/>
      <c r="BI121" s="418"/>
      <c r="BJ121" s="418"/>
      <c r="BK121" s="418"/>
      <c r="BL121" s="418"/>
      <c r="BM121" s="418"/>
      <c r="BN121" s="418"/>
      <c r="BO121" s="418"/>
      <c r="BP121" s="418"/>
      <c r="BQ121" s="418"/>
      <c r="BR121" s="418"/>
      <c r="BS121" s="418"/>
      <c r="BT121" s="418"/>
      <c r="BU121" s="418"/>
      <c r="BV121" s="418"/>
      <c r="BW121" s="418"/>
      <c r="BX121" s="418"/>
      <c r="BY121" s="418"/>
      <c r="BZ121" s="418"/>
      <c r="CA121" s="418"/>
      <c r="CB121" s="418"/>
      <c r="CC121" s="418"/>
      <c r="CD121" s="418"/>
      <c r="CE121" s="418"/>
      <c r="CF121" s="418"/>
      <c r="CG121" s="418"/>
      <c r="CH121" s="418"/>
      <c r="CI121" s="418"/>
      <c r="CJ121" s="418"/>
      <c r="CK121" s="418"/>
      <c r="CL121" s="418"/>
      <c r="CM121" s="418"/>
      <c r="CN121" s="418"/>
      <c r="CO121" s="418"/>
      <c r="CP121" s="418"/>
      <c r="CQ121" s="418"/>
      <c r="CR121" s="418"/>
      <c r="CS121" s="418"/>
      <c r="CT121" s="418"/>
      <c r="CU121" s="418"/>
      <c r="CV121" s="418"/>
      <c r="CW121" s="418"/>
      <c r="CX121" s="418"/>
      <c r="CY121" s="418"/>
      <c r="CZ121" s="418"/>
      <c r="DA121" s="418"/>
      <c r="DB121" s="418"/>
      <c r="DC121" s="418"/>
      <c r="DD121" s="418"/>
      <c r="DE121" s="418"/>
      <c r="DF121" s="418"/>
      <c r="DG121" s="418"/>
      <c r="DH121" s="418"/>
      <c r="DI121" s="418"/>
      <c r="DJ121" s="418"/>
      <c r="DK121" s="418"/>
      <c r="DL121" s="418"/>
      <c r="DM121" s="418"/>
      <c r="DN121" s="418"/>
      <c r="DO121" s="418"/>
      <c r="DP121" s="418"/>
      <c r="DQ121" s="418"/>
      <c r="DR121" s="418"/>
      <c r="DS121" s="418"/>
      <c r="DT121" s="418"/>
      <c r="DU121" s="418"/>
      <c r="DV121" s="418"/>
      <c r="DW121" s="418"/>
      <c r="DX121" s="418"/>
      <c r="DY121" s="418"/>
      <c r="DZ121" s="418"/>
      <c r="EA121" s="418"/>
      <c r="EB121" s="418"/>
      <c r="EC121" s="418"/>
      <c r="ED121" s="418"/>
      <c r="EE121" s="418"/>
      <c r="EF121" s="418"/>
      <c r="EG121" s="418"/>
      <c r="EH121" s="418"/>
      <c r="EI121" s="418"/>
      <c r="EJ121" s="418"/>
      <c r="EK121" s="418"/>
      <c r="EL121" s="418"/>
      <c r="EM121" s="418"/>
      <c r="EN121" s="418"/>
      <c r="EO121" s="418"/>
      <c r="EP121" s="418"/>
      <c r="EQ121" s="418"/>
      <c r="ER121" s="418"/>
      <c r="ES121" s="418"/>
      <c r="ET121" s="418"/>
      <c r="EU121" s="418"/>
      <c r="EV121" s="418"/>
      <c r="EW121" s="418"/>
      <c r="EX121" s="418"/>
      <c r="EY121" s="418"/>
      <c r="EZ121" s="418"/>
      <c r="FA121" s="418"/>
      <c r="FB121" s="418"/>
      <c r="FC121" s="418"/>
      <c r="FD121" s="418"/>
      <c r="FE121" s="418"/>
      <c r="FF121" s="418"/>
      <c r="FG121" s="418"/>
      <c r="FH121" s="418"/>
      <c r="FI121" s="418"/>
      <c r="FJ121" s="418"/>
      <c r="FK121" s="418"/>
      <c r="FL121" s="418"/>
      <c r="FM121" s="418"/>
      <c r="FN121" s="418"/>
      <c r="FO121" s="418"/>
      <c r="FP121" s="418"/>
      <c r="FQ121" s="418"/>
      <c r="FR121" s="418"/>
      <c r="FS121" s="418"/>
      <c r="FT121" s="418"/>
      <c r="FU121" s="418"/>
      <c r="FV121" s="418"/>
      <c r="FW121" s="418"/>
      <c r="FX121" s="418"/>
      <c r="FY121" s="418"/>
      <c r="FZ121" s="418"/>
      <c r="GA121" s="418"/>
      <c r="GB121" s="418"/>
      <c r="GC121" s="418"/>
      <c r="GD121" s="418"/>
      <c r="GE121" s="418"/>
      <c r="GF121" s="418"/>
      <c r="GG121" s="418"/>
      <c r="GH121" s="418"/>
      <c r="GI121" s="418"/>
      <c r="GJ121" s="418"/>
      <c r="GK121" s="418"/>
      <c r="GL121" s="418"/>
      <c r="GM121" s="418"/>
      <c r="GN121" s="418"/>
      <c r="GO121" s="418"/>
      <c r="GP121" s="418"/>
      <c r="GQ121" s="418"/>
      <c r="GR121" s="418"/>
      <c r="GS121" s="418"/>
      <c r="GT121" s="418"/>
      <c r="GU121" s="418"/>
      <c r="GV121" s="418"/>
      <c r="GW121" s="418"/>
      <c r="GX121" s="418"/>
      <c r="GY121" s="418"/>
      <c r="GZ121" s="418"/>
      <c r="HA121" s="418"/>
      <c r="HB121" s="418"/>
      <c r="HC121" s="418"/>
      <c r="HD121" s="418"/>
      <c r="HE121" s="418"/>
      <c r="HF121" s="418"/>
      <c r="HG121" s="418"/>
      <c r="HH121" s="418"/>
      <c r="HI121" s="418"/>
      <c r="HJ121" s="418"/>
      <c r="HK121" s="418"/>
      <c r="HL121" s="418"/>
      <c r="HM121" s="418"/>
      <c r="HN121" s="418"/>
      <c r="HO121" s="418"/>
      <c r="HP121" s="418"/>
      <c r="HQ121" s="418"/>
      <c r="HR121" s="418"/>
      <c r="HS121" s="418"/>
      <c r="HT121" s="418"/>
      <c r="HU121" s="418"/>
      <c r="HV121" s="418"/>
      <c r="HW121" s="418"/>
      <c r="HX121" s="418"/>
      <c r="HY121" s="418"/>
      <c r="HZ121" s="418"/>
      <c r="IA121" s="418"/>
      <c r="IB121" s="418"/>
      <c r="IC121" s="418"/>
      <c r="ID121" s="418"/>
      <c r="IE121" s="418"/>
      <c r="IF121" s="418"/>
      <c r="IG121" s="418"/>
      <c r="IH121" s="418"/>
      <c r="II121" s="418"/>
      <c r="IJ121" s="418"/>
      <c r="IK121" s="418"/>
      <c r="IL121" s="418"/>
      <c r="IM121" s="418"/>
      <c r="IN121" s="418"/>
      <c r="IO121" s="418"/>
      <c r="IP121" s="418"/>
      <c r="IQ121" s="418"/>
      <c r="IR121" s="418"/>
      <c r="IS121" s="418"/>
      <c r="IT121" s="418"/>
      <c r="IU121" s="418"/>
      <c r="IV121" s="418"/>
      <c r="IW121" s="418"/>
      <c r="IX121" s="418"/>
      <c r="IY121" s="418"/>
      <c r="IZ121" s="418"/>
      <c r="JA121" s="418"/>
      <c r="JB121" s="418"/>
    </row>
    <row r="122" spans="1:262" ht="22.5" customHeight="1" x14ac:dyDescent="0.35">
      <c r="A122" s="773">
        <v>112</v>
      </c>
      <c r="B122" s="618"/>
      <c r="C122" s="464"/>
      <c r="D122" s="761" t="s">
        <v>699</v>
      </c>
      <c r="E122" s="430"/>
      <c r="F122" s="430"/>
      <c r="G122" s="431"/>
      <c r="H122" s="999"/>
      <c r="I122" s="997"/>
      <c r="J122" s="430"/>
      <c r="K122" s="430"/>
      <c r="L122" s="430"/>
      <c r="M122" s="430"/>
      <c r="N122" s="430"/>
      <c r="O122" s="430"/>
      <c r="P122" s="772"/>
      <c r="Q122" s="763"/>
    </row>
    <row r="123" spans="1:262" s="758" customFormat="1" ht="18" customHeight="1" x14ac:dyDescent="0.35">
      <c r="A123" s="773">
        <v>113</v>
      </c>
      <c r="B123" s="766"/>
      <c r="C123" s="464"/>
      <c r="D123" s="992" t="s">
        <v>308</v>
      </c>
      <c r="E123" s="430"/>
      <c r="F123" s="762"/>
      <c r="G123" s="431"/>
      <c r="H123" s="999"/>
      <c r="I123" s="995"/>
      <c r="J123" s="759"/>
      <c r="K123" s="759"/>
      <c r="L123" s="759"/>
      <c r="M123" s="989">
        <v>10000</v>
      </c>
      <c r="N123" s="759"/>
      <c r="O123" s="759"/>
      <c r="P123" s="982">
        <f>SUM(I123:O123)</f>
        <v>10000</v>
      </c>
      <c r="Q123" s="763"/>
      <c r="R123" s="418"/>
      <c r="S123" s="418"/>
      <c r="T123" s="418"/>
      <c r="U123" s="418"/>
      <c r="V123" s="418"/>
      <c r="W123" s="418"/>
      <c r="X123" s="418"/>
      <c r="Y123" s="418"/>
      <c r="Z123" s="418"/>
      <c r="AA123" s="418"/>
      <c r="AB123" s="418"/>
      <c r="AC123" s="418"/>
      <c r="AD123" s="418"/>
      <c r="AE123" s="418"/>
      <c r="AF123" s="418"/>
      <c r="AG123" s="418"/>
      <c r="AH123" s="418"/>
      <c r="AI123" s="418"/>
      <c r="AJ123" s="418"/>
      <c r="AK123" s="418"/>
      <c r="AL123" s="418"/>
      <c r="AM123" s="418"/>
      <c r="AN123" s="418"/>
      <c r="AO123" s="418"/>
      <c r="AP123" s="418"/>
      <c r="AQ123" s="418"/>
      <c r="AR123" s="418"/>
      <c r="AS123" s="418"/>
      <c r="AT123" s="418"/>
      <c r="AU123" s="418"/>
      <c r="AV123" s="418"/>
      <c r="AW123" s="418"/>
      <c r="AX123" s="418"/>
      <c r="AY123" s="418"/>
      <c r="AZ123" s="418"/>
      <c r="BA123" s="418"/>
      <c r="BB123" s="418"/>
      <c r="BC123" s="418"/>
      <c r="BD123" s="418"/>
      <c r="BE123" s="418"/>
      <c r="BF123" s="418"/>
      <c r="BG123" s="418"/>
      <c r="BH123" s="418"/>
      <c r="BI123" s="418"/>
      <c r="BJ123" s="418"/>
      <c r="BK123" s="418"/>
      <c r="BL123" s="418"/>
      <c r="BM123" s="418"/>
      <c r="BN123" s="418"/>
      <c r="BO123" s="418"/>
      <c r="BP123" s="418"/>
      <c r="BQ123" s="418"/>
      <c r="BR123" s="418"/>
      <c r="BS123" s="418"/>
      <c r="BT123" s="418"/>
      <c r="BU123" s="418"/>
      <c r="BV123" s="418"/>
      <c r="BW123" s="418"/>
      <c r="BX123" s="418"/>
      <c r="BY123" s="418"/>
      <c r="BZ123" s="418"/>
      <c r="CA123" s="418"/>
      <c r="CB123" s="418"/>
      <c r="CC123" s="418"/>
      <c r="CD123" s="418"/>
      <c r="CE123" s="418"/>
      <c r="CF123" s="418"/>
      <c r="CG123" s="418"/>
      <c r="CH123" s="418"/>
      <c r="CI123" s="418"/>
      <c r="CJ123" s="418"/>
      <c r="CK123" s="418"/>
      <c r="CL123" s="418"/>
      <c r="CM123" s="418"/>
      <c r="CN123" s="418"/>
      <c r="CO123" s="418"/>
      <c r="CP123" s="418"/>
      <c r="CQ123" s="418"/>
      <c r="CR123" s="418"/>
      <c r="CS123" s="418"/>
      <c r="CT123" s="418"/>
      <c r="CU123" s="418"/>
      <c r="CV123" s="418"/>
      <c r="CW123" s="418"/>
      <c r="CX123" s="418"/>
      <c r="CY123" s="418"/>
      <c r="CZ123" s="418"/>
      <c r="DA123" s="418"/>
      <c r="DB123" s="418"/>
      <c r="DC123" s="418"/>
      <c r="DD123" s="418"/>
      <c r="DE123" s="418"/>
      <c r="DF123" s="418"/>
      <c r="DG123" s="418"/>
      <c r="DH123" s="418"/>
      <c r="DI123" s="418"/>
      <c r="DJ123" s="418"/>
      <c r="DK123" s="418"/>
      <c r="DL123" s="418"/>
      <c r="DM123" s="418"/>
      <c r="DN123" s="418"/>
      <c r="DO123" s="418"/>
      <c r="DP123" s="418"/>
      <c r="DQ123" s="418"/>
      <c r="DR123" s="418"/>
      <c r="DS123" s="418"/>
      <c r="DT123" s="418"/>
      <c r="DU123" s="418"/>
      <c r="DV123" s="418"/>
      <c r="DW123" s="418"/>
      <c r="DX123" s="418"/>
      <c r="DY123" s="418"/>
      <c r="DZ123" s="418"/>
      <c r="EA123" s="418"/>
      <c r="EB123" s="418"/>
      <c r="EC123" s="418"/>
      <c r="ED123" s="418"/>
      <c r="EE123" s="418"/>
      <c r="EF123" s="418"/>
      <c r="EG123" s="418"/>
      <c r="EH123" s="418"/>
      <c r="EI123" s="418"/>
      <c r="EJ123" s="418"/>
      <c r="EK123" s="418"/>
      <c r="EL123" s="418"/>
      <c r="EM123" s="418"/>
      <c r="EN123" s="418"/>
      <c r="EO123" s="418"/>
      <c r="EP123" s="418"/>
      <c r="EQ123" s="418"/>
      <c r="ER123" s="418"/>
      <c r="ES123" s="418"/>
      <c r="ET123" s="418"/>
      <c r="EU123" s="418"/>
      <c r="EV123" s="418"/>
      <c r="EW123" s="418"/>
      <c r="EX123" s="418"/>
      <c r="EY123" s="418"/>
      <c r="EZ123" s="418"/>
      <c r="FA123" s="418"/>
      <c r="FB123" s="418"/>
      <c r="FC123" s="418"/>
      <c r="FD123" s="418"/>
      <c r="FE123" s="418"/>
      <c r="FF123" s="418"/>
      <c r="FG123" s="418"/>
      <c r="FH123" s="418"/>
      <c r="FI123" s="418"/>
      <c r="FJ123" s="418"/>
      <c r="FK123" s="418"/>
      <c r="FL123" s="418"/>
      <c r="FM123" s="418"/>
      <c r="FN123" s="418"/>
      <c r="FO123" s="418"/>
      <c r="FP123" s="418"/>
      <c r="FQ123" s="418"/>
      <c r="FR123" s="418"/>
      <c r="FS123" s="418"/>
      <c r="FT123" s="418"/>
      <c r="FU123" s="418"/>
      <c r="FV123" s="418"/>
      <c r="FW123" s="418"/>
      <c r="FX123" s="418"/>
      <c r="FY123" s="418"/>
      <c r="FZ123" s="418"/>
      <c r="GA123" s="418"/>
      <c r="GB123" s="418"/>
      <c r="GC123" s="418"/>
      <c r="GD123" s="418"/>
      <c r="GE123" s="418"/>
      <c r="GF123" s="418"/>
      <c r="GG123" s="418"/>
      <c r="GH123" s="418"/>
      <c r="GI123" s="418"/>
      <c r="GJ123" s="418"/>
      <c r="GK123" s="418"/>
      <c r="GL123" s="418"/>
      <c r="GM123" s="418"/>
      <c r="GN123" s="418"/>
      <c r="GO123" s="418"/>
      <c r="GP123" s="418"/>
      <c r="GQ123" s="418"/>
      <c r="GR123" s="418"/>
      <c r="GS123" s="418"/>
      <c r="GT123" s="418"/>
      <c r="GU123" s="418"/>
      <c r="GV123" s="418"/>
      <c r="GW123" s="418"/>
      <c r="GX123" s="418"/>
      <c r="GY123" s="418"/>
      <c r="GZ123" s="418"/>
      <c r="HA123" s="418"/>
      <c r="HB123" s="418"/>
      <c r="HC123" s="418"/>
      <c r="HD123" s="418"/>
      <c r="HE123" s="418"/>
      <c r="HF123" s="418"/>
      <c r="HG123" s="418"/>
      <c r="HH123" s="418"/>
      <c r="HI123" s="418"/>
      <c r="HJ123" s="418"/>
      <c r="HK123" s="418"/>
      <c r="HL123" s="418"/>
      <c r="HM123" s="418"/>
      <c r="HN123" s="418"/>
      <c r="HO123" s="418"/>
      <c r="HP123" s="418"/>
      <c r="HQ123" s="418"/>
      <c r="HR123" s="418"/>
      <c r="HS123" s="418"/>
      <c r="HT123" s="418"/>
      <c r="HU123" s="418"/>
      <c r="HV123" s="418"/>
      <c r="HW123" s="418"/>
      <c r="HX123" s="418"/>
      <c r="HY123" s="418"/>
      <c r="HZ123" s="418"/>
      <c r="IA123" s="418"/>
      <c r="IB123" s="418"/>
      <c r="IC123" s="418"/>
      <c r="ID123" s="418"/>
      <c r="IE123" s="418"/>
      <c r="IF123" s="418"/>
      <c r="IG123" s="418"/>
      <c r="IH123" s="418"/>
      <c r="II123" s="418"/>
      <c r="IJ123" s="418"/>
      <c r="IK123" s="418"/>
      <c r="IL123" s="418"/>
      <c r="IM123" s="418"/>
      <c r="IN123" s="418"/>
      <c r="IO123" s="418"/>
      <c r="IP123" s="418"/>
      <c r="IQ123" s="418"/>
      <c r="IR123" s="418"/>
      <c r="IS123" s="418"/>
      <c r="IT123" s="418"/>
      <c r="IU123" s="418"/>
      <c r="IV123" s="418"/>
      <c r="IW123" s="418"/>
      <c r="IX123" s="418"/>
      <c r="IY123" s="418"/>
      <c r="IZ123" s="418"/>
      <c r="JA123" s="418"/>
      <c r="JB123" s="418"/>
    </row>
    <row r="124" spans="1:262" s="758" customFormat="1" ht="18" customHeight="1" x14ac:dyDescent="0.35">
      <c r="A124" s="773">
        <v>114</v>
      </c>
      <c r="B124" s="766"/>
      <c r="C124" s="464"/>
      <c r="D124" s="576" t="s">
        <v>1158</v>
      </c>
      <c r="E124" s="430"/>
      <c r="F124" s="762"/>
      <c r="G124" s="431"/>
      <c r="H124" s="999"/>
      <c r="I124" s="995"/>
      <c r="J124" s="759"/>
      <c r="K124" s="759"/>
      <c r="L124" s="759"/>
      <c r="M124" s="1524">
        <v>0</v>
      </c>
      <c r="N124" s="759"/>
      <c r="O124" s="759"/>
      <c r="P124" s="767">
        <f>SUM(I124:O124)</f>
        <v>0</v>
      </c>
      <c r="Q124" s="763"/>
      <c r="R124" s="418"/>
      <c r="S124" s="418"/>
      <c r="T124" s="418"/>
      <c r="U124" s="418"/>
      <c r="V124" s="418"/>
      <c r="W124" s="418"/>
      <c r="X124" s="418"/>
      <c r="Y124" s="418"/>
      <c r="Z124" s="418"/>
      <c r="AA124" s="418"/>
      <c r="AB124" s="418"/>
      <c r="AC124" s="418"/>
      <c r="AD124" s="418"/>
      <c r="AE124" s="418"/>
      <c r="AF124" s="418"/>
      <c r="AG124" s="418"/>
      <c r="AH124" s="418"/>
      <c r="AI124" s="418"/>
      <c r="AJ124" s="418"/>
      <c r="AK124" s="418"/>
      <c r="AL124" s="418"/>
      <c r="AM124" s="418"/>
      <c r="AN124" s="418"/>
      <c r="AO124" s="418"/>
      <c r="AP124" s="418"/>
      <c r="AQ124" s="418"/>
      <c r="AR124" s="418"/>
      <c r="AS124" s="418"/>
      <c r="AT124" s="418"/>
      <c r="AU124" s="418"/>
      <c r="AV124" s="418"/>
      <c r="AW124" s="418"/>
      <c r="AX124" s="418"/>
      <c r="AY124" s="418"/>
      <c r="AZ124" s="418"/>
      <c r="BA124" s="418"/>
      <c r="BB124" s="418"/>
      <c r="BC124" s="418"/>
      <c r="BD124" s="418"/>
      <c r="BE124" s="418"/>
      <c r="BF124" s="418"/>
      <c r="BG124" s="418"/>
      <c r="BH124" s="418"/>
      <c r="BI124" s="418"/>
      <c r="BJ124" s="418"/>
      <c r="BK124" s="418"/>
      <c r="BL124" s="418"/>
      <c r="BM124" s="418"/>
      <c r="BN124" s="418"/>
      <c r="BO124" s="418"/>
      <c r="BP124" s="418"/>
      <c r="BQ124" s="418"/>
      <c r="BR124" s="418"/>
      <c r="BS124" s="418"/>
      <c r="BT124" s="418"/>
      <c r="BU124" s="418"/>
      <c r="BV124" s="418"/>
      <c r="BW124" s="418"/>
      <c r="BX124" s="418"/>
      <c r="BY124" s="418"/>
      <c r="BZ124" s="418"/>
      <c r="CA124" s="418"/>
      <c r="CB124" s="418"/>
      <c r="CC124" s="418"/>
      <c r="CD124" s="418"/>
      <c r="CE124" s="418"/>
      <c r="CF124" s="418"/>
      <c r="CG124" s="418"/>
      <c r="CH124" s="418"/>
      <c r="CI124" s="418"/>
      <c r="CJ124" s="418"/>
      <c r="CK124" s="418"/>
      <c r="CL124" s="418"/>
      <c r="CM124" s="418"/>
      <c r="CN124" s="418"/>
      <c r="CO124" s="418"/>
      <c r="CP124" s="418"/>
      <c r="CQ124" s="418"/>
      <c r="CR124" s="418"/>
      <c r="CS124" s="418"/>
      <c r="CT124" s="418"/>
      <c r="CU124" s="418"/>
      <c r="CV124" s="418"/>
      <c r="CW124" s="418"/>
      <c r="CX124" s="418"/>
      <c r="CY124" s="418"/>
      <c r="CZ124" s="418"/>
      <c r="DA124" s="418"/>
      <c r="DB124" s="418"/>
      <c r="DC124" s="418"/>
      <c r="DD124" s="418"/>
      <c r="DE124" s="418"/>
      <c r="DF124" s="418"/>
      <c r="DG124" s="418"/>
      <c r="DH124" s="418"/>
      <c r="DI124" s="418"/>
      <c r="DJ124" s="418"/>
      <c r="DK124" s="418"/>
      <c r="DL124" s="418"/>
      <c r="DM124" s="418"/>
      <c r="DN124" s="418"/>
      <c r="DO124" s="418"/>
      <c r="DP124" s="418"/>
      <c r="DQ124" s="418"/>
      <c r="DR124" s="418"/>
      <c r="DS124" s="418"/>
      <c r="DT124" s="418"/>
      <c r="DU124" s="418"/>
      <c r="DV124" s="418"/>
      <c r="DW124" s="418"/>
      <c r="DX124" s="418"/>
      <c r="DY124" s="418"/>
      <c r="DZ124" s="418"/>
      <c r="EA124" s="418"/>
      <c r="EB124" s="418"/>
      <c r="EC124" s="418"/>
      <c r="ED124" s="418"/>
      <c r="EE124" s="418"/>
      <c r="EF124" s="418"/>
      <c r="EG124" s="418"/>
      <c r="EH124" s="418"/>
      <c r="EI124" s="418"/>
      <c r="EJ124" s="418"/>
      <c r="EK124" s="418"/>
      <c r="EL124" s="418"/>
      <c r="EM124" s="418"/>
      <c r="EN124" s="418"/>
      <c r="EO124" s="418"/>
      <c r="EP124" s="418"/>
      <c r="EQ124" s="418"/>
      <c r="ER124" s="418"/>
      <c r="ES124" s="418"/>
      <c r="ET124" s="418"/>
      <c r="EU124" s="418"/>
      <c r="EV124" s="418"/>
      <c r="EW124" s="418"/>
      <c r="EX124" s="418"/>
      <c r="EY124" s="418"/>
      <c r="EZ124" s="418"/>
      <c r="FA124" s="418"/>
      <c r="FB124" s="418"/>
      <c r="FC124" s="418"/>
      <c r="FD124" s="418"/>
      <c r="FE124" s="418"/>
      <c r="FF124" s="418"/>
      <c r="FG124" s="418"/>
      <c r="FH124" s="418"/>
      <c r="FI124" s="418"/>
      <c r="FJ124" s="418"/>
      <c r="FK124" s="418"/>
      <c r="FL124" s="418"/>
      <c r="FM124" s="418"/>
      <c r="FN124" s="418"/>
      <c r="FO124" s="418"/>
      <c r="FP124" s="418"/>
      <c r="FQ124" s="418"/>
      <c r="FR124" s="418"/>
      <c r="FS124" s="418"/>
      <c r="FT124" s="418"/>
      <c r="FU124" s="418"/>
      <c r="FV124" s="418"/>
      <c r="FW124" s="418"/>
      <c r="FX124" s="418"/>
      <c r="FY124" s="418"/>
      <c r="FZ124" s="418"/>
      <c r="GA124" s="418"/>
      <c r="GB124" s="418"/>
      <c r="GC124" s="418"/>
      <c r="GD124" s="418"/>
      <c r="GE124" s="418"/>
      <c r="GF124" s="418"/>
      <c r="GG124" s="418"/>
      <c r="GH124" s="418"/>
      <c r="GI124" s="418"/>
      <c r="GJ124" s="418"/>
      <c r="GK124" s="418"/>
      <c r="GL124" s="418"/>
      <c r="GM124" s="418"/>
      <c r="GN124" s="418"/>
      <c r="GO124" s="418"/>
      <c r="GP124" s="418"/>
      <c r="GQ124" s="418"/>
      <c r="GR124" s="418"/>
      <c r="GS124" s="418"/>
      <c r="GT124" s="418"/>
      <c r="GU124" s="418"/>
      <c r="GV124" s="418"/>
      <c r="GW124" s="418"/>
      <c r="GX124" s="418"/>
      <c r="GY124" s="418"/>
      <c r="GZ124" s="418"/>
      <c r="HA124" s="418"/>
      <c r="HB124" s="418"/>
      <c r="HC124" s="418"/>
      <c r="HD124" s="418"/>
      <c r="HE124" s="418"/>
      <c r="HF124" s="418"/>
      <c r="HG124" s="418"/>
      <c r="HH124" s="418"/>
      <c r="HI124" s="418"/>
      <c r="HJ124" s="418"/>
      <c r="HK124" s="418"/>
      <c r="HL124" s="418"/>
      <c r="HM124" s="418"/>
      <c r="HN124" s="418"/>
      <c r="HO124" s="418"/>
      <c r="HP124" s="418"/>
      <c r="HQ124" s="418"/>
      <c r="HR124" s="418"/>
      <c r="HS124" s="418"/>
      <c r="HT124" s="418"/>
      <c r="HU124" s="418"/>
      <c r="HV124" s="418"/>
      <c r="HW124" s="418"/>
      <c r="HX124" s="418"/>
      <c r="HY124" s="418"/>
      <c r="HZ124" s="418"/>
      <c r="IA124" s="418"/>
      <c r="IB124" s="418"/>
      <c r="IC124" s="418"/>
      <c r="ID124" s="418"/>
      <c r="IE124" s="418"/>
      <c r="IF124" s="418"/>
      <c r="IG124" s="418"/>
      <c r="IH124" s="418"/>
      <c r="II124" s="418"/>
      <c r="IJ124" s="418"/>
      <c r="IK124" s="418"/>
      <c r="IL124" s="418"/>
      <c r="IM124" s="418"/>
      <c r="IN124" s="418"/>
      <c r="IO124" s="418"/>
      <c r="IP124" s="418"/>
      <c r="IQ124" s="418"/>
      <c r="IR124" s="418"/>
      <c r="IS124" s="418"/>
      <c r="IT124" s="418"/>
      <c r="IU124" s="418"/>
      <c r="IV124" s="418"/>
      <c r="IW124" s="418"/>
      <c r="IX124" s="418"/>
      <c r="IY124" s="418"/>
      <c r="IZ124" s="418"/>
      <c r="JA124" s="418"/>
      <c r="JB124" s="418"/>
    </row>
    <row r="125" spans="1:262" s="758" customFormat="1" ht="18" customHeight="1" x14ac:dyDescent="0.35">
      <c r="A125" s="773">
        <v>115</v>
      </c>
      <c r="B125" s="766"/>
      <c r="C125" s="464"/>
      <c r="D125" s="1318" t="s">
        <v>947</v>
      </c>
      <c r="E125" s="430"/>
      <c r="F125" s="762"/>
      <c r="G125" s="431"/>
      <c r="H125" s="999"/>
      <c r="I125" s="995"/>
      <c r="J125" s="759"/>
      <c r="K125" s="759"/>
      <c r="L125" s="759"/>
      <c r="M125" s="759"/>
      <c r="N125" s="759"/>
      <c r="O125" s="759"/>
      <c r="P125" s="767">
        <f t="shared" ref="P125:P126" si="10">SUM(I125:O125)</f>
        <v>0</v>
      </c>
      <c r="Q125" s="763"/>
      <c r="R125" s="418"/>
      <c r="S125" s="418"/>
      <c r="T125" s="418"/>
      <c r="U125" s="418"/>
      <c r="V125" s="418"/>
      <c r="W125" s="418"/>
      <c r="X125" s="418"/>
      <c r="Y125" s="418"/>
      <c r="Z125" s="418"/>
      <c r="AA125" s="418"/>
      <c r="AB125" s="418"/>
      <c r="AC125" s="418"/>
      <c r="AD125" s="418"/>
      <c r="AE125" s="418"/>
      <c r="AF125" s="418"/>
      <c r="AG125" s="418"/>
      <c r="AH125" s="418"/>
      <c r="AI125" s="418"/>
      <c r="AJ125" s="418"/>
      <c r="AK125" s="418"/>
      <c r="AL125" s="418"/>
      <c r="AM125" s="418"/>
      <c r="AN125" s="418"/>
      <c r="AO125" s="418"/>
      <c r="AP125" s="418"/>
      <c r="AQ125" s="418"/>
      <c r="AR125" s="418"/>
      <c r="AS125" s="418"/>
      <c r="AT125" s="418"/>
      <c r="AU125" s="418"/>
      <c r="AV125" s="418"/>
      <c r="AW125" s="418"/>
      <c r="AX125" s="418"/>
      <c r="AY125" s="418"/>
      <c r="AZ125" s="418"/>
      <c r="BA125" s="418"/>
      <c r="BB125" s="418"/>
      <c r="BC125" s="418"/>
      <c r="BD125" s="418"/>
      <c r="BE125" s="418"/>
      <c r="BF125" s="418"/>
      <c r="BG125" s="418"/>
      <c r="BH125" s="418"/>
      <c r="BI125" s="418"/>
      <c r="BJ125" s="418"/>
      <c r="BK125" s="418"/>
      <c r="BL125" s="418"/>
      <c r="BM125" s="418"/>
      <c r="BN125" s="418"/>
      <c r="BO125" s="418"/>
      <c r="BP125" s="418"/>
      <c r="BQ125" s="418"/>
      <c r="BR125" s="418"/>
      <c r="BS125" s="418"/>
      <c r="BT125" s="418"/>
      <c r="BU125" s="418"/>
      <c r="BV125" s="418"/>
      <c r="BW125" s="418"/>
      <c r="BX125" s="418"/>
      <c r="BY125" s="418"/>
      <c r="BZ125" s="418"/>
      <c r="CA125" s="418"/>
      <c r="CB125" s="418"/>
      <c r="CC125" s="418"/>
      <c r="CD125" s="418"/>
      <c r="CE125" s="418"/>
      <c r="CF125" s="418"/>
      <c r="CG125" s="418"/>
      <c r="CH125" s="418"/>
      <c r="CI125" s="418"/>
      <c r="CJ125" s="418"/>
      <c r="CK125" s="418"/>
      <c r="CL125" s="418"/>
      <c r="CM125" s="418"/>
      <c r="CN125" s="418"/>
      <c r="CO125" s="418"/>
      <c r="CP125" s="418"/>
      <c r="CQ125" s="418"/>
      <c r="CR125" s="418"/>
      <c r="CS125" s="418"/>
      <c r="CT125" s="418"/>
      <c r="CU125" s="418"/>
      <c r="CV125" s="418"/>
      <c r="CW125" s="418"/>
      <c r="CX125" s="418"/>
      <c r="CY125" s="418"/>
      <c r="CZ125" s="418"/>
      <c r="DA125" s="418"/>
      <c r="DB125" s="418"/>
      <c r="DC125" s="418"/>
      <c r="DD125" s="418"/>
      <c r="DE125" s="418"/>
      <c r="DF125" s="418"/>
      <c r="DG125" s="418"/>
      <c r="DH125" s="418"/>
      <c r="DI125" s="418"/>
      <c r="DJ125" s="418"/>
      <c r="DK125" s="418"/>
      <c r="DL125" s="418"/>
      <c r="DM125" s="418"/>
      <c r="DN125" s="418"/>
      <c r="DO125" s="418"/>
      <c r="DP125" s="418"/>
      <c r="DQ125" s="418"/>
      <c r="DR125" s="418"/>
      <c r="DS125" s="418"/>
      <c r="DT125" s="418"/>
      <c r="DU125" s="418"/>
      <c r="DV125" s="418"/>
      <c r="DW125" s="418"/>
      <c r="DX125" s="418"/>
      <c r="DY125" s="418"/>
      <c r="DZ125" s="418"/>
      <c r="EA125" s="418"/>
      <c r="EB125" s="418"/>
      <c r="EC125" s="418"/>
      <c r="ED125" s="418"/>
      <c r="EE125" s="418"/>
      <c r="EF125" s="418"/>
      <c r="EG125" s="418"/>
      <c r="EH125" s="418"/>
      <c r="EI125" s="418"/>
      <c r="EJ125" s="418"/>
      <c r="EK125" s="418"/>
      <c r="EL125" s="418"/>
      <c r="EM125" s="418"/>
      <c r="EN125" s="418"/>
      <c r="EO125" s="418"/>
      <c r="EP125" s="418"/>
      <c r="EQ125" s="418"/>
      <c r="ER125" s="418"/>
      <c r="ES125" s="418"/>
      <c r="ET125" s="418"/>
      <c r="EU125" s="418"/>
      <c r="EV125" s="418"/>
      <c r="EW125" s="418"/>
      <c r="EX125" s="418"/>
      <c r="EY125" s="418"/>
      <c r="EZ125" s="418"/>
      <c r="FA125" s="418"/>
      <c r="FB125" s="418"/>
      <c r="FC125" s="418"/>
      <c r="FD125" s="418"/>
      <c r="FE125" s="418"/>
      <c r="FF125" s="418"/>
      <c r="FG125" s="418"/>
      <c r="FH125" s="418"/>
      <c r="FI125" s="418"/>
      <c r="FJ125" s="418"/>
      <c r="FK125" s="418"/>
      <c r="FL125" s="418"/>
      <c r="FM125" s="418"/>
      <c r="FN125" s="418"/>
      <c r="FO125" s="418"/>
      <c r="FP125" s="418"/>
      <c r="FQ125" s="418"/>
      <c r="FR125" s="418"/>
      <c r="FS125" s="418"/>
      <c r="FT125" s="418"/>
      <c r="FU125" s="418"/>
      <c r="FV125" s="418"/>
      <c r="FW125" s="418"/>
      <c r="FX125" s="418"/>
      <c r="FY125" s="418"/>
      <c r="FZ125" s="418"/>
      <c r="GA125" s="418"/>
      <c r="GB125" s="418"/>
      <c r="GC125" s="418"/>
      <c r="GD125" s="418"/>
      <c r="GE125" s="418"/>
      <c r="GF125" s="418"/>
      <c r="GG125" s="418"/>
      <c r="GH125" s="418"/>
      <c r="GI125" s="418"/>
      <c r="GJ125" s="418"/>
      <c r="GK125" s="418"/>
      <c r="GL125" s="418"/>
      <c r="GM125" s="418"/>
      <c r="GN125" s="418"/>
      <c r="GO125" s="418"/>
      <c r="GP125" s="418"/>
      <c r="GQ125" s="418"/>
      <c r="GR125" s="418"/>
      <c r="GS125" s="418"/>
      <c r="GT125" s="418"/>
      <c r="GU125" s="418"/>
      <c r="GV125" s="418"/>
      <c r="GW125" s="418"/>
      <c r="GX125" s="418"/>
      <c r="GY125" s="418"/>
      <c r="GZ125" s="418"/>
      <c r="HA125" s="418"/>
      <c r="HB125" s="418"/>
      <c r="HC125" s="418"/>
      <c r="HD125" s="418"/>
      <c r="HE125" s="418"/>
      <c r="HF125" s="418"/>
      <c r="HG125" s="418"/>
      <c r="HH125" s="418"/>
      <c r="HI125" s="418"/>
      <c r="HJ125" s="418"/>
      <c r="HK125" s="418"/>
      <c r="HL125" s="418"/>
      <c r="HM125" s="418"/>
      <c r="HN125" s="418"/>
      <c r="HO125" s="418"/>
      <c r="HP125" s="418"/>
      <c r="HQ125" s="418"/>
      <c r="HR125" s="418"/>
      <c r="HS125" s="418"/>
      <c r="HT125" s="418"/>
      <c r="HU125" s="418"/>
      <c r="HV125" s="418"/>
      <c r="HW125" s="418"/>
      <c r="HX125" s="418"/>
      <c r="HY125" s="418"/>
      <c r="HZ125" s="418"/>
      <c r="IA125" s="418"/>
      <c r="IB125" s="418"/>
      <c r="IC125" s="418"/>
      <c r="ID125" s="418"/>
      <c r="IE125" s="418"/>
      <c r="IF125" s="418"/>
      <c r="IG125" s="418"/>
      <c r="IH125" s="418"/>
      <c r="II125" s="418"/>
      <c r="IJ125" s="418"/>
      <c r="IK125" s="418"/>
      <c r="IL125" s="418"/>
      <c r="IM125" s="418"/>
      <c r="IN125" s="418"/>
      <c r="IO125" s="418"/>
      <c r="IP125" s="418"/>
      <c r="IQ125" s="418"/>
      <c r="IR125" s="418"/>
      <c r="IS125" s="418"/>
      <c r="IT125" s="418"/>
      <c r="IU125" s="418"/>
      <c r="IV125" s="418"/>
      <c r="IW125" s="418"/>
      <c r="IX125" s="418"/>
      <c r="IY125" s="418"/>
      <c r="IZ125" s="418"/>
      <c r="JA125" s="418"/>
      <c r="JB125" s="418"/>
    </row>
    <row r="126" spans="1:262" s="758" customFormat="1" ht="18" customHeight="1" x14ac:dyDescent="0.35">
      <c r="A126" s="773">
        <v>116</v>
      </c>
      <c r="B126" s="766"/>
      <c r="C126" s="464"/>
      <c r="D126" s="576" t="s">
        <v>1250</v>
      </c>
      <c r="E126" s="430"/>
      <c r="F126" s="762"/>
      <c r="G126" s="431"/>
      <c r="H126" s="999"/>
      <c r="I126" s="995"/>
      <c r="J126" s="759"/>
      <c r="K126" s="759"/>
      <c r="L126" s="759"/>
      <c r="M126" s="1524">
        <f>SUM(M124:M125)</f>
        <v>0</v>
      </c>
      <c r="N126" s="759"/>
      <c r="O126" s="759"/>
      <c r="P126" s="767">
        <f t="shared" si="10"/>
        <v>0</v>
      </c>
      <c r="Q126" s="763"/>
      <c r="R126" s="418"/>
      <c r="S126" s="418"/>
      <c r="T126" s="418"/>
      <c r="U126" s="418"/>
      <c r="V126" s="418"/>
      <c r="W126" s="418"/>
      <c r="X126" s="418"/>
      <c r="Y126" s="418"/>
      <c r="Z126" s="418"/>
      <c r="AA126" s="418"/>
      <c r="AB126" s="418"/>
      <c r="AC126" s="418"/>
      <c r="AD126" s="418"/>
      <c r="AE126" s="418"/>
      <c r="AF126" s="418"/>
      <c r="AG126" s="418"/>
      <c r="AH126" s="418"/>
      <c r="AI126" s="418"/>
      <c r="AJ126" s="418"/>
      <c r="AK126" s="418"/>
      <c r="AL126" s="418"/>
      <c r="AM126" s="418"/>
      <c r="AN126" s="418"/>
      <c r="AO126" s="418"/>
      <c r="AP126" s="418"/>
      <c r="AQ126" s="418"/>
      <c r="AR126" s="418"/>
      <c r="AS126" s="418"/>
      <c r="AT126" s="418"/>
      <c r="AU126" s="418"/>
      <c r="AV126" s="418"/>
      <c r="AW126" s="418"/>
      <c r="AX126" s="418"/>
      <c r="AY126" s="418"/>
      <c r="AZ126" s="418"/>
      <c r="BA126" s="418"/>
      <c r="BB126" s="418"/>
      <c r="BC126" s="418"/>
      <c r="BD126" s="418"/>
      <c r="BE126" s="418"/>
      <c r="BF126" s="418"/>
      <c r="BG126" s="418"/>
      <c r="BH126" s="418"/>
      <c r="BI126" s="418"/>
      <c r="BJ126" s="418"/>
      <c r="BK126" s="418"/>
      <c r="BL126" s="418"/>
      <c r="BM126" s="418"/>
      <c r="BN126" s="418"/>
      <c r="BO126" s="418"/>
      <c r="BP126" s="418"/>
      <c r="BQ126" s="418"/>
      <c r="BR126" s="418"/>
      <c r="BS126" s="418"/>
      <c r="BT126" s="418"/>
      <c r="BU126" s="418"/>
      <c r="BV126" s="418"/>
      <c r="BW126" s="418"/>
      <c r="BX126" s="418"/>
      <c r="BY126" s="418"/>
      <c r="BZ126" s="418"/>
      <c r="CA126" s="418"/>
      <c r="CB126" s="418"/>
      <c r="CC126" s="418"/>
      <c r="CD126" s="418"/>
      <c r="CE126" s="418"/>
      <c r="CF126" s="418"/>
      <c r="CG126" s="418"/>
      <c r="CH126" s="418"/>
      <c r="CI126" s="418"/>
      <c r="CJ126" s="418"/>
      <c r="CK126" s="418"/>
      <c r="CL126" s="418"/>
      <c r="CM126" s="418"/>
      <c r="CN126" s="418"/>
      <c r="CO126" s="418"/>
      <c r="CP126" s="418"/>
      <c r="CQ126" s="418"/>
      <c r="CR126" s="418"/>
      <c r="CS126" s="418"/>
      <c r="CT126" s="418"/>
      <c r="CU126" s="418"/>
      <c r="CV126" s="418"/>
      <c r="CW126" s="418"/>
      <c r="CX126" s="418"/>
      <c r="CY126" s="418"/>
      <c r="CZ126" s="418"/>
      <c r="DA126" s="418"/>
      <c r="DB126" s="418"/>
      <c r="DC126" s="418"/>
      <c r="DD126" s="418"/>
      <c r="DE126" s="418"/>
      <c r="DF126" s="418"/>
      <c r="DG126" s="418"/>
      <c r="DH126" s="418"/>
      <c r="DI126" s="418"/>
      <c r="DJ126" s="418"/>
      <c r="DK126" s="418"/>
      <c r="DL126" s="418"/>
      <c r="DM126" s="418"/>
      <c r="DN126" s="418"/>
      <c r="DO126" s="418"/>
      <c r="DP126" s="418"/>
      <c r="DQ126" s="418"/>
      <c r="DR126" s="418"/>
      <c r="DS126" s="418"/>
      <c r="DT126" s="418"/>
      <c r="DU126" s="418"/>
      <c r="DV126" s="418"/>
      <c r="DW126" s="418"/>
      <c r="DX126" s="418"/>
      <c r="DY126" s="418"/>
      <c r="DZ126" s="418"/>
      <c r="EA126" s="418"/>
      <c r="EB126" s="418"/>
      <c r="EC126" s="418"/>
      <c r="ED126" s="418"/>
      <c r="EE126" s="418"/>
      <c r="EF126" s="418"/>
      <c r="EG126" s="418"/>
      <c r="EH126" s="418"/>
      <c r="EI126" s="418"/>
      <c r="EJ126" s="418"/>
      <c r="EK126" s="418"/>
      <c r="EL126" s="418"/>
      <c r="EM126" s="418"/>
      <c r="EN126" s="418"/>
      <c r="EO126" s="418"/>
      <c r="EP126" s="418"/>
      <c r="EQ126" s="418"/>
      <c r="ER126" s="418"/>
      <c r="ES126" s="418"/>
      <c r="ET126" s="418"/>
      <c r="EU126" s="418"/>
      <c r="EV126" s="418"/>
      <c r="EW126" s="418"/>
      <c r="EX126" s="418"/>
      <c r="EY126" s="418"/>
      <c r="EZ126" s="418"/>
      <c r="FA126" s="418"/>
      <c r="FB126" s="418"/>
      <c r="FC126" s="418"/>
      <c r="FD126" s="418"/>
      <c r="FE126" s="418"/>
      <c r="FF126" s="418"/>
      <c r="FG126" s="418"/>
      <c r="FH126" s="418"/>
      <c r="FI126" s="418"/>
      <c r="FJ126" s="418"/>
      <c r="FK126" s="418"/>
      <c r="FL126" s="418"/>
      <c r="FM126" s="418"/>
      <c r="FN126" s="418"/>
      <c r="FO126" s="418"/>
      <c r="FP126" s="418"/>
      <c r="FQ126" s="418"/>
      <c r="FR126" s="418"/>
      <c r="FS126" s="418"/>
      <c r="FT126" s="418"/>
      <c r="FU126" s="418"/>
      <c r="FV126" s="418"/>
      <c r="FW126" s="418"/>
      <c r="FX126" s="418"/>
      <c r="FY126" s="418"/>
      <c r="FZ126" s="418"/>
      <c r="GA126" s="418"/>
      <c r="GB126" s="418"/>
      <c r="GC126" s="418"/>
      <c r="GD126" s="418"/>
      <c r="GE126" s="418"/>
      <c r="GF126" s="418"/>
      <c r="GG126" s="418"/>
      <c r="GH126" s="418"/>
      <c r="GI126" s="418"/>
      <c r="GJ126" s="418"/>
      <c r="GK126" s="418"/>
      <c r="GL126" s="418"/>
      <c r="GM126" s="418"/>
      <c r="GN126" s="418"/>
      <c r="GO126" s="418"/>
      <c r="GP126" s="418"/>
      <c r="GQ126" s="418"/>
      <c r="GR126" s="418"/>
      <c r="GS126" s="418"/>
      <c r="GT126" s="418"/>
      <c r="GU126" s="418"/>
      <c r="GV126" s="418"/>
      <c r="GW126" s="418"/>
      <c r="GX126" s="418"/>
      <c r="GY126" s="418"/>
      <c r="GZ126" s="418"/>
      <c r="HA126" s="418"/>
      <c r="HB126" s="418"/>
      <c r="HC126" s="418"/>
      <c r="HD126" s="418"/>
      <c r="HE126" s="418"/>
      <c r="HF126" s="418"/>
      <c r="HG126" s="418"/>
      <c r="HH126" s="418"/>
      <c r="HI126" s="418"/>
      <c r="HJ126" s="418"/>
      <c r="HK126" s="418"/>
      <c r="HL126" s="418"/>
      <c r="HM126" s="418"/>
      <c r="HN126" s="418"/>
      <c r="HO126" s="418"/>
      <c r="HP126" s="418"/>
      <c r="HQ126" s="418"/>
      <c r="HR126" s="418"/>
      <c r="HS126" s="418"/>
      <c r="HT126" s="418"/>
      <c r="HU126" s="418"/>
      <c r="HV126" s="418"/>
      <c r="HW126" s="418"/>
      <c r="HX126" s="418"/>
      <c r="HY126" s="418"/>
      <c r="HZ126" s="418"/>
      <c r="IA126" s="418"/>
      <c r="IB126" s="418"/>
      <c r="IC126" s="418"/>
      <c r="ID126" s="418"/>
      <c r="IE126" s="418"/>
      <c r="IF126" s="418"/>
      <c r="IG126" s="418"/>
      <c r="IH126" s="418"/>
      <c r="II126" s="418"/>
      <c r="IJ126" s="418"/>
      <c r="IK126" s="418"/>
      <c r="IL126" s="418"/>
      <c r="IM126" s="418"/>
      <c r="IN126" s="418"/>
      <c r="IO126" s="418"/>
      <c r="IP126" s="418"/>
      <c r="IQ126" s="418"/>
      <c r="IR126" s="418"/>
      <c r="IS126" s="418"/>
      <c r="IT126" s="418"/>
      <c r="IU126" s="418"/>
      <c r="IV126" s="418"/>
      <c r="IW126" s="418"/>
      <c r="IX126" s="418"/>
      <c r="IY126" s="418"/>
      <c r="IZ126" s="418"/>
      <c r="JA126" s="418"/>
      <c r="JB126" s="418"/>
    </row>
    <row r="127" spans="1:262" ht="22.5" customHeight="1" x14ac:dyDescent="0.35">
      <c r="A127" s="773">
        <v>117</v>
      </c>
      <c r="B127" s="618"/>
      <c r="C127" s="464"/>
      <c r="D127" s="771" t="s">
        <v>934</v>
      </c>
      <c r="E127" s="430"/>
      <c r="F127" s="762"/>
      <c r="G127" s="431"/>
      <c r="H127" s="999"/>
      <c r="I127" s="995"/>
      <c r="J127" s="759"/>
      <c r="K127" s="759"/>
      <c r="L127" s="759"/>
      <c r="M127" s="1013"/>
      <c r="N127" s="759"/>
      <c r="O127" s="759"/>
      <c r="P127" s="767"/>
      <c r="Q127" s="763"/>
    </row>
    <row r="128" spans="1:262" s="758" customFormat="1" ht="18" customHeight="1" x14ac:dyDescent="0.35">
      <c r="A128" s="773">
        <v>118</v>
      </c>
      <c r="B128" s="766"/>
      <c r="C128" s="420"/>
      <c r="D128" s="992" t="s">
        <v>308</v>
      </c>
      <c r="E128" s="430"/>
      <c r="F128" s="762"/>
      <c r="G128" s="431"/>
      <c r="H128" s="999"/>
      <c r="I128" s="995"/>
      <c r="J128" s="759"/>
      <c r="K128" s="759"/>
      <c r="L128" s="759"/>
      <c r="M128" s="989">
        <v>8200</v>
      </c>
      <c r="N128" s="759"/>
      <c r="O128" s="759"/>
      <c r="P128" s="982">
        <f>SUM(I128:O128)</f>
        <v>8200</v>
      </c>
      <c r="Q128" s="763"/>
      <c r="R128" s="418"/>
      <c r="S128" s="418"/>
      <c r="T128" s="418"/>
      <c r="U128" s="418"/>
      <c r="V128" s="418"/>
      <c r="W128" s="418"/>
      <c r="X128" s="418"/>
      <c r="Y128" s="418"/>
      <c r="Z128" s="418"/>
      <c r="AA128" s="418"/>
      <c r="AB128" s="418"/>
      <c r="AC128" s="418"/>
      <c r="AD128" s="418"/>
      <c r="AE128" s="418"/>
      <c r="AF128" s="418"/>
      <c r="AG128" s="418"/>
      <c r="AH128" s="418"/>
      <c r="AI128" s="418"/>
      <c r="AJ128" s="418"/>
      <c r="AK128" s="418"/>
      <c r="AL128" s="418"/>
      <c r="AM128" s="418"/>
      <c r="AN128" s="418"/>
      <c r="AO128" s="418"/>
      <c r="AP128" s="418"/>
      <c r="AQ128" s="418"/>
      <c r="AR128" s="418"/>
      <c r="AS128" s="418"/>
      <c r="AT128" s="418"/>
      <c r="AU128" s="418"/>
      <c r="AV128" s="418"/>
      <c r="AW128" s="418"/>
      <c r="AX128" s="418"/>
      <c r="AY128" s="418"/>
      <c r="AZ128" s="418"/>
      <c r="BA128" s="418"/>
      <c r="BB128" s="418"/>
      <c r="BC128" s="418"/>
      <c r="BD128" s="418"/>
      <c r="BE128" s="418"/>
      <c r="BF128" s="418"/>
      <c r="BG128" s="418"/>
      <c r="BH128" s="418"/>
      <c r="BI128" s="418"/>
      <c r="BJ128" s="418"/>
      <c r="BK128" s="418"/>
      <c r="BL128" s="418"/>
      <c r="BM128" s="418"/>
      <c r="BN128" s="418"/>
      <c r="BO128" s="418"/>
      <c r="BP128" s="418"/>
      <c r="BQ128" s="418"/>
      <c r="BR128" s="418"/>
      <c r="BS128" s="418"/>
      <c r="BT128" s="418"/>
      <c r="BU128" s="418"/>
      <c r="BV128" s="418"/>
      <c r="BW128" s="418"/>
      <c r="BX128" s="418"/>
      <c r="BY128" s="418"/>
      <c r="BZ128" s="418"/>
      <c r="CA128" s="418"/>
      <c r="CB128" s="418"/>
      <c r="CC128" s="418"/>
      <c r="CD128" s="418"/>
      <c r="CE128" s="418"/>
      <c r="CF128" s="418"/>
      <c r="CG128" s="418"/>
      <c r="CH128" s="418"/>
      <c r="CI128" s="418"/>
      <c r="CJ128" s="418"/>
      <c r="CK128" s="418"/>
      <c r="CL128" s="418"/>
      <c r="CM128" s="418"/>
      <c r="CN128" s="418"/>
      <c r="CO128" s="418"/>
      <c r="CP128" s="418"/>
      <c r="CQ128" s="418"/>
      <c r="CR128" s="418"/>
      <c r="CS128" s="418"/>
      <c r="CT128" s="418"/>
      <c r="CU128" s="418"/>
      <c r="CV128" s="418"/>
      <c r="CW128" s="418"/>
      <c r="CX128" s="418"/>
      <c r="CY128" s="418"/>
      <c r="CZ128" s="418"/>
      <c r="DA128" s="418"/>
      <c r="DB128" s="418"/>
      <c r="DC128" s="418"/>
      <c r="DD128" s="418"/>
      <c r="DE128" s="418"/>
      <c r="DF128" s="418"/>
      <c r="DG128" s="418"/>
      <c r="DH128" s="418"/>
      <c r="DI128" s="418"/>
      <c r="DJ128" s="418"/>
      <c r="DK128" s="418"/>
      <c r="DL128" s="418"/>
      <c r="DM128" s="418"/>
      <c r="DN128" s="418"/>
      <c r="DO128" s="418"/>
      <c r="DP128" s="418"/>
      <c r="DQ128" s="418"/>
      <c r="DR128" s="418"/>
      <c r="DS128" s="418"/>
      <c r="DT128" s="418"/>
      <c r="DU128" s="418"/>
      <c r="DV128" s="418"/>
      <c r="DW128" s="418"/>
      <c r="DX128" s="418"/>
      <c r="DY128" s="418"/>
      <c r="DZ128" s="418"/>
      <c r="EA128" s="418"/>
      <c r="EB128" s="418"/>
      <c r="EC128" s="418"/>
      <c r="ED128" s="418"/>
      <c r="EE128" s="418"/>
      <c r="EF128" s="418"/>
      <c r="EG128" s="418"/>
      <c r="EH128" s="418"/>
      <c r="EI128" s="418"/>
      <c r="EJ128" s="418"/>
      <c r="EK128" s="418"/>
      <c r="EL128" s="418"/>
      <c r="EM128" s="418"/>
      <c r="EN128" s="418"/>
      <c r="EO128" s="418"/>
      <c r="EP128" s="418"/>
      <c r="EQ128" s="418"/>
      <c r="ER128" s="418"/>
      <c r="ES128" s="418"/>
      <c r="ET128" s="418"/>
      <c r="EU128" s="418"/>
      <c r="EV128" s="418"/>
      <c r="EW128" s="418"/>
      <c r="EX128" s="418"/>
      <c r="EY128" s="418"/>
      <c r="EZ128" s="418"/>
      <c r="FA128" s="418"/>
      <c r="FB128" s="418"/>
      <c r="FC128" s="418"/>
      <c r="FD128" s="418"/>
      <c r="FE128" s="418"/>
      <c r="FF128" s="418"/>
      <c r="FG128" s="418"/>
      <c r="FH128" s="418"/>
      <c r="FI128" s="418"/>
      <c r="FJ128" s="418"/>
      <c r="FK128" s="418"/>
      <c r="FL128" s="418"/>
      <c r="FM128" s="418"/>
      <c r="FN128" s="418"/>
      <c r="FO128" s="418"/>
      <c r="FP128" s="418"/>
      <c r="FQ128" s="418"/>
      <c r="FR128" s="418"/>
      <c r="FS128" s="418"/>
      <c r="FT128" s="418"/>
      <c r="FU128" s="418"/>
      <c r="FV128" s="418"/>
      <c r="FW128" s="418"/>
      <c r="FX128" s="418"/>
      <c r="FY128" s="418"/>
      <c r="FZ128" s="418"/>
      <c r="GA128" s="418"/>
      <c r="GB128" s="418"/>
      <c r="GC128" s="418"/>
      <c r="GD128" s="418"/>
      <c r="GE128" s="418"/>
      <c r="GF128" s="418"/>
      <c r="GG128" s="418"/>
      <c r="GH128" s="418"/>
      <c r="GI128" s="418"/>
      <c r="GJ128" s="418"/>
      <c r="GK128" s="418"/>
      <c r="GL128" s="418"/>
      <c r="GM128" s="418"/>
      <c r="GN128" s="418"/>
      <c r="GO128" s="418"/>
      <c r="GP128" s="418"/>
      <c r="GQ128" s="418"/>
      <c r="GR128" s="418"/>
      <c r="GS128" s="418"/>
      <c r="GT128" s="418"/>
      <c r="GU128" s="418"/>
      <c r="GV128" s="418"/>
      <c r="GW128" s="418"/>
      <c r="GX128" s="418"/>
      <c r="GY128" s="418"/>
      <c r="GZ128" s="418"/>
      <c r="HA128" s="418"/>
      <c r="HB128" s="418"/>
      <c r="HC128" s="418"/>
      <c r="HD128" s="418"/>
      <c r="HE128" s="418"/>
      <c r="HF128" s="418"/>
      <c r="HG128" s="418"/>
      <c r="HH128" s="418"/>
      <c r="HI128" s="418"/>
      <c r="HJ128" s="418"/>
      <c r="HK128" s="418"/>
      <c r="HL128" s="418"/>
      <c r="HM128" s="418"/>
      <c r="HN128" s="418"/>
      <c r="HO128" s="418"/>
      <c r="HP128" s="418"/>
      <c r="HQ128" s="418"/>
      <c r="HR128" s="418"/>
      <c r="HS128" s="418"/>
      <c r="HT128" s="418"/>
      <c r="HU128" s="418"/>
      <c r="HV128" s="418"/>
      <c r="HW128" s="418"/>
      <c r="HX128" s="418"/>
      <c r="HY128" s="418"/>
      <c r="HZ128" s="418"/>
      <c r="IA128" s="418"/>
      <c r="IB128" s="418"/>
      <c r="IC128" s="418"/>
      <c r="ID128" s="418"/>
      <c r="IE128" s="418"/>
      <c r="IF128" s="418"/>
      <c r="IG128" s="418"/>
      <c r="IH128" s="418"/>
      <c r="II128" s="418"/>
      <c r="IJ128" s="418"/>
      <c r="IK128" s="418"/>
      <c r="IL128" s="418"/>
      <c r="IM128" s="418"/>
      <c r="IN128" s="418"/>
      <c r="IO128" s="418"/>
      <c r="IP128" s="418"/>
      <c r="IQ128" s="418"/>
      <c r="IR128" s="418"/>
      <c r="IS128" s="418"/>
      <c r="IT128" s="418"/>
      <c r="IU128" s="418"/>
      <c r="IV128" s="418"/>
      <c r="IW128" s="418"/>
      <c r="IX128" s="418"/>
      <c r="IY128" s="418"/>
      <c r="IZ128" s="418"/>
      <c r="JA128" s="418"/>
      <c r="JB128" s="418"/>
    </row>
    <row r="129" spans="1:262" s="758" customFormat="1" ht="18" customHeight="1" x14ac:dyDescent="0.35">
      <c r="A129" s="773">
        <v>119</v>
      </c>
      <c r="B129" s="766"/>
      <c r="C129" s="420"/>
      <c r="D129" s="576" t="s">
        <v>1158</v>
      </c>
      <c r="E129" s="430"/>
      <c r="F129" s="762"/>
      <c r="G129" s="431"/>
      <c r="H129" s="999"/>
      <c r="I129" s="995"/>
      <c r="J129" s="759"/>
      <c r="K129" s="759"/>
      <c r="L129" s="759"/>
      <c r="M129" s="1524">
        <v>0</v>
      </c>
      <c r="N129" s="1524"/>
      <c r="O129" s="1524"/>
      <c r="P129" s="767">
        <f>SUM(I129:O129)</f>
        <v>0</v>
      </c>
      <c r="Q129" s="763"/>
      <c r="R129" s="418"/>
      <c r="S129" s="418"/>
      <c r="T129" s="418"/>
      <c r="U129" s="418"/>
      <c r="V129" s="418"/>
      <c r="W129" s="418"/>
      <c r="X129" s="418"/>
      <c r="Y129" s="418"/>
      <c r="Z129" s="418"/>
      <c r="AA129" s="418"/>
      <c r="AB129" s="418"/>
      <c r="AC129" s="418"/>
      <c r="AD129" s="418"/>
      <c r="AE129" s="418"/>
      <c r="AF129" s="418"/>
      <c r="AG129" s="418"/>
      <c r="AH129" s="418"/>
      <c r="AI129" s="418"/>
      <c r="AJ129" s="418"/>
      <c r="AK129" s="418"/>
      <c r="AL129" s="418"/>
      <c r="AM129" s="418"/>
      <c r="AN129" s="418"/>
      <c r="AO129" s="418"/>
      <c r="AP129" s="418"/>
      <c r="AQ129" s="418"/>
      <c r="AR129" s="418"/>
      <c r="AS129" s="418"/>
      <c r="AT129" s="418"/>
      <c r="AU129" s="418"/>
      <c r="AV129" s="418"/>
      <c r="AW129" s="418"/>
      <c r="AX129" s="418"/>
      <c r="AY129" s="418"/>
      <c r="AZ129" s="418"/>
      <c r="BA129" s="418"/>
      <c r="BB129" s="418"/>
      <c r="BC129" s="418"/>
      <c r="BD129" s="418"/>
      <c r="BE129" s="418"/>
      <c r="BF129" s="418"/>
      <c r="BG129" s="418"/>
      <c r="BH129" s="418"/>
      <c r="BI129" s="418"/>
      <c r="BJ129" s="418"/>
      <c r="BK129" s="418"/>
      <c r="BL129" s="418"/>
      <c r="BM129" s="418"/>
      <c r="BN129" s="418"/>
      <c r="BO129" s="418"/>
      <c r="BP129" s="418"/>
      <c r="BQ129" s="418"/>
      <c r="BR129" s="418"/>
      <c r="BS129" s="418"/>
      <c r="BT129" s="418"/>
      <c r="BU129" s="418"/>
      <c r="BV129" s="418"/>
      <c r="BW129" s="418"/>
      <c r="BX129" s="418"/>
      <c r="BY129" s="418"/>
      <c r="BZ129" s="418"/>
      <c r="CA129" s="418"/>
      <c r="CB129" s="418"/>
      <c r="CC129" s="418"/>
      <c r="CD129" s="418"/>
      <c r="CE129" s="418"/>
      <c r="CF129" s="418"/>
      <c r="CG129" s="418"/>
      <c r="CH129" s="418"/>
      <c r="CI129" s="418"/>
      <c r="CJ129" s="418"/>
      <c r="CK129" s="418"/>
      <c r="CL129" s="418"/>
      <c r="CM129" s="418"/>
      <c r="CN129" s="418"/>
      <c r="CO129" s="418"/>
      <c r="CP129" s="418"/>
      <c r="CQ129" s="418"/>
      <c r="CR129" s="418"/>
      <c r="CS129" s="418"/>
      <c r="CT129" s="418"/>
      <c r="CU129" s="418"/>
      <c r="CV129" s="418"/>
      <c r="CW129" s="418"/>
      <c r="CX129" s="418"/>
      <c r="CY129" s="418"/>
      <c r="CZ129" s="418"/>
      <c r="DA129" s="418"/>
      <c r="DB129" s="418"/>
      <c r="DC129" s="418"/>
      <c r="DD129" s="418"/>
      <c r="DE129" s="418"/>
      <c r="DF129" s="418"/>
      <c r="DG129" s="418"/>
      <c r="DH129" s="418"/>
      <c r="DI129" s="418"/>
      <c r="DJ129" s="418"/>
      <c r="DK129" s="418"/>
      <c r="DL129" s="418"/>
      <c r="DM129" s="418"/>
      <c r="DN129" s="418"/>
      <c r="DO129" s="418"/>
      <c r="DP129" s="418"/>
      <c r="DQ129" s="418"/>
      <c r="DR129" s="418"/>
      <c r="DS129" s="418"/>
      <c r="DT129" s="418"/>
      <c r="DU129" s="418"/>
      <c r="DV129" s="418"/>
      <c r="DW129" s="418"/>
      <c r="DX129" s="418"/>
      <c r="DY129" s="418"/>
      <c r="DZ129" s="418"/>
      <c r="EA129" s="418"/>
      <c r="EB129" s="418"/>
      <c r="EC129" s="418"/>
      <c r="ED129" s="418"/>
      <c r="EE129" s="418"/>
      <c r="EF129" s="418"/>
      <c r="EG129" s="418"/>
      <c r="EH129" s="418"/>
      <c r="EI129" s="418"/>
      <c r="EJ129" s="418"/>
      <c r="EK129" s="418"/>
      <c r="EL129" s="418"/>
      <c r="EM129" s="418"/>
      <c r="EN129" s="418"/>
      <c r="EO129" s="418"/>
      <c r="EP129" s="418"/>
      <c r="EQ129" s="418"/>
      <c r="ER129" s="418"/>
      <c r="ES129" s="418"/>
      <c r="ET129" s="418"/>
      <c r="EU129" s="418"/>
      <c r="EV129" s="418"/>
      <c r="EW129" s="418"/>
      <c r="EX129" s="418"/>
      <c r="EY129" s="418"/>
      <c r="EZ129" s="418"/>
      <c r="FA129" s="418"/>
      <c r="FB129" s="418"/>
      <c r="FC129" s="418"/>
      <c r="FD129" s="418"/>
      <c r="FE129" s="418"/>
      <c r="FF129" s="418"/>
      <c r="FG129" s="418"/>
      <c r="FH129" s="418"/>
      <c r="FI129" s="418"/>
      <c r="FJ129" s="418"/>
      <c r="FK129" s="418"/>
      <c r="FL129" s="418"/>
      <c r="FM129" s="418"/>
      <c r="FN129" s="418"/>
      <c r="FO129" s="418"/>
      <c r="FP129" s="418"/>
      <c r="FQ129" s="418"/>
      <c r="FR129" s="418"/>
      <c r="FS129" s="418"/>
      <c r="FT129" s="418"/>
      <c r="FU129" s="418"/>
      <c r="FV129" s="418"/>
      <c r="FW129" s="418"/>
      <c r="FX129" s="418"/>
      <c r="FY129" s="418"/>
      <c r="FZ129" s="418"/>
      <c r="GA129" s="418"/>
      <c r="GB129" s="418"/>
      <c r="GC129" s="418"/>
      <c r="GD129" s="418"/>
      <c r="GE129" s="418"/>
      <c r="GF129" s="418"/>
      <c r="GG129" s="418"/>
      <c r="GH129" s="418"/>
      <c r="GI129" s="418"/>
      <c r="GJ129" s="418"/>
      <c r="GK129" s="418"/>
      <c r="GL129" s="418"/>
      <c r="GM129" s="418"/>
      <c r="GN129" s="418"/>
      <c r="GO129" s="418"/>
      <c r="GP129" s="418"/>
      <c r="GQ129" s="418"/>
      <c r="GR129" s="418"/>
      <c r="GS129" s="418"/>
      <c r="GT129" s="418"/>
      <c r="GU129" s="418"/>
      <c r="GV129" s="418"/>
      <c r="GW129" s="418"/>
      <c r="GX129" s="418"/>
      <c r="GY129" s="418"/>
      <c r="GZ129" s="418"/>
      <c r="HA129" s="418"/>
      <c r="HB129" s="418"/>
      <c r="HC129" s="418"/>
      <c r="HD129" s="418"/>
      <c r="HE129" s="418"/>
      <c r="HF129" s="418"/>
      <c r="HG129" s="418"/>
      <c r="HH129" s="418"/>
      <c r="HI129" s="418"/>
      <c r="HJ129" s="418"/>
      <c r="HK129" s="418"/>
      <c r="HL129" s="418"/>
      <c r="HM129" s="418"/>
      <c r="HN129" s="418"/>
      <c r="HO129" s="418"/>
      <c r="HP129" s="418"/>
      <c r="HQ129" s="418"/>
      <c r="HR129" s="418"/>
      <c r="HS129" s="418"/>
      <c r="HT129" s="418"/>
      <c r="HU129" s="418"/>
      <c r="HV129" s="418"/>
      <c r="HW129" s="418"/>
      <c r="HX129" s="418"/>
      <c r="HY129" s="418"/>
      <c r="HZ129" s="418"/>
      <c r="IA129" s="418"/>
      <c r="IB129" s="418"/>
      <c r="IC129" s="418"/>
      <c r="ID129" s="418"/>
      <c r="IE129" s="418"/>
      <c r="IF129" s="418"/>
      <c r="IG129" s="418"/>
      <c r="IH129" s="418"/>
      <c r="II129" s="418"/>
      <c r="IJ129" s="418"/>
      <c r="IK129" s="418"/>
      <c r="IL129" s="418"/>
      <c r="IM129" s="418"/>
      <c r="IN129" s="418"/>
      <c r="IO129" s="418"/>
      <c r="IP129" s="418"/>
      <c r="IQ129" s="418"/>
      <c r="IR129" s="418"/>
      <c r="IS129" s="418"/>
      <c r="IT129" s="418"/>
      <c r="IU129" s="418"/>
      <c r="IV129" s="418"/>
      <c r="IW129" s="418"/>
      <c r="IX129" s="418"/>
      <c r="IY129" s="418"/>
      <c r="IZ129" s="418"/>
      <c r="JA129" s="418"/>
      <c r="JB129" s="418"/>
    </row>
    <row r="130" spans="1:262" s="758" customFormat="1" ht="18" customHeight="1" x14ac:dyDescent="0.35">
      <c r="A130" s="773">
        <v>120</v>
      </c>
      <c r="B130" s="766"/>
      <c r="C130" s="420"/>
      <c r="D130" s="1318" t="s">
        <v>947</v>
      </c>
      <c r="E130" s="430"/>
      <c r="F130" s="762"/>
      <c r="G130" s="431"/>
      <c r="H130" s="999"/>
      <c r="I130" s="995"/>
      <c r="J130" s="759"/>
      <c r="K130" s="759"/>
      <c r="L130" s="759"/>
      <c r="M130" s="759"/>
      <c r="N130" s="759"/>
      <c r="O130" s="759"/>
      <c r="P130" s="767">
        <f t="shared" ref="P130:P131" si="11">SUM(I130:O130)</f>
        <v>0</v>
      </c>
      <c r="Q130" s="763"/>
      <c r="R130" s="418"/>
      <c r="S130" s="418"/>
      <c r="T130" s="418"/>
      <c r="U130" s="418"/>
      <c r="V130" s="418"/>
      <c r="W130" s="418"/>
      <c r="X130" s="418"/>
      <c r="Y130" s="418"/>
      <c r="Z130" s="418"/>
      <c r="AA130" s="418"/>
      <c r="AB130" s="418"/>
      <c r="AC130" s="418"/>
      <c r="AD130" s="418"/>
      <c r="AE130" s="418"/>
      <c r="AF130" s="418"/>
      <c r="AG130" s="418"/>
      <c r="AH130" s="418"/>
      <c r="AI130" s="418"/>
      <c r="AJ130" s="418"/>
      <c r="AK130" s="418"/>
      <c r="AL130" s="418"/>
      <c r="AM130" s="418"/>
      <c r="AN130" s="418"/>
      <c r="AO130" s="418"/>
      <c r="AP130" s="418"/>
      <c r="AQ130" s="418"/>
      <c r="AR130" s="418"/>
      <c r="AS130" s="418"/>
      <c r="AT130" s="418"/>
      <c r="AU130" s="418"/>
      <c r="AV130" s="418"/>
      <c r="AW130" s="418"/>
      <c r="AX130" s="418"/>
      <c r="AY130" s="418"/>
      <c r="AZ130" s="418"/>
      <c r="BA130" s="418"/>
      <c r="BB130" s="418"/>
      <c r="BC130" s="418"/>
      <c r="BD130" s="418"/>
      <c r="BE130" s="418"/>
      <c r="BF130" s="418"/>
      <c r="BG130" s="418"/>
      <c r="BH130" s="418"/>
      <c r="BI130" s="418"/>
      <c r="BJ130" s="418"/>
      <c r="BK130" s="418"/>
      <c r="BL130" s="418"/>
      <c r="BM130" s="418"/>
      <c r="BN130" s="418"/>
      <c r="BO130" s="418"/>
      <c r="BP130" s="418"/>
      <c r="BQ130" s="418"/>
      <c r="BR130" s="418"/>
      <c r="BS130" s="418"/>
      <c r="BT130" s="418"/>
      <c r="BU130" s="418"/>
      <c r="BV130" s="418"/>
      <c r="BW130" s="418"/>
      <c r="BX130" s="418"/>
      <c r="BY130" s="418"/>
      <c r="BZ130" s="418"/>
      <c r="CA130" s="418"/>
      <c r="CB130" s="418"/>
      <c r="CC130" s="418"/>
      <c r="CD130" s="418"/>
      <c r="CE130" s="418"/>
      <c r="CF130" s="418"/>
      <c r="CG130" s="418"/>
      <c r="CH130" s="418"/>
      <c r="CI130" s="418"/>
      <c r="CJ130" s="418"/>
      <c r="CK130" s="418"/>
      <c r="CL130" s="418"/>
      <c r="CM130" s="418"/>
      <c r="CN130" s="418"/>
      <c r="CO130" s="418"/>
      <c r="CP130" s="418"/>
      <c r="CQ130" s="418"/>
      <c r="CR130" s="418"/>
      <c r="CS130" s="418"/>
      <c r="CT130" s="418"/>
      <c r="CU130" s="418"/>
      <c r="CV130" s="418"/>
      <c r="CW130" s="418"/>
      <c r="CX130" s="418"/>
      <c r="CY130" s="418"/>
      <c r="CZ130" s="418"/>
      <c r="DA130" s="418"/>
      <c r="DB130" s="418"/>
      <c r="DC130" s="418"/>
      <c r="DD130" s="418"/>
      <c r="DE130" s="418"/>
      <c r="DF130" s="418"/>
      <c r="DG130" s="418"/>
      <c r="DH130" s="418"/>
      <c r="DI130" s="418"/>
      <c r="DJ130" s="418"/>
      <c r="DK130" s="418"/>
      <c r="DL130" s="418"/>
      <c r="DM130" s="418"/>
      <c r="DN130" s="418"/>
      <c r="DO130" s="418"/>
      <c r="DP130" s="418"/>
      <c r="DQ130" s="418"/>
      <c r="DR130" s="418"/>
      <c r="DS130" s="418"/>
      <c r="DT130" s="418"/>
      <c r="DU130" s="418"/>
      <c r="DV130" s="418"/>
      <c r="DW130" s="418"/>
      <c r="DX130" s="418"/>
      <c r="DY130" s="418"/>
      <c r="DZ130" s="418"/>
      <c r="EA130" s="418"/>
      <c r="EB130" s="418"/>
      <c r="EC130" s="418"/>
      <c r="ED130" s="418"/>
      <c r="EE130" s="418"/>
      <c r="EF130" s="418"/>
      <c r="EG130" s="418"/>
      <c r="EH130" s="418"/>
      <c r="EI130" s="418"/>
      <c r="EJ130" s="418"/>
      <c r="EK130" s="418"/>
      <c r="EL130" s="418"/>
      <c r="EM130" s="418"/>
      <c r="EN130" s="418"/>
      <c r="EO130" s="418"/>
      <c r="EP130" s="418"/>
      <c r="EQ130" s="418"/>
      <c r="ER130" s="418"/>
      <c r="ES130" s="418"/>
      <c r="ET130" s="418"/>
      <c r="EU130" s="418"/>
      <c r="EV130" s="418"/>
      <c r="EW130" s="418"/>
      <c r="EX130" s="418"/>
      <c r="EY130" s="418"/>
      <c r="EZ130" s="418"/>
      <c r="FA130" s="418"/>
      <c r="FB130" s="418"/>
      <c r="FC130" s="418"/>
      <c r="FD130" s="418"/>
      <c r="FE130" s="418"/>
      <c r="FF130" s="418"/>
      <c r="FG130" s="418"/>
      <c r="FH130" s="418"/>
      <c r="FI130" s="418"/>
      <c r="FJ130" s="418"/>
      <c r="FK130" s="418"/>
      <c r="FL130" s="418"/>
      <c r="FM130" s="418"/>
      <c r="FN130" s="418"/>
      <c r="FO130" s="418"/>
      <c r="FP130" s="418"/>
      <c r="FQ130" s="418"/>
      <c r="FR130" s="418"/>
      <c r="FS130" s="418"/>
      <c r="FT130" s="418"/>
      <c r="FU130" s="418"/>
      <c r="FV130" s="418"/>
      <c r="FW130" s="418"/>
      <c r="FX130" s="418"/>
      <c r="FY130" s="418"/>
      <c r="FZ130" s="418"/>
      <c r="GA130" s="418"/>
      <c r="GB130" s="418"/>
      <c r="GC130" s="418"/>
      <c r="GD130" s="418"/>
      <c r="GE130" s="418"/>
      <c r="GF130" s="418"/>
      <c r="GG130" s="418"/>
      <c r="GH130" s="418"/>
      <c r="GI130" s="418"/>
      <c r="GJ130" s="418"/>
      <c r="GK130" s="418"/>
      <c r="GL130" s="418"/>
      <c r="GM130" s="418"/>
      <c r="GN130" s="418"/>
      <c r="GO130" s="418"/>
      <c r="GP130" s="418"/>
      <c r="GQ130" s="418"/>
      <c r="GR130" s="418"/>
      <c r="GS130" s="418"/>
      <c r="GT130" s="418"/>
      <c r="GU130" s="418"/>
      <c r="GV130" s="418"/>
      <c r="GW130" s="418"/>
      <c r="GX130" s="418"/>
      <c r="GY130" s="418"/>
      <c r="GZ130" s="418"/>
      <c r="HA130" s="418"/>
      <c r="HB130" s="418"/>
      <c r="HC130" s="418"/>
      <c r="HD130" s="418"/>
      <c r="HE130" s="418"/>
      <c r="HF130" s="418"/>
      <c r="HG130" s="418"/>
      <c r="HH130" s="418"/>
      <c r="HI130" s="418"/>
      <c r="HJ130" s="418"/>
      <c r="HK130" s="418"/>
      <c r="HL130" s="418"/>
      <c r="HM130" s="418"/>
      <c r="HN130" s="418"/>
      <c r="HO130" s="418"/>
      <c r="HP130" s="418"/>
      <c r="HQ130" s="418"/>
      <c r="HR130" s="418"/>
      <c r="HS130" s="418"/>
      <c r="HT130" s="418"/>
      <c r="HU130" s="418"/>
      <c r="HV130" s="418"/>
      <c r="HW130" s="418"/>
      <c r="HX130" s="418"/>
      <c r="HY130" s="418"/>
      <c r="HZ130" s="418"/>
      <c r="IA130" s="418"/>
      <c r="IB130" s="418"/>
      <c r="IC130" s="418"/>
      <c r="ID130" s="418"/>
      <c r="IE130" s="418"/>
      <c r="IF130" s="418"/>
      <c r="IG130" s="418"/>
      <c r="IH130" s="418"/>
      <c r="II130" s="418"/>
      <c r="IJ130" s="418"/>
      <c r="IK130" s="418"/>
      <c r="IL130" s="418"/>
      <c r="IM130" s="418"/>
      <c r="IN130" s="418"/>
      <c r="IO130" s="418"/>
      <c r="IP130" s="418"/>
      <c r="IQ130" s="418"/>
      <c r="IR130" s="418"/>
      <c r="IS130" s="418"/>
      <c r="IT130" s="418"/>
      <c r="IU130" s="418"/>
      <c r="IV130" s="418"/>
      <c r="IW130" s="418"/>
      <c r="IX130" s="418"/>
      <c r="IY130" s="418"/>
      <c r="IZ130" s="418"/>
      <c r="JA130" s="418"/>
      <c r="JB130" s="418"/>
    </row>
    <row r="131" spans="1:262" s="758" customFormat="1" ht="18" customHeight="1" x14ac:dyDescent="0.35">
      <c r="A131" s="773">
        <v>121</v>
      </c>
      <c r="B131" s="766"/>
      <c r="C131" s="420"/>
      <c r="D131" s="576" t="s">
        <v>1250</v>
      </c>
      <c r="E131" s="430"/>
      <c r="F131" s="762"/>
      <c r="G131" s="431"/>
      <c r="H131" s="999"/>
      <c r="I131" s="995"/>
      <c r="J131" s="759"/>
      <c r="K131" s="759"/>
      <c r="L131" s="759"/>
      <c r="M131" s="759">
        <f>SUM(M129:M130)</f>
        <v>0</v>
      </c>
      <c r="N131" s="759"/>
      <c r="O131" s="759"/>
      <c r="P131" s="767">
        <f t="shared" si="11"/>
        <v>0</v>
      </c>
      <c r="Q131" s="763"/>
      <c r="R131" s="418"/>
      <c r="S131" s="418"/>
      <c r="T131" s="418"/>
      <c r="U131" s="418"/>
      <c r="V131" s="418"/>
      <c r="W131" s="418"/>
      <c r="X131" s="418"/>
      <c r="Y131" s="418"/>
      <c r="Z131" s="418"/>
      <c r="AA131" s="418"/>
      <c r="AB131" s="418"/>
      <c r="AC131" s="418"/>
      <c r="AD131" s="418"/>
      <c r="AE131" s="418"/>
      <c r="AF131" s="418"/>
      <c r="AG131" s="418"/>
      <c r="AH131" s="418"/>
      <c r="AI131" s="418"/>
      <c r="AJ131" s="418"/>
      <c r="AK131" s="418"/>
      <c r="AL131" s="418"/>
      <c r="AM131" s="418"/>
      <c r="AN131" s="418"/>
      <c r="AO131" s="418"/>
      <c r="AP131" s="418"/>
      <c r="AQ131" s="418"/>
      <c r="AR131" s="418"/>
      <c r="AS131" s="418"/>
      <c r="AT131" s="418"/>
      <c r="AU131" s="418"/>
      <c r="AV131" s="418"/>
      <c r="AW131" s="418"/>
      <c r="AX131" s="418"/>
      <c r="AY131" s="418"/>
      <c r="AZ131" s="418"/>
      <c r="BA131" s="418"/>
      <c r="BB131" s="418"/>
      <c r="BC131" s="418"/>
      <c r="BD131" s="418"/>
      <c r="BE131" s="418"/>
      <c r="BF131" s="418"/>
      <c r="BG131" s="418"/>
      <c r="BH131" s="418"/>
      <c r="BI131" s="418"/>
      <c r="BJ131" s="418"/>
      <c r="BK131" s="418"/>
      <c r="BL131" s="418"/>
      <c r="BM131" s="418"/>
      <c r="BN131" s="418"/>
      <c r="BO131" s="418"/>
      <c r="BP131" s="418"/>
      <c r="BQ131" s="418"/>
      <c r="BR131" s="418"/>
      <c r="BS131" s="418"/>
      <c r="BT131" s="418"/>
      <c r="BU131" s="418"/>
      <c r="BV131" s="418"/>
      <c r="BW131" s="418"/>
      <c r="BX131" s="418"/>
      <c r="BY131" s="418"/>
      <c r="BZ131" s="418"/>
      <c r="CA131" s="418"/>
      <c r="CB131" s="418"/>
      <c r="CC131" s="418"/>
      <c r="CD131" s="418"/>
      <c r="CE131" s="418"/>
      <c r="CF131" s="418"/>
      <c r="CG131" s="418"/>
      <c r="CH131" s="418"/>
      <c r="CI131" s="418"/>
      <c r="CJ131" s="418"/>
      <c r="CK131" s="418"/>
      <c r="CL131" s="418"/>
      <c r="CM131" s="418"/>
      <c r="CN131" s="418"/>
      <c r="CO131" s="418"/>
      <c r="CP131" s="418"/>
      <c r="CQ131" s="418"/>
      <c r="CR131" s="418"/>
      <c r="CS131" s="418"/>
      <c r="CT131" s="418"/>
      <c r="CU131" s="418"/>
      <c r="CV131" s="418"/>
      <c r="CW131" s="418"/>
      <c r="CX131" s="418"/>
      <c r="CY131" s="418"/>
      <c r="CZ131" s="418"/>
      <c r="DA131" s="418"/>
      <c r="DB131" s="418"/>
      <c r="DC131" s="418"/>
      <c r="DD131" s="418"/>
      <c r="DE131" s="418"/>
      <c r="DF131" s="418"/>
      <c r="DG131" s="418"/>
      <c r="DH131" s="418"/>
      <c r="DI131" s="418"/>
      <c r="DJ131" s="418"/>
      <c r="DK131" s="418"/>
      <c r="DL131" s="418"/>
      <c r="DM131" s="418"/>
      <c r="DN131" s="418"/>
      <c r="DO131" s="418"/>
      <c r="DP131" s="418"/>
      <c r="DQ131" s="418"/>
      <c r="DR131" s="418"/>
      <c r="DS131" s="418"/>
      <c r="DT131" s="418"/>
      <c r="DU131" s="418"/>
      <c r="DV131" s="418"/>
      <c r="DW131" s="418"/>
      <c r="DX131" s="418"/>
      <c r="DY131" s="418"/>
      <c r="DZ131" s="418"/>
      <c r="EA131" s="418"/>
      <c r="EB131" s="418"/>
      <c r="EC131" s="418"/>
      <c r="ED131" s="418"/>
      <c r="EE131" s="418"/>
      <c r="EF131" s="418"/>
      <c r="EG131" s="418"/>
      <c r="EH131" s="418"/>
      <c r="EI131" s="418"/>
      <c r="EJ131" s="418"/>
      <c r="EK131" s="418"/>
      <c r="EL131" s="418"/>
      <c r="EM131" s="418"/>
      <c r="EN131" s="418"/>
      <c r="EO131" s="418"/>
      <c r="EP131" s="418"/>
      <c r="EQ131" s="418"/>
      <c r="ER131" s="418"/>
      <c r="ES131" s="418"/>
      <c r="ET131" s="418"/>
      <c r="EU131" s="418"/>
      <c r="EV131" s="418"/>
      <c r="EW131" s="418"/>
      <c r="EX131" s="418"/>
      <c r="EY131" s="418"/>
      <c r="EZ131" s="418"/>
      <c r="FA131" s="418"/>
      <c r="FB131" s="418"/>
      <c r="FC131" s="418"/>
      <c r="FD131" s="418"/>
      <c r="FE131" s="418"/>
      <c r="FF131" s="418"/>
      <c r="FG131" s="418"/>
      <c r="FH131" s="418"/>
      <c r="FI131" s="418"/>
      <c r="FJ131" s="418"/>
      <c r="FK131" s="418"/>
      <c r="FL131" s="418"/>
      <c r="FM131" s="418"/>
      <c r="FN131" s="418"/>
      <c r="FO131" s="418"/>
      <c r="FP131" s="418"/>
      <c r="FQ131" s="418"/>
      <c r="FR131" s="418"/>
      <c r="FS131" s="418"/>
      <c r="FT131" s="418"/>
      <c r="FU131" s="418"/>
      <c r="FV131" s="418"/>
      <c r="FW131" s="418"/>
      <c r="FX131" s="418"/>
      <c r="FY131" s="418"/>
      <c r="FZ131" s="418"/>
      <c r="GA131" s="418"/>
      <c r="GB131" s="418"/>
      <c r="GC131" s="418"/>
      <c r="GD131" s="418"/>
      <c r="GE131" s="418"/>
      <c r="GF131" s="418"/>
      <c r="GG131" s="418"/>
      <c r="GH131" s="418"/>
      <c r="GI131" s="418"/>
      <c r="GJ131" s="418"/>
      <c r="GK131" s="418"/>
      <c r="GL131" s="418"/>
      <c r="GM131" s="418"/>
      <c r="GN131" s="418"/>
      <c r="GO131" s="418"/>
      <c r="GP131" s="418"/>
      <c r="GQ131" s="418"/>
      <c r="GR131" s="418"/>
      <c r="GS131" s="418"/>
      <c r="GT131" s="418"/>
      <c r="GU131" s="418"/>
      <c r="GV131" s="418"/>
      <c r="GW131" s="418"/>
      <c r="GX131" s="418"/>
      <c r="GY131" s="418"/>
      <c r="GZ131" s="418"/>
      <c r="HA131" s="418"/>
      <c r="HB131" s="418"/>
      <c r="HC131" s="418"/>
      <c r="HD131" s="418"/>
      <c r="HE131" s="418"/>
      <c r="HF131" s="418"/>
      <c r="HG131" s="418"/>
      <c r="HH131" s="418"/>
      <c r="HI131" s="418"/>
      <c r="HJ131" s="418"/>
      <c r="HK131" s="418"/>
      <c r="HL131" s="418"/>
      <c r="HM131" s="418"/>
      <c r="HN131" s="418"/>
      <c r="HO131" s="418"/>
      <c r="HP131" s="418"/>
      <c r="HQ131" s="418"/>
      <c r="HR131" s="418"/>
      <c r="HS131" s="418"/>
      <c r="HT131" s="418"/>
      <c r="HU131" s="418"/>
      <c r="HV131" s="418"/>
      <c r="HW131" s="418"/>
      <c r="HX131" s="418"/>
      <c r="HY131" s="418"/>
      <c r="HZ131" s="418"/>
      <c r="IA131" s="418"/>
      <c r="IB131" s="418"/>
      <c r="IC131" s="418"/>
      <c r="ID131" s="418"/>
      <c r="IE131" s="418"/>
      <c r="IF131" s="418"/>
      <c r="IG131" s="418"/>
      <c r="IH131" s="418"/>
      <c r="II131" s="418"/>
      <c r="IJ131" s="418"/>
      <c r="IK131" s="418"/>
      <c r="IL131" s="418"/>
      <c r="IM131" s="418"/>
      <c r="IN131" s="418"/>
      <c r="IO131" s="418"/>
      <c r="IP131" s="418"/>
      <c r="IQ131" s="418"/>
      <c r="IR131" s="418"/>
      <c r="IS131" s="418"/>
      <c r="IT131" s="418"/>
      <c r="IU131" s="418"/>
      <c r="IV131" s="418"/>
      <c r="IW131" s="418"/>
      <c r="IX131" s="418"/>
      <c r="IY131" s="418"/>
      <c r="IZ131" s="418"/>
      <c r="JA131" s="418"/>
      <c r="JB131" s="418"/>
    </row>
    <row r="132" spans="1:262" ht="22.5" customHeight="1" x14ac:dyDescent="0.35">
      <c r="A132" s="773">
        <v>122</v>
      </c>
      <c r="B132" s="618"/>
      <c r="C132" s="464"/>
      <c r="D132" s="770" t="s">
        <v>935</v>
      </c>
      <c r="E132" s="430"/>
      <c r="F132" s="762"/>
      <c r="G132" s="431"/>
      <c r="H132" s="999"/>
      <c r="I132" s="995"/>
      <c r="J132" s="759"/>
      <c r="K132" s="759"/>
      <c r="L132" s="759"/>
      <c r="M132" s="1013"/>
      <c r="N132" s="759"/>
      <c r="O132" s="759"/>
      <c r="P132" s="767"/>
      <c r="Q132" s="763"/>
    </row>
    <row r="133" spans="1:262" ht="18" customHeight="1" x14ac:dyDescent="0.35">
      <c r="A133" s="773">
        <v>123</v>
      </c>
      <c r="B133" s="618"/>
      <c r="C133" s="464"/>
      <c r="D133" s="992" t="s">
        <v>308</v>
      </c>
      <c r="E133" s="430"/>
      <c r="F133" s="762"/>
      <c r="G133" s="431"/>
      <c r="H133" s="999"/>
      <c r="I133" s="995"/>
      <c r="J133" s="759"/>
      <c r="K133" s="759"/>
      <c r="L133" s="759"/>
      <c r="M133" s="989">
        <v>10000</v>
      </c>
      <c r="N133" s="759"/>
      <c r="O133" s="759"/>
      <c r="P133" s="982">
        <f>SUM(I133:O133)</f>
        <v>10000</v>
      </c>
      <c r="Q133" s="763"/>
    </row>
    <row r="134" spans="1:262" ht="18" customHeight="1" x14ac:dyDescent="0.35">
      <c r="A134" s="773">
        <v>124</v>
      </c>
      <c r="B134" s="618"/>
      <c r="C134" s="464"/>
      <c r="D134" s="576" t="s">
        <v>1158</v>
      </c>
      <c r="E134" s="430"/>
      <c r="F134" s="762"/>
      <c r="G134" s="431"/>
      <c r="H134" s="999"/>
      <c r="I134" s="995"/>
      <c r="J134" s="759"/>
      <c r="K134" s="759"/>
      <c r="L134" s="759"/>
      <c r="M134" s="1524">
        <v>0</v>
      </c>
      <c r="N134" s="1524"/>
      <c r="O134" s="1524"/>
      <c r="P134" s="767">
        <f>SUM(I134:O134)</f>
        <v>0</v>
      </c>
      <c r="Q134" s="763"/>
    </row>
    <row r="135" spans="1:262" ht="18" customHeight="1" x14ac:dyDescent="0.35">
      <c r="A135" s="773">
        <v>125</v>
      </c>
      <c r="B135" s="618"/>
      <c r="C135" s="464"/>
      <c r="D135" s="1318" t="s">
        <v>947</v>
      </c>
      <c r="E135" s="430"/>
      <c r="F135" s="762"/>
      <c r="G135" s="431"/>
      <c r="H135" s="999"/>
      <c r="I135" s="995"/>
      <c r="J135" s="759"/>
      <c r="K135" s="759"/>
      <c r="L135" s="759"/>
      <c r="M135" s="759"/>
      <c r="N135" s="759"/>
      <c r="O135" s="759"/>
      <c r="P135" s="767">
        <f t="shared" ref="P135:P136" si="12">SUM(I135:O135)</f>
        <v>0</v>
      </c>
      <c r="Q135" s="763"/>
    </row>
    <row r="136" spans="1:262" ht="18" customHeight="1" x14ac:dyDescent="0.35">
      <c r="A136" s="773">
        <v>126</v>
      </c>
      <c r="B136" s="618"/>
      <c r="C136" s="464"/>
      <c r="D136" s="576" t="s">
        <v>1250</v>
      </c>
      <c r="E136" s="430"/>
      <c r="F136" s="762"/>
      <c r="G136" s="431"/>
      <c r="H136" s="999"/>
      <c r="I136" s="995"/>
      <c r="J136" s="759"/>
      <c r="K136" s="759"/>
      <c r="L136" s="759"/>
      <c r="M136" s="759">
        <f>SUM(M134:M135)</f>
        <v>0</v>
      </c>
      <c r="N136" s="759"/>
      <c r="O136" s="759"/>
      <c r="P136" s="767">
        <f t="shared" si="12"/>
        <v>0</v>
      </c>
      <c r="Q136" s="763"/>
    </row>
    <row r="137" spans="1:262" s="758" customFormat="1" ht="22.5" customHeight="1" x14ac:dyDescent="0.35">
      <c r="A137" s="773">
        <v>127</v>
      </c>
      <c r="B137" s="766"/>
      <c r="C137" s="464"/>
      <c r="D137" s="1244" t="s">
        <v>700</v>
      </c>
      <c r="E137" s="430"/>
      <c r="F137" s="762"/>
      <c r="G137" s="431"/>
      <c r="H137" s="999"/>
      <c r="I137" s="995"/>
      <c r="J137" s="759"/>
      <c r="K137" s="759"/>
      <c r="L137" s="759"/>
      <c r="M137" s="1013"/>
      <c r="N137" s="759"/>
      <c r="O137" s="759"/>
      <c r="P137" s="767"/>
      <c r="Q137" s="763"/>
      <c r="R137" s="418"/>
      <c r="S137" s="418"/>
      <c r="T137" s="418"/>
      <c r="U137" s="418"/>
      <c r="V137" s="418"/>
      <c r="W137" s="418"/>
      <c r="X137" s="418"/>
      <c r="Y137" s="418"/>
      <c r="Z137" s="418"/>
      <c r="AA137" s="418"/>
      <c r="AB137" s="418"/>
      <c r="AC137" s="418"/>
      <c r="AD137" s="418"/>
      <c r="AE137" s="418"/>
      <c r="AF137" s="418"/>
      <c r="AG137" s="418"/>
      <c r="AH137" s="418"/>
      <c r="AI137" s="418"/>
      <c r="AJ137" s="418"/>
      <c r="AK137" s="418"/>
      <c r="AL137" s="418"/>
      <c r="AM137" s="418"/>
      <c r="AN137" s="418"/>
      <c r="AO137" s="418"/>
      <c r="AP137" s="418"/>
      <c r="AQ137" s="418"/>
      <c r="AR137" s="418"/>
      <c r="AS137" s="418"/>
      <c r="AT137" s="418"/>
      <c r="AU137" s="418"/>
      <c r="AV137" s="418"/>
      <c r="AW137" s="418"/>
      <c r="AX137" s="418"/>
      <c r="AY137" s="418"/>
      <c r="AZ137" s="418"/>
      <c r="BA137" s="418"/>
      <c r="BB137" s="418"/>
      <c r="BC137" s="418"/>
      <c r="BD137" s="418"/>
      <c r="BE137" s="418"/>
      <c r="BF137" s="418"/>
      <c r="BG137" s="418"/>
      <c r="BH137" s="418"/>
      <c r="BI137" s="418"/>
      <c r="BJ137" s="418"/>
      <c r="BK137" s="418"/>
      <c r="BL137" s="418"/>
      <c r="BM137" s="418"/>
      <c r="BN137" s="418"/>
      <c r="BO137" s="418"/>
      <c r="BP137" s="418"/>
      <c r="BQ137" s="418"/>
      <c r="BR137" s="418"/>
      <c r="BS137" s="418"/>
      <c r="BT137" s="418"/>
      <c r="BU137" s="418"/>
      <c r="BV137" s="418"/>
      <c r="BW137" s="418"/>
      <c r="BX137" s="418"/>
      <c r="BY137" s="418"/>
      <c r="BZ137" s="418"/>
      <c r="CA137" s="418"/>
      <c r="CB137" s="418"/>
      <c r="CC137" s="418"/>
      <c r="CD137" s="418"/>
      <c r="CE137" s="418"/>
      <c r="CF137" s="418"/>
      <c r="CG137" s="418"/>
      <c r="CH137" s="418"/>
      <c r="CI137" s="418"/>
      <c r="CJ137" s="418"/>
      <c r="CK137" s="418"/>
      <c r="CL137" s="418"/>
      <c r="CM137" s="418"/>
      <c r="CN137" s="418"/>
      <c r="CO137" s="418"/>
      <c r="CP137" s="418"/>
      <c r="CQ137" s="418"/>
      <c r="CR137" s="418"/>
      <c r="CS137" s="418"/>
      <c r="CT137" s="418"/>
      <c r="CU137" s="418"/>
      <c r="CV137" s="418"/>
      <c r="CW137" s="418"/>
      <c r="CX137" s="418"/>
      <c r="CY137" s="418"/>
      <c r="CZ137" s="418"/>
      <c r="DA137" s="418"/>
      <c r="DB137" s="418"/>
      <c r="DC137" s="418"/>
      <c r="DD137" s="418"/>
      <c r="DE137" s="418"/>
      <c r="DF137" s="418"/>
      <c r="DG137" s="418"/>
      <c r="DH137" s="418"/>
      <c r="DI137" s="418"/>
      <c r="DJ137" s="418"/>
      <c r="DK137" s="418"/>
      <c r="DL137" s="418"/>
      <c r="DM137" s="418"/>
      <c r="DN137" s="418"/>
      <c r="DO137" s="418"/>
      <c r="DP137" s="418"/>
      <c r="DQ137" s="418"/>
      <c r="DR137" s="418"/>
      <c r="DS137" s="418"/>
      <c r="DT137" s="418"/>
      <c r="DU137" s="418"/>
      <c r="DV137" s="418"/>
      <c r="DW137" s="418"/>
      <c r="DX137" s="418"/>
      <c r="DY137" s="418"/>
      <c r="DZ137" s="418"/>
      <c r="EA137" s="418"/>
      <c r="EB137" s="418"/>
      <c r="EC137" s="418"/>
      <c r="ED137" s="418"/>
      <c r="EE137" s="418"/>
      <c r="EF137" s="418"/>
      <c r="EG137" s="418"/>
      <c r="EH137" s="418"/>
      <c r="EI137" s="418"/>
      <c r="EJ137" s="418"/>
      <c r="EK137" s="418"/>
      <c r="EL137" s="418"/>
      <c r="EM137" s="418"/>
      <c r="EN137" s="418"/>
      <c r="EO137" s="418"/>
      <c r="EP137" s="418"/>
      <c r="EQ137" s="418"/>
      <c r="ER137" s="418"/>
      <c r="ES137" s="418"/>
      <c r="ET137" s="418"/>
      <c r="EU137" s="418"/>
      <c r="EV137" s="418"/>
      <c r="EW137" s="418"/>
      <c r="EX137" s="418"/>
      <c r="EY137" s="418"/>
      <c r="EZ137" s="418"/>
      <c r="FA137" s="418"/>
      <c r="FB137" s="418"/>
      <c r="FC137" s="418"/>
      <c r="FD137" s="418"/>
      <c r="FE137" s="418"/>
      <c r="FF137" s="418"/>
      <c r="FG137" s="418"/>
      <c r="FH137" s="418"/>
      <c r="FI137" s="418"/>
      <c r="FJ137" s="418"/>
      <c r="FK137" s="418"/>
      <c r="FL137" s="418"/>
      <c r="FM137" s="418"/>
      <c r="FN137" s="418"/>
      <c r="FO137" s="418"/>
      <c r="FP137" s="418"/>
      <c r="FQ137" s="418"/>
      <c r="FR137" s="418"/>
      <c r="FS137" s="418"/>
      <c r="FT137" s="418"/>
      <c r="FU137" s="418"/>
      <c r="FV137" s="418"/>
      <c r="FW137" s="418"/>
      <c r="FX137" s="418"/>
      <c r="FY137" s="418"/>
      <c r="FZ137" s="418"/>
      <c r="GA137" s="418"/>
      <c r="GB137" s="418"/>
      <c r="GC137" s="418"/>
      <c r="GD137" s="418"/>
      <c r="GE137" s="418"/>
      <c r="GF137" s="418"/>
      <c r="GG137" s="418"/>
      <c r="GH137" s="418"/>
      <c r="GI137" s="418"/>
      <c r="GJ137" s="418"/>
      <c r="GK137" s="418"/>
      <c r="GL137" s="418"/>
      <c r="GM137" s="418"/>
      <c r="GN137" s="418"/>
      <c r="GO137" s="418"/>
      <c r="GP137" s="418"/>
      <c r="GQ137" s="418"/>
      <c r="GR137" s="418"/>
      <c r="GS137" s="418"/>
      <c r="GT137" s="418"/>
      <c r="GU137" s="418"/>
      <c r="GV137" s="418"/>
      <c r="GW137" s="418"/>
      <c r="GX137" s="418"/>
      <c r="GY137" s="418"/>
      <c r="GZ137" s="418"/>
      <c r="HA137" s="418"/>
      <c r="HB137" s="418"/>
      <c r="HC137" s="418"/>
      <c r="HD137" s="418"/>
      <c r="HE137" s="418"/>
      <c r="HF137" s="418"/>
      <c r="HG137" s="418"/>
      <c r="HH137" s="418"/>
      <c r="HI137" s="418"/>
      <c r="HJ137" s="418"/>
      <c r="HK137" s="418"/>
      <c r="HL137" s="418"/>
      <c r="HM137" s="418"/>
      <c r="HN137" s="418"/>
      <c r="HO137" s="418"/>
      <c r="HP137" s="418"/>
      <c r="HQ137" s="418"/>
      <c r="HR137" s="418"/>
      <c r="HS137" s="418"/>
      <c r="HT137" s="418"/>
      <c r="HU137" s="418"/>
      <c r="HV137" s="418"/>
      <c r="HW137" s="418"/>
      <c r="HX137" s="418"/>
      <c r="HY137" s="418"/>
      <c r="HZ137" s="418"/>
      <c r="IA137" s="418"/>
      <c r="IB137" s="418"/>
      <c r="IC137" s="418"/>
      <c r="ID137" s="418"/>
      <c r="IE137" s="418"/>
      <c r="IF137" s="418"/>
      <c r="IG137" s="418"/>
      <c r="IH137" s="418"/>
      <c r="II137" s="418"/>
      <c r="IJ137" s="418"/>
      <c r="IK137" s="418"/>
      <c r="IL137" s="418"/>
      <c r="IM137" s="418"/>
      <c r="IN137" s="418"/>
      <c r="IO137" s="418"/>
      <c r="IP137" s="418"/>
      <c r="IQ137" s="418"/>
      <c r="IR137" s="418"/>
      <c r="IS137" s="418"/>
      <c r="IT137" s="418"/>
      <c r="IU137" s="418"/>
      <c r="IV137" s="418"/>
      <c r="IW137" s="418"/>
      <c r="IX137" s="418"/>
      <c r="IY137" s="418"/>
      <c r="IZ137" s="418"/>
      <c r="JA137" s="418"/>
      <c r="JB137" s="418"/>
    </row>
    <row r="138" spans="1:262" ht="18" customHeight="1" x14ac:dyDescent="0.35">
      <c r="A138" s="773">
        <v>128</v>
      </c>
      <c r="B138" s="618"/>
      <c r="C138" s="464"/>
      <c r="D138" s="992" t="s">
        <v>308</v>
      </c>
      <c r="E138" s="430"/>
      <c r="F138" s="762"/>
      <c r="G138" s="431"/>
      <c r="H138" s="999"/>
      <c r="I138" s="995"/>
      <c r="J138" s="759"/>
      <c r="K138" s="759"/>
      <c r="L138" s="759"/>
      <c r="M138" s="989">
        <v>10000</v>
      </c>
      <c r="N138" s="759"/>
      <c r="O138" s="759"/>
      <c r="P138" s="982">
        <f>SUM(I138:O138)</f>
        <v>10000</v>
      </c>
      <c r="Q138" s="763"/>
    </row>
    <row r="139" spans="1:262" ht="18" customHeight="1" x14ac:dyDescent="0.35">
      <c r="A139" s="773">
        <v>129</v>
      </c>
      <c r="B139" s="618"/>
      <c r="C139" s="464"/>
      <c r="D139" s="576" t="s">
        <v>1158</v>
      </c>
      <c r="E139" s="430"/>
      <c r="F139" s="762"/>
      <c r="G139" s="431"/>
      <c r="H139" s="999"/>
      <c r="I139" s="995"/>
      <c r="J139" s="759"/>
      <c r="K139" s="759"/>
      <c r="L139" s="759"/>
      <c r="M139" s="1524">
        <v>0</v>
      </c>
      <c r="N139" s="1524"/>
      <c r="O139" s="1524"/>
      <c r="P139" s="767">
        <f>SUM(I139:O139)</f>
        <v>0</v>
      </c>
      <c r="Q139" s="763"/>
    </row>
    <row r="140" spans="1:262" ht="18" customHeight="1" x14ac:dyDescent="0.35">
      <c r="A140" s="773">
        <v>130</v>
      </c>
      <c r="B140" s="618"/>
      <c r="C140" s="464"/>
      <c r="D140" s="1318" t="s">
        <v>947</v>
      </c>
      <c r="E140" s="430"/>
      <c r="F140" s="762"/>
      <c r="G140" s="431"/>
      <c r="H140" s="999"/>
      <c r="I140" s="995"/>
      <c r="J140" s="759"/>
      <c r="K140" s="759"/>
      <c r="L140" s="759"/>
      <c r="M140" s="759"/>
      <c r="N140" s="759"/>
      <c r="O140" s="759"/>
      <c r="P140" s="767">
        <f t="shared" ref="P140:P141" si="13">SUM(I140:O140)</f>
        <v>0</v>
      </c>
      <c r="Q140" s="763"/>
    </row>
    <row r="141" spans="1:262" ht="18" customHeight="1" x14ac:dyDescent="0.35">
      <c r="A141" s="773">
        <v>131</v>
      </c>
      <c r="B141" s="618"/>
      <c r="C141" s="464"/>
      <c r="D141" s="576" t="s">
        <v>1250</v>
      </c>
      <c r="E141" s="430"/>
      <c r="F141" s="762"/>
      <c r="G141" s="431"/>
      <c r="H141" s="999"/>
      <c r="I141" s="995"/>
      <c r="J141" s="759"/>
      <c r="K141" s="759"/>
      <c r="L141" s="759"/>
      <c r="M141" s="759">
        <f>SUM(M139:M140)</f>
        <v>0</v>
      </c>
      <c r="N141" s="759"/>
      <c r="O141" s="759"/>
      <c r="P141" s="767">
        <f t="shared" si="13"/>
        <v>0</v>
      </c>
      <c r="Q141" s="763"/>
    </row>
    <row r="142" spans="1:262" s="758" customFormat="1" ht="22.5" customHeight="1" x14ac:dyDescent="0.35">
      <c r="A142" s="773">
        <v>132</v>
      </c>
      <c r="B142" s="766"/>
      <c r="C142" s="464"/>
      <c r="D142" s="1243" t="s">
        <v>701</v>
      </c>
      <c r="E142" s="430"/>
      <c r="F142" s="762"/>
      <c r="G142" s="431"/>
      <c r="H142" s="999"/>
      <c r="I142" s="995"/>
      <c r="J142" s="759"/>
      <c r="K142" s="759"/>
      <c r="L142" s="759"/>
      <c r="M142" s="1013"/>
      <c r="N142" s="759"/>
      <c r="O142" s="759"/>
      <c r="P142" s="767"/>
      <c r="Q142" s="763"/>
      <c r="R142" s="418"/>
      <c r="S142" s="418"/>
      <c r="T142" s="418"/>
      <c r="U142" s="418"/>
      <c r="V142" s="418"/>
      <c r="W142" s="418"/>
      <c r="X142" s="418"/>
      <c r="Y142" s="418"/>
      <c r="Z142" s="418"/>
      <c r="AA142" s="418"/>
      <c r="AB142" s="418"/>
      <c r="AC142" s="418"/>
      <c r="AD142" s="418"/>
      <c r="AE142" s="418"/>
      <c r="AF142" s="418"/>
      <c r="AG142" s="418"/>
      <c r="AH142" s="418"/>
      <c r="AI142" s="418"/>
      <c r="AJ142" s="418"/>
      <c r="AK142" s="418"/>
      <c r="AL142" s="418"/>
      <c r="AM142" s="418"/>
      <c r="AN142" s="418"/>
      <c r="AO142" s="418"/>
      <c r="AP142" s="418"/>
      <c r="AQ142" s="418"/>
      <c r="AR142" s="418"/>
      <c r="AS142" s="418"/>
      <c r="AT142" s="418"/>
      <c r="AU142" s="418"/>
      <c r="AV142" s="418"/>
      <c r="AW142" s="418"/>
      <c r="AX142" s="418"/>
      <c r="AY142" s="418"/>
      <c r="AZ142" s="418"/>
      <c r="BA142" s="418"/>
      <c r="BB142" s="418"/>
      <c r="BC142" s="418"/>
      <c r="BD142" s="418"/>
      <c r="BE142" s="418"/>
      <c r="BF142" s="418"/>
      <c r="BG142" s="418"/>
      <c r="BH142" s="418"/>
      <c r="BI142" s="418"/>
      <c r="BJ142" s="418"/>
      <c r="BK142" s="418"/>
      <c r="BL142" s="418"/>
      <c r="BM142" s="418"/>
      <c r="BN142" s="418"/>
      <c r="BO142" s="418"/>
      <c r="BP142" s="418"/>
      <c r="BQ142" s="418"/>
      <c r="BR142" s="418"/>
      <c r="BS142" s="418"/>
      <c r="BT142" s="418"/>
      <c r="BU142" s="418"/>
      <c r="BV142" s="418"/>
      <c r="BW142" s="418"/>
      <c r="BX142" s="418"/>
      <c r="BY142" s="418"/>
      <c r="BZ142" s="418"/>
      <c r="CA142" s="418"/>
      <c r="CB142" s="418"/>
      <c r="CC142" s="418"/>
      <c r="CD142" s="418"/>
      <c r="CE142" s="418"/>
      <c r="CF142" s="418"/>
      <c r="CG142" s="418"/>
      <c r="CH142" s="418"/>
      <c r="CI142" s="418"/>
      <c r="CJ142" s="418"/>
      <c r="CK142" s="418"/>
      <c r="CL142" s="418"/>
      <c r="CM142" s="418"/>
      <c r="CN142" s="418"/>
      <c r="CO142" s="418"/>
      <c r="CP142" s="418"/>
      <c r="CQ142" s="418"/>
      <c r="CR142" s="418"/>
      <c r="CS142" s="418"/>
      <c r="CT142" s="418"/>
      <c r="CU142" s="418"/>
      <c r="CV142" s="418"/>
      <c r="CW142" s="418"/>
      <c r="CX142" s="418"/>
      <c r="CY142" s="418"/>
      <c r="CZ142" s="418"/>
      <c r="DA142" s="418"/>
      <c r="DB142" s="418"/>
      <c r="DC142" s="418"/>
      <c r="DD142" s="418"/>
      <c r="DE142" s="418"/>
      <c r="DF142" s="418"/>
      <c r="DG142" s="418"/>
      <c r="DH142" s="418"/>
      <c r="DI142" s="418"/>
      <c r="DJ142" s="418"/>
      <c r="DK142" s="418"/>
      <c r="DL142" s="418"/>
      <c r="DM142" s="418"/>
      <c r="DN142" s="418"/>
      <c r="DO142" s="418"/>
      <c r="DP142" s="418"/>
      <c r="DQ142" s="418"/>
      <c r="DR142" s="418"/>
      <c r="DS142" s="418"/>
      <c r="DT142" s="418"/>
      <c r="DU142" s="418"/>
      <c r="DV142" s="418"/>
      <c r="DW142" s="418"/>
      <c r="DX142" s="418"/>
      <c r="DY142" s="418"/>
      <c r="DZ142" s="418"/>
      <c r="EA142" s="418"/>
      <c r="EB142" s="418"/>
      <c r="EC142" s="418"/>
      <c r="ED142" s="418"/>
      <c r="EE142" s="418"/>
      <c r="EF142" s="418"/>
      <c r="EG142" s="418"/>
      <c r="EH142" s="418"/>
      <c r="EI142" s="418"/>
      <c r="EJ142" s="418"/>
      <c r="EK142" s="418"/>
      <c r="EL142" s="418"/>
      <c r="EM142" s="418"/>
      <c r="EN142" s="418"/>
      <c r="EO142" s="418"/>
      <c r="EP142" s="418"/>
      <c r="EQ142" s="418"/>
      <c r="ER142" s="418"/>
      <c r="ES142" s="418"/>
      <c r="ET142" s="418"/>
      <c r="EU142" s="418"/>
      <c r="EV142" s="418"/>
      <c r="EW142" s="418"/>
      <c r="EX142" s="418"/>
      <c r="EY142" s="418"/>
      <c r="EZ142" s="418"/>
      <c r="FA142" s="418"/>
      <c r="FB142" s="418"/>
      <c r="FC142" s="418"/>
      <c r="FD142" s="418"/>
      <c r="FE142" s="418"/>
      <c r="FF142" s="418"/>
      <c r="FG142" s="418"/>
      <c r="FH142" s="418"/>
      <c r="FI142" s="418"/>
      <c r="FJ142" s="418"/>
      <c r="FK142" s="418"/>
      <c r="FL142" s="418"/>
      <c r="FM142" s="418"/>
      <c r="FN142" s="418"/>
      <c r="FO142" s="418"/>
      <c r="FP142" s="418"/>
      <c r="FQ142" s="418"/>
      <c r="FR142" s="418"/>
      <c r="FS142" s="418"/>
      <c r="FT142" s="418"/>
      <c r="FU142" s="418"/>
      <c r="FV142" s="418"/>
      <c r="FW142" s="418"/>
      <c r="FX142" s="418"/>
      <c r="FY142" s="418"/>
      <c r="FZ142" s="418"/>
      <c r="GA142" s="418"/>
      <c r="GB142" s="418"/>
      <c r="GC142" s="418"/>
      <c r="GD142" s="418"/>
      <c r="GE142" s="418"/>
      <c r="GF142" s="418"/>
      <c r="GG142" s="418"/>
      <c r="GH142" s="418"/>
      <c r="GI142" s="418"/>
      <c r="GJ142" s="418"/>
      <c r="GK142" s="418"/>
      <c r="GL142" s="418"/>
      <c r="GM142" s="418"/>
      <c r="GN142" s="418"/>
      <c r="GO142" s="418"/>
      <c r="GP142" s="418"/>
      <c r="GQ142" s="418"/>
      <c r="GR142" s="418"/>
      <c r="GS142" s="418"/>
      <c r="GT142" s="418"/>
      <c r="GU142" s="418"/>
      <c r="GV142" s="418"/>
      <c r="GW142" s="418"/>
      <c r="GX142" s="418"/>
      <c r="GY142" s="418"/>
      <c r="GZ142" s="418"/>
      <c r="HA142" s="418"/>
      <c r="HB142" s="418"/>
      <c r="HC142" s="418"/>
      <c r="HD142" s="418"/>
      <c r="HE142" s="418"/>
      <c r="HF142" s="418"/>
      <c r="HG142" s="418"/>
      <c r="HH142" s="418"/>
      <c r="HI142" s="418"/>
      <c r="HJ142" s="418"/>
      <c r="HK142" s="418"/>
      <c r="HL142" s="418"/>
      <c r="HM142" s="418"/>
      <c r="HN142" s="418"/>
      <c r="HO142" s="418"/>
      <c r="HP142" s="418"/>
      <c r="HQ142" s="418"/>
      <c r="HR142" s="418"/>
      <c r="HS142" s="418"/>
      <c r="HT142" s="418"/>
      <c r="HU142" s="418"/>
      <c r="HV142" s="418"/>
      <c r="HW142" s="418"/>
      <c r="HX142" s="418"/>
      <c r="HY142" s="418"/>
      <c r="HZ142" s="418"/>
      <c r="IA142" s="418"/>
      <c r="IB142" s="418"/>
      <c r="IC142" s="418"/>
      <c r="ID142" s="418"/>
      <c r="IE142" s="418"/>
      <c r="IF142" s="418"/>
      <c r="IG142" s="418"/>
      <c r="IH142" s="418"/>
      <c r="II142" s="418"/>
      <c r="IJ142" s="418"/>
      <c r="IK142" s="418"/>
      <c r="IL142" s="418"/>
      <c r="IM142" s="418"/>
      <c r="IN142" s="418"/>
      <c r="IO142" s="418"/>
      <c r="IP142" s="418"/>
      <c r="IQ142" s="418"/>
      <c r="IR142" s="418"/>
      <c r="IS142" s="418"/>
      <c r="IT142" s="418"/>
      <c r="IU142" s="418"/>
      <c r="IV142" s="418"/>
      <c r="IW142" s="418"/>
      <c r="IX142" s="418"/>
      <c r="IY142" s="418"/>
      <c r="IZ142" s="418"/>
      <c r="JA142" s="418"/>
      <c r="JB142" s="418"/>
    </row>
    <row r="143" spans="1:262" ht="18" customHeight="1" x14ac:dyDescent="0.35">
      <c r="A143" s="773">
        <v>133</v>
      </c>
      <c r="B143" s="618"/>
      <c r="C143" s="464"/>
      <c r="D143" s="992" t="s">
        <v>308</v>
      </c>
      <c r="E143" s="430"/>
      <c r="F143" s="762"/>
      <c r="G143" s="431"/>
      <c r="H143" s="999"/>
      <c r="I143" s="995"/>
      <c r="J143" s="759"/>
      <c r="K143" s="759"/>
      <c r="L143" s="759"/>
      <c r="M143" s="989">
        <v>10000</v>
      </c>
      <c r="N143" s="759"/>
      <c r="O143" s="759"/>
      <c r="P143" s="982">
        <f>SUM(I143:O143)</f>
        <v>10000</v>
      </c>
      <c r="Q143" s="763"/>
    </row>
    <row r="144" spans="1:262" ht="18" customHeight="1" x14ac:dyDescent="0.35">
      <c r="A144" s="773">
        <v>134</v>
      </c>
      <c r="B144" s="618"/>
      <c r="C144" s="464"/>
      <c r="D144" s="576" t="s">
        <v>1158</v>
      </c>
      <c r="E144" s="430"/>
      <c r="F144" s="762"/>
      <c r="G144" s="431"/>
      <c r="H144" s="999"/>
      <c r="I144" s="995"/>
      <c r="J144" s="759"/>
      <c r="K144" s="759"/>
      <c r="L144" s="759"/>
      <c r="M144" s="1524">
        <v>0</v>
      </c>
      <c r="N144" s="1524"/>
      <c r="O144" s="1524"/>
      <c r="P144" s="767">
        <f>SUM(I144:O144)</f>
        <v>0</v>
      </c>
      <c r="Q144" s="763"/>
    </row>
    <row r="145" spans="1:262" ht="18" customHeight="1" x14ac:dyDescent="0.35">
      <c r="A145" s="773">
        <v>135</v>
      </c>
      <c r="B145" s="618"/>
      <c r="C145" s="464"/>
      <c r="D145" s="1318" t="s">
        <v>947</v>
      </c>
      <c r="E145" s="430"/>
      <c r="F145" s="762"/>
      <c r="G145" s="431"/>
      <c r="H145" s="999"/>
      <c r="I145" s="995"/>
      <c r="J145" s="759"/>
      <c r="K145" s="759"/>
      <c r="L145" s="759"/>
      <c r="M145" s="759"/>
      <c r="N145" s="759"/>
      <c r="O145" s="759"/>
      <c r="P145" s="767">
        <f t="shared" ref="P145:P146" si="14">SUM(I145:O145)</f>
        <v>0</v>
      </c>
      <c r="Q145" s="763"/>
    </row>
    <row r="146" spans="1:262" ht="18" customHeight="1" x14ac:dyDescent="0.35">
      <c r="A146" s="773">
        <v>136</v>
      </c>
      <c r="B146" s="618"/>
      <c r="C146" s="464"/>
      <c r="D146" s="576" t="s">
        <v>1250</v>
      </c>
      <c r="E146" s="430"/>
      <c r="F146" s="762"/>
      <c r="G146" s="431"/>
      <c r="H146" s="999"/>
      <c r="I146" s="995"/>
      <c r="J146" s="759"/>
      <c r="K146" s="759"/>
      <c r="L146" s="759"/>
      <c r="M146" s="1524">
        <f>SUM(M144:M145)</f>
        <v>0</v>
      </c>
      <c r="N146" s="759"/>
      <c r="O146" s="759"/>
      <c r="P146" s="767">
        <f t="shared" si="14"/>
        <v>0</v>
      </c>
      <c r="Q146" s="763"/>
    </row>
    <row r="147" spans="1:262" s="758" customFormat="1" ht="22.5" customHeight="1" x14ac:dyDescent="0.35">
      <c r="A147" s="773">
        <v>137</v>
      </c>
      <c r="B147" s="766"/>
      <c r="C147" s="464"/>
      <c r="D147" s="1244" t="s">
        <v>702</v>
      </c>
      <c r="E147" s="430"/>
      <c r="F147" s="762"/>
      <c r="G147" s="431"/>
      <c r="H147" s="999"/>
      <c r="I147" s="995"/>
      <c r="J147" s="759"/>
      <c r="K147" s="759"/>
      <c r="L147" s="759"/>
      <c r="M147" s="1013"/>
      <c r="N147" s="759"/>
      <c r="O147" s="759"/>
      <c r="P147" s="767"/>
      <c r="Q147" s="763"/>
      <c r="R147" s="418"/>
      <c r="S147" s="418"/>
      <c r="T147" s="418"/>
      <c r="U147" s="418"/>
      <c r="V147" s="418"/>
      <c r="W147" s="418"/>
      <c r="X147" s="418"/>
      <c r="Y147" s="418"/>
      <c r="Z147" s="418"/>
      <c r="AA147" s="418"/>
      <c r="AB147" s="418"/>
      <c r="AC147" s="418"/>
      <c r="AD147" s="418"/>
      <c r="AE147" s="418"/>
      <c r="AF147" s="418"/>
      <c r="AG147" s="418"/>
      <c r="AH147" s="418"/>
      <c r="AI147" s="418"/>
      <c r="AJ147" s="418"/>
      <c r="AK147" s="418"/>
      <c r="AL147" s="418"/>
      <c r="AM147" s="418"/>
      <c r="AN147" s="418"/>
      <c r="AO147" s="418"/>
      <c r="AP147" s="418"/>
      <c r="AQ147" s="418"/>
      <c r="AR147" s="418"/>
      <c r="AS147" s="418"/>
      <c r="AT147" s="418"/>
      <c r="AU147" s="418"/>
      <c r="AV147" s="418"/>
      <c r="AW147" s="418"/>
      <c r="AX147" s="418"/>
      <c r="AY147" s="418"/>
      <c r="AZ147" s="418"/>
      <c r="BA147" s="418"/>
      <c r="BB147" s="418"/>
      <c r="BC147" s="418"/>
      <c r="BD147" s="418"/>
      <c r="BE147" s="418"/>
      <c r="BF147" s="418"/>
      <c r="BG147" s="418"/>
      <c r="BH147" s="418"/>
      <c r="BI147" s="418"/>
      <c r="BJ147" s="418"/>
      <c r="BK147" s="418"/>
      <c r="BL147" s="418"/>
      <c r="BM147" s="418"/>
      <c r="BN147" s="418"/>
      <c r="BO147" s="418"/>
      <c r="BP147" s="418"/>
      <c r="BQ147" s="418"/>
      <c r="BR147" s="418"/>
      <c r="BS147" s="418"/>
      <c r="BT147" s="418"/>
      <c r="BU147" s="418"/>
      <c r="BV147" s="418"/>
      <c r="BW147" s="418"/>
      <c r="BX147" s="418"/>
      <c r="BY147" s="418"/>
      <c r="BZ147" s="418"/>
      <c r="CA147" s="418"/>
      <c r="CB147" s="418"/>
      <c r="CC147" s="418"/>
      <c r="CD147" s="418"/>
      <c r="CE147" s="418"/>
      <c r="CF147" s="418"/>
      <c r="CG147" s="418"/>
      <c r="CH147" s="418"/>
      <c r="CI147" s="418"/>
      <c r="CJ147" s="418"/>
      <c r="CK147" s="418"/>
      <c r="CL147" s="418"/>
      <c r="CM147" s="418"/>
      <c r="CN147" s="418"/>
      <c r="CO147" s="418"/>
      <c r="CP147" s="418"/>
      <c r="CQ147" s="418"/>
      <c r="CR147" s="418"/>
      <c r="CS147" s="418"/>
      <c r="CT147" s="418"/>
      <c r="CU147" s="418"/>
      <c r="CV147" s="418"/>
      <c r="CW147" s="418"/>
      <c r="CX147" s="418"/>
      <c r="CY147" s="418"/>
      <c r="CZ147" s="418"/>
      <c r="DA147" s="418"/>
      <c r="DB147" s="418"/>
      <c r="DC147" s="418"/>
      <c r="DD147" s="418"/>
      <c r="DE147" s="418"/>
      <c r="DF147" s="418"/>
      <c r="DG147" s="418"/>
      <c r="DH147" s="418"/>
      <c r="DI147" s="418"/>
      <c r="DJ147" s="418"/>
      <c r="DK147" s="418"/>
      <c r="DL147" s="418"/>
      <c r="DM147" s="418"/>
      <c r="DN147" s="418"/>
      <c r="DO147" s="418"/>
      <c r="DP147" s="418"/>
      <c r="DQ147" s="418"/>
      <c r="DR147" s="418"/>
      <c r="DS147" s="418"/>
      <c r="DT147" s="418"/>
      <c r="DU147" s="418"/>
      <c r="DV147" s="418"/>
      <c r="DW147" s="418"/>
      <c r="DX147" s="418"/>
      <c r="DY147" s="418"/>
      <c r="DZ147" s="418"/>
      <c r="EA147" s="418"/>
      <c r="EB147" s="418"/>
      <c r="EC147" s="418"/>
      <c r="ED147" s="418"/>
      <c r="EE147" s="418"/>
      <c r="EF147" s="418"/>
      <c r="EG147" s="418"/>
      <c r="EH147" s="418"/>
      <c r="EI147" s="418"/>
      <c r="EJ147" s="418"/>
      <c r="EK147" s="418"/>
      <c r="EL147" s="418"/>
      <c r="EM147" s="418"/>
      <c r="EN147" s="418"/>
      <c r="EO147" s="418"/>
      <c r="EP147" s="418"/>
      <c r="EQ147" s="418"/>
      <c r="ER147" s="418"/>
      <c r="ES147" s="418"/>
      <c r="ET147" s="418"/>
      <c r="EU147" s="418"/>
      <c r="EV147" s="418"/>
      <c r="EW147" s="418"/>
      <c r="EX147" s="418"/>
      <c r="EY147" s="418"/>
      <c r="EZ147" s="418"/>
      <c r="FA147" s="418"/>
      <c r="FB147" s="418"/>
      <c r="FC147" s="418"/>
      <c r="FD147" s="418"/>
      <c r="FE147" s="418"/>
      <c r="FF147" s="418"/>
      <c r="FG147" s="418"/>
      <c r="FH147" s="418"/>
      <c r="FI147" s="418"/>
      <c r="FJ147" s="418"/>
      <c r="FK147" s="418"/>
      <c r="FL147" s="418"/>
      <c r="FM147" s="418"/>
      <c r="FN147" s="418"/>
      <c r="FO147" s="418"/>
      <c r="FP147" s="418"/>
      <c r="FQ147" s="418"/>
      <c r="FR147" s="418"/>
      <c r="FS147" s="418"/>
      <c r="FT147" s="418"/>
      <c r="FU147" s="418"/>
      <c r="FV147" s="418"/>
      <c r="FW147" s="418"/>
      <c r="FX147" s="418"/>
      <c r="FY147" s="418"/>
      <c r="FZ147" s="418"/>
      <c r="GA147" s="418"/>
      <c r="GB147" s="418"/>
      <c r="GC147" s="418"/>
      <c r="GD147" s="418"/>
      <c r="GE147" s="418"/>
      <c r="GF147" s="418"/>
      <c r="GG147" s="418"/>
      <c r="GH147" s="418"/>
      <c r="GI147" s="418"/>
      <c r="GJ147" s="418"/>
      <c r="GK147" s="418"/>
      <c r="GL147" s="418"/>
      <c r="GM147" s="418"/>
      <c r="GN147" s="418"/>
      <c r="GO147" s="418"/>
      <c r="GP147" s="418"/>
      <c r="GQ147" s="418"/>
      <c r="GR147" s="418"/>
      <c r="GS147" s="418"/>
      <c r="GT147" s="418"/>
      <c r="GU147" s="418"/>
      <c r="GV147" s="418"/>
      <c r="GW147" s="418"/>
      <c r="GX147" s="418"/>
      <c r="GY147" s="418"/>
      <c r="GZ147" s="418"/>
      <c r="HA147" s="418"/>
      <c r="HB147" s="418"/>
      <c r="HC147" s="418"/>
      <c r="HD147" s="418"/>
      <c r="HE147" s="418"/>
      <c r="HF147" s="418"/>
      <c r="HG147" s="418"/>
      <c r="HH147" s="418"/>
      <c r="HI147" s="418"/>
      <c r="HJ147" s="418"/>
      <c r="HK147" s="418"/>
      <c r="HL147" s="418"/>
      <c r="HM147" s="418"/>
      <c r="HN147" s="418"/>
      <c r="HO147" s="418"/>
      <c r="HP147" s="418"/>
      <c r="HQ147" s="418"/>
      <c r="HR147" s="418"/>
      <c r="HS147" s="418"/>
      <c r="HT147" s="418"/>
      <c r="HU147" s="418"/>
      <c r="HV147" s="418"/>
      <c r="HW147" s="418"/>
      <c r="HX147" s="418"/>
      <c r="HY147" s="418"/>
      <c r="HZ147" s="418"/>
      <c r="IA147" s="418"/>
      <c r="IB147" s="418"/>
      <c r="IC147" s="418"/>
      <c r="ID147" s="418"/>
      <c r="IE147" s="418"/>
      <c r="IF147" s="418"/>
      <c r="IG147" s="418"/>
      <c r="IH147" s="418"/>
      <c r="II147" s="418"/>
      <c r="IJ147" s="418"/>
      <c r="IK147" s="418"/>
      <c r="IL147" s="418"/>
      <c r="IM147" s="418"/>
      <c r="IN147" s="418"/>
      <c r="IO147" s="418"/>
      <c r="IP147" s="418"/>
      <c r="IQ147" s="418"/>
      <c r="IR147" s="418"/>
      <c r="IS147" s="418"/>
      <c r="IT147" s="418"/>
      <c r="IU147" s="418"/>
      <c r="IV147" s="418"/>
      <c r="IW147" s="418"/>
      <c r="IX147" s="418"/>
      <c r="IY147" s="418"/>
      <c r="IZ147" s="418"/>
      <c r="JA147" s="418"/>
      <c r="JB147" s="418"/>
    </row>
    <row r="148" spans="1:262" ht="18" customHeight="1" x14ac:dyDescent="0.35">
      <c r="A148" s="773">
        <v>138</v>
      </c>
      <c r="B148" s="618"/>
      <c r="C148" s="464"/>
      <c r="D148" s="992" t="s">
        <v>308</v>
      </c>
      <c r="E148" s="430"/>
      <c r="F148" s="762"/>
      <c r="G148" s="431"/>
      <c r="H148" s="999"/>
      <c r="I148" s="995"/>
      <c r="J148" s="759"/>
      <c r="K148" s="759"/>
      <c r="L148" s="759"/>
      <c r="M148" s="989">
        <v>20000</v>
      </c>
      <c r="N148" s="759"/>
      <c r="O148" s="759"/>
      <c r="P148" s="982">
        <f>SUM(I148:O148)</f>
        <v>20000</v>
      </c>
      <c r="Q148" s="763"/>
    </row>
    <row r="149" spans="1:262" ht="18" customHeight="1" x14ac:dyDescent="0.35">
      <c r="A149" s="773">
        <v>139</v>
      </c>
      <c r="B149" s="618"/>
      <c r="C149" s="464"/>
      <c r="D149" s="576" t="s">
        <v>1158</v>
      </c>
      <c r="E149" s="430"/>
      <c r="F149" s="762"/>
      <c r="G149" s="431"/>
      <c r="H149" s="999"/>
      <c r="I149" s="995"/>
      <c r="J149" s="759"/>
      <c r="K149" s="759"/>
      <c r="L149" s="759"/>
      <c r="M149" s="1524">
        <v>0</v>
      </c>
      <c r="N149" s="1524"/>
      <c r="O149" s="1524"/>
      <c r="P149" s="767">
        <f>SUM(I149:O149)</f>
        <v>0</v>
      </c>
      <c r="Q149" s="763"/>
    </row>
    <row r="150" spans="1:262" ht="18" customHeight="1" x14ac:dyDescent="0.35">
      <c r="A150" s="773">
        <v>140</v>
      </c>
      <c r="B150" s="618"/>
      <c r="C150" s="464"/>
      <c r="D150" s="1318" t="s">
        <v>947</v>
      </c>
      <c r="E150" s="430"/>
      <c r="F150" s="762"/>
      <c r="G150" s="431"/>
      <c r="H150" s="999"/>
      <c r="I150" s="995"/>
      <c r="J150" s="759"/>
      <c r="K150" s="759"/>
      <c r="L150" s="759"/>
      <c r="M150" s="759"/>
      <c r="N150" s="759"/>
      <c r="O150" s="759"/>
      <c r="P150" s="767">
        <f t="shared" ref="P150:P151" si="15">SUM(I150:O150)</f>
        <v>0</v>
      </c>
      <c r="Q150" s="763"/>
    </row>
    <row r="151" spans="1:262" ht="18" customHeight="1" x14ac:dyDescent="0.35">
      <c r="A151" s="773">
        <v>141</v>
      </c>
      <c r="B151" s="618"/>
      <c r="C151" s="464"/>
      <c r="D151" s="576" t="s">
        <v>1250</v>
      </c>
      <c r="E151" s="430"/>
      <c r="F151" s="762"/>
      <c r="G151" s="431"/>
      <c r="H151" s="999"/>
      <c r="I151" s="995"/>
      <c r="J151" s="759"/>
      <c r="K151" s="759"/>
      <c r="L151" s="759"/>
      <c r="M151" s="1524">
        <f>SUM(M149:M150)</f>
        <v>0</v>
      </c>
      <c r="N151" s="759"/>
      <c r="O151" s="759"/>
      <c r="P151" s="767">
        <f t="shared" si="15"/>
        <v>0</v>
      </c>
      <c r="Q151" s="763"/>
    </row>
    <row r="152" spans="1:262" s="758" customFormat="1" ht="22.5" customHeight="1" x14ac:dyDescent="0.35">
      <c r="A152" s="773">
        <v>142</v>
      </c>
      <c r="B152" s="766"/>
      <c r="C152" s="464"/>
      <c r="D152" s="421" t="s">
        <v>703</v>
      </c>
      <c r="E152" s="430"/>
      <c r="F152" s="762"/>
      <c r="G152" s="431"/>
      <c r="H152" s="999"/>
      <c r="I152" s="995"/>
      <c r="J152" s="759"/>
      <c r="K152" s="759"/>
      <c r="L152" s="759"/>
      <c r="M152" s="1013"/>
      <c r="N152" s="759"/>
      <c r="O152" s="759"/>
      <c r="P152" s="767"/>
      <c r="Q152" s="763"/>
      <c r="R152" s="418"/>
      <c r="S152" s="418"/>
      <c r="T152" s="418"/>
      <c r="U152" s="418"/>
      <c r="V152" s="418"/>
      <c r="W152" s="418"/>
      <c r="X152" s="418"/>
      <c r="Y152" s="418"/>
      <c r="Z152" s="418"/>
      <c r="AA152" s="418"/>
      <c r="AB152" s="418"/>
      <c r="AC152" s="418"/>
      <c r="AD152" s="418"/>
      <c r="AE152" s="418"/>
      <c r="AF152" s="418"/>
      <c r="AG152" s="418"/>
      <c r="AH152" s="418"/>
      <c r="AI152" s="418"/>
      <c r="AJ152" s="418"/>
      <c r="AK152" s="418"/>
      <c r="AL152" s="418"/>
      <c r="AM152" s="418"/>
      <c r="AN152" s="418"/>
      <c r="AO152" s="418"/>
      <c r="AP152" s="418"/>
      <c r="AQ152" s="418"/>
      <c r="AR152" s="418"/>
      <c r="AS152" s="418"/>
      <c r="AT152" s="418"/>
      <c r="AU152" s="418"/>
      <c r="AV152" s="418"/>
      <c r="AW152" s="418"/>
      <c r="AX152" s="418"/>
      <c r="AY152" s="418"/>
      <c r="AZ152" s="418"/>
      <c r="BA152" s="418"/>
      <c r="BB152" s="418"/>
      <c r="BC152" s="418"/>
      <c r="BD152" s="418"/>
      <c r="BE152" s="418"/>
      <c r="BF152" s="418"/>
      <c r="BG152" s="418"/>
      <c r="BH152" s="418"/>
      <c r="BI152" s="418"/>
      <c r="BJ152" s="418"/>
      <c r="BK152" s="418"/>
      <c r="BL152" s="418"/>
      <c r="BM152" s="418"/>
      <c r="BN152" s="418"/>
      <c r="BO152" s="418"/>
      <c r="BP152" s="418"/>
      <c r="BQ152" s="418"/>
      <c r="BR152" s="418"/>
      <c r="BS152" s="418"/>
      <c r="BT152" s="418"/>
      <c r="BU152" s="418"/>
      <c r="BV152" s="418"/>
      <c r="BW152" s="418"/>
      <c r="BX152" s="418"/>
      <c r="BY152" s="418"/>
      <c r="BZ152" s="418"/>
      <c r="CA152" s="418"/>
      <c r="CB152" s="418"/>
      <c r="CC152" s="418"/>
      <c r="CD152" s="418"/>
      <c r="CE152" s="418"/>
      <c r="CF152" s="418"/>
      <c r="CG152" s="418"/>
      <c r="CH152" s="418"/>
      <c r="CI152" s="418"/>
      <c r="CJ152" s="418"/>
      <c r="CK152" s="418"/>
      <c r="CL152" s="418"/>
      <c r="CM152" s="418"/>
      <c r="CN152" s="418"/>
      <c r="CO152" s="418"/>
      <c r="CP152" s="418"/>
      <c r="CQ152" s="418"/>
      <c r="CR152" s="418"/>
      <c r="CS152" s="418"/>
      <c r="CT152" s="418"/>
      <c r="CU152" s="418"/>
      <c r="CV152" s="418"/>
      <c r="CW152" s="418"/>
      <c r="CX152" s="418"/>
      <c r="CY152" s="418"/>
      <c r="CZ152" s="418"/>
      <c r="DA152" s="418"/>
      <c r="DB152" s="418"/>
      <c r="DC152" s="418"/>
      <c r="DD152" s="418"/>
      <c r="DE152" s="418"/>
      <c r="DF152" s="418"/>
      <c r="DG152" s="418"/>
      <c r="DH152" s="418"/>
      <c r="DI152" s="418"/>
      <c r="DJ152" s="418"/>
      <c r="DK152" s="418"/>
      <c r="DL152" s="418"/>
      <c r="DM152" s="418"/>
      <c r="DN152" s="418"/>
      <c r="DO152" s="418"/>
      <c r="DP152" s="418"/>
      <c r="DQ152" s="418"/>
      <c r="DR152" s="418"/>
      <c r="DS152" s="418"/>
      <c r="DT152" s="418"/>
      <c r="DU152" s="418"/>
      <c r="DV152" s="418"/>
      <c r="DW152" s="418"/>
      <c r="DX152" s="418"/>
      <c r="DY152" s="418"/>
      <c r="DZ152" s="418"/>
      <c r="EA152" s="418"/>
      <c r="EB152" s="418"/>
      <c r="EC152" s="418"/>
      <c r="ED152" s="418"/>
      <c r="EE152" s="418"/>
      <c r="EF152" s="418"/>
      <c r="EG152" s="418"/>
      <c r="EH152" s="418"/>
      <c r="EI152" s="418"/>
      <c r="EJ152" s="418"/>
      <c r="EK152" s="418"/>
      <c r="EL152" s="418"/>
      <c r="EM152" s="418"/>
      <c r="EN152" s="418"/>
      <c r="EO152" s="418"/>
      <c r="EP152" s="418"/>
      <c r="EQ152" s="418"/>
      <c r="ER152" s="418"/>
      <c r="ES152" s="418"/>
      <c r="ET152" s="418"/>
      <c r="EU152" s="418"/>
      <c r="EV152" s="418"/>
      <c r="EW152" s="418"/>
      <c r="EX152" s="418"/>
      <c r="EY152" s="418"/>
      <c r="EZ152" s="418"/>
      <c r="FA152" s="418"/>
      <c r="FB152" s="418"/>
      <c r="FC152" s="418"/>
      <c r="FD152" s="418"/>
      <c r="FE152" s="418"/>
      <c r="FF152" s="418"/>
      <c r="FG152" s="418"/>
      <c r="FH152" s="418"/>
      <c r="FI152" s="418"/>
      <c r="FJ152" s="418"/>
      <c r="FK152" s="418"/>
      <c r="FL152" s="418"/>
      <c r="FM152" s="418"/>
      <c r="FN152" s="418"/>
      <c r="FO152" s="418"/>
      <c r="FP152" s="418"/>
      <c r="FQ152" s="418"/>
      <c r="FR152" s="418"/>
      <c r="FS152" s="418"/>
      <c r="FT152" s="418"/>
      <c r="FU152" s="418"/>
      <c r="FV152" s="418"/>
      <c r="FW152" s="418"/>
      <c r="FX152" s="418"/>
      <c r="FY152" s="418"/>
      <c r="FZ152" s="418"/>
      <c r="GA152" s="418"/>
      <c r="GB152" s="418"/>
      <c r="GC152" s="418"/>
      <c r="GD152" s="418"/>
      <c r="GE152" s="418"/>
      <c r="GF152" s="418"/>
      <c r="GG152" s="418"/>
      <c r="GH152" s="418"/>
      <c r="GI152" s="418"/>
      <c r="GJ152" s="418"/>
      <c r="GK152" s="418"/>
      <c r="GL152" s="418"/>
      <c r="GM152" s="418"/>
      <c r="GN152" s="418"/>
      <c r="GO152" s="418"/>
      <c r="GP152" s="418"/>
      <c r="GQ152" s="418"/>
      <c r="GR152" s="418"/>
      <c r="GS152" s="418"/>
      <c r="GT152" s="418"/>
      <c r="GU152" s="418"/>
      <c r="GV152" s="418"/>
      <c r="GW152" s="418"/>
      <c r="GX152" s="418"/>
      <c r="GY152" s="418"/>
      <c r="GZ152" s="418"/>
      <c r="HA152" s="418"/>
      <c r="HB152" s="418"/>
      <c r="HC152" s="418"/>
      <c r="HD152" s="418"/>
      <c r="HE152" s="418"/>
      <c r="HF152" s="418"/>
      <c r="HG152" s="418"/>
      <c r="HH152" s="418"/>
      <c r="HI152" s="418"/>
      <c r="HJ152" s="418"/>
      <c r="HK152" s="418"/>
      <c r="HL152" s="418"/>
      <c r="HM152" s="418"/>
      <c r="HN152" s="418"/>
      <c r="HO152" s="418"/>
      <c r="HP152" s="418"/>
      <c r="HQ152" s="418"/>
      <c r="HR152" s="418"/>
      <c r="HS152" s="418"/>
      <c r="HT152" s="418"/>
      <c r="HU152" s="418"/>
      <c r="HV152" s="418"/>
      <c r="HW152" s="418"/>
      <c r="HX152" s="418"/>
      <c r="HY152" s="418"/>
      <c r="HZ152" s="418"/>
      <c r="IA152" s="418"/>
      <c r="IB152" s="418"/>
      <c r="IC152" s="418"/>
      <c r="ID152" s="418"/>
      <c r="IE152" s="418"/>
      <c r="IF152" s="418"/>
      <c r="IG152" s="418"/>
      <c r="IH152" s="418"/>
      <c r="II152" s="418"/>
      <c r="IJ152" s="418"/>
      <c r="IK152" s="418"/>
      <c r="IL152" s="418"/>
      <c r="IM152" s="418"/>
      <c r="IN152" s="418"/>
      <c r="IO152" s="418"/>
      <c r="IP152" s="418"/>
      <c r="IQ152" s="418"/>
      <c r="IR152" s="418"/>
      <c r="IS152" s="418"/>
      <c r="IT152" s="418"/>
      <c r="IU152" s="418"/>
      <c r="IV152" s="418"/>
      <c r="IW152" s="418"/>
      <c r="IX152" s="418"/>
      <c r="IY152" s="418"/>
      <c r="IZ152" s="418"/>
      <c r="JA152" s="418"/>
      <c r="JB152" s="418"/>
    </row>
    <row r="153" spans="1:262" ht="18" customHeight="1" x14ac:dyDescent="0.35">
      <c r="A153" s="773">
        <v>143</v>
      </c>
      <c r="B153" s="618"/>
      <c r="C153" s="464"/>
      <c r="D153" s="992" t="s">
        <v>308</v>
      </c>
      <c r="E153" s="430"/>
      <c r="F153" s="762"/>
      <c r="G153" s="431"/>
      <c r="H153" s="999"/>
      <c r="I153" s="995"/>
      <c r="J153" s="759"/>
      <c r="K153" s="759"/>
      <c r="L153" s="759"/>
      <c r="M153" s="989">
        <v>10000</v>
      </c>
      <c r="N153" s="759"/>
      <c r="O153" s="759"/>
      <c r="P153" s="982">
        <f>SUM(I153:O153)</f>
        <v>10000</v>
      </c>
      <c r="Q153" s="763"/>
    </row>
    <row r="154" spans="1:262" ht="18" customHeight="1" x14ac:dyDescent="0.35">
      <c r="A154" s="773">
        <v>144</v>
      </c>
      <c r="B154" s="618"/>
      <c r="C154" s="464"/>
      <c r="D154" s="576" t="s">
        <v>1158</v>
      </c>
      <c r="E154" s="430"/>
      <c r="F154" s="762"/>
      <c r="G154" s="431"/>
      <c r="H154" s="999"/>
      <c r="I154" s="995"/>
      <c r="J154" s="759"/>
      <c r="K154" s="759"/>
      <c r="L154" s="759"/>
      <c r="M154" s="1524">
        <v>0</v>
      </c>
      <c r="N154" s="759"/>
      <c r="O154" s="759"/>
      <c r="P154" s="767">
        <f>SUM(I154:O154)</f>
        <v>0</v>
      </c>
      <c r="Q154" s="763"/>
    </row>
    <row r="155" spans="1:262" ht="18" customHeight="1" x14ac:dyDescent="0.35">
      <c r="A155" s="773">
        <v>145</v>
      </c>
      <c r="B155" s="618"/>
      <c r="C155" s="464"/>
      <c r="D155" s="1318" t="s">
        <v>947</v>
      </c>
      <c r="E155" s="430"/>
      <c r="F155" s="762"/>
      <c r="G155" s="431"/>
      <c r="H155" s="999"/>
      <c r="I155" s="995"/>
      <c r="J155" s="759"/>
      <c r="K155" s="759"/>
      <c r="L155" s="759"/>
      <c r="M155" s="759"/>
      <c r="N155" s="759"/>
      <c r="O155" s="759"/>
      <c r="P155" s="767">
        <f t="shared" ref="P155:P156" si="16">SUM(I155:O155)</f>
        <v>0</v>
      </c>
      <c r="Q155" s="763"/>
    </row>
    <row r="156" spans="1:262" ht="18" customHeight="1" x14ac:dyDescent="0.35">
      <c r="A156" s="773">
        <v>146</v>
      </c>
      <c r="B156" s="618"/>
      <c r="C156" s="464"/>
      <c r="D156" s="576" t="s">
        <v>1250</v>
      </c>
      <c r="E156" s="430"/>
      <c r="F156" s="762"/>
      <c r="G156" s="431"/>
      <c r="H156" s="999"/>
      <c r="I156" s="995"/>
      <c r="J156" s="759"/>
      <c r="K156" s="759"/>
      <c r="L156" s="759"/>
      <c r="M156" s="1524">
        <f>SUM(M154:M155)</f>
        <v>0</v>
      </c>
      <c r="N156" s="759"/>
      <c r="O156" s="759"/>
      <c r="P156" s="767">
        <f t="shared" si="16"/>
        <v>0</v>
      </c>
      <c r="Q156" s="763"/>
    </row>
    <row r="157" spans="1:262" s="758" customFormat="1" ht="22.5" customHeight="1" x14ac:dyDescent="0.35">
      <c r="A157" s="773">
        <v>147</v>
      </c>
      <c r="B157" s="766"/>
      <c r="C157" s="464"/>
      <c r="D157" s="421" t="s">
        <v>704</v>
      </c>
      <c r="E157" s="430"/>
      <c r="F157" s="762"/>
      <c r="G157" s="431"/>
      <c r="H157" s="999"/>
      <c r="I157" s="995"/>
      <c r="J157" s="759"/>
      <c r="K157" s="759"/>
      <c r="L157" s="759"/>
      <c r="M157" s="1013"/>
      <c r="N157" s="759"/>
      <c r="O157" s="759"/>
      <c r="P157" s="767"/>
      <c r="Q157" s="763"/>
      <c r="R157" s="418"/>
      <c r="S157" s="418"/>
      <c r="T157" s="418"/>
      <c r="U157" s="418"/>
      <c r="V157" s="418"/>
      <c r="W157" s="418"/>
      <c r="X157" s="418"/>
      <c r="Y157" s="418"/>
      <c r="Z157" s="418"/>
      <c r="AA157" s="418"/>
      <c r="AB157" s="418"/>
      <c r="AC157" s="418"/>
      <c r="AD157" s="418"/>
      <c r="AE157" s="418"/>
      <c r="AF157" s="418"/>
      <c r="AG157" s="418"/>
      <c r="AH157" s="418"/>
      <c r="AI157" s="418"/>
      <c r="AJ157" s="418"/>
      <c r="AK157" s="418"/>
      <c r="AL157" s="418"/>
      <c r="AM157" s="418"/>
      <c r="AN157" s="418"/>
      <c r="AO157" s="418"/>
      <c r="AP157" s="418"/>
      <c r="AQ157" s="418"/>
      <c r="AR157" s="418"/>
      <c r="AS157" s="418"/>
      <c r="AT157" s="418"/>
      <c r="AU157" s="418"/>
      <c r="AV157" s="418"/>
      <c r="AW157" s="418"/>
      <c r="AX157" s="418"/>
      <c r="AY157" s="418"/>
      <c r="AZ157" s="418"/>
      <c r="BA157" s="418"/>
      <c r="BB157" s="418"/>
      <c r="BC157" s="418"/>
      <c r="BD157" s="418"/>
      <c r="BE157" s="418"/>
      <c r="BF157" s="418"/>
      <c r="BG157" s="418"/>
      <c r="BH157" s="418"/>
      <c r="BI157" s="418"/>
      <c r="BJ157" s="418"/>
      <c r="BK157" s="418"/>
      <c r="BL157" s="418"/>
      <c r="BM157" s="418"/>
      <c r="BN157" s="418"/>
      <c r="BO157" s="418"/>
      <c r="BP157" s="418"/>
      <c r="BQ157" s="418"/>
      <c r="BR157" s="418"/>
      <c r="BS157" s="418"/>
      <c r="BT157" s="418"/>
      <c r="BU157" s="418"/>
      <c r="BV157" s="418"/>
      <c r="BW157" s="418"/>
      <c r="BX157" s="418"/>
      <c r="BY157" s="418"/>
      <c r="BZ157" s="418"/>
      <c r="CA157" s="418"/>
      <c r="CB157" s="418"/>
      <c r="CC157" s="418"/>
      <c r="CD157" s="418"/>
      <c r="CE157" s="418"/>
      <c r="CF157" s="418"/>
      <c r="CG157" s="418"/>
      <c r="CH157" s="418"/>
      <c r="CI157" s="418"/>
      <c r="CJ157" s="418"/>
      <c r="CK157" s="418"/>
      <c r="CL157" s="418"/>
      <c r="CM157" s="418"/>
      <c r="CN157" s="418"/>
      <c r="CO157" s="418"/>
      <c r="CP157" s="418"/>
      <c r="CQ157" s="418"/>
      <c r="CR157" s="418"/>
      <c r="CS157" s="418"/>
      <c r="CT157" s="418"/>
      <c r="CU157" s="418"/>
      <c r="CV157" s="418"/>
      <c r="CW157" s="418"/>
      <c r="CX157" s="418"/>
      <c r="CY157" s="418"/>
      <c r="CZ157" s="418"/>
      <c r="DA157" s="418"/>
      <c r="DB157" s="418"/>
      <c r="DC157" s="418"/>
      <c r="DD157" s="418"/>
      <c r="DE157" s="418"/>
      <c r="DF157" s="418"/>
      <c r="DG157" s="418"/>
      <c r="DH157" s="418"/>
      <c r="DI157" s="418"/>
      <c r="DJ157" s="418"/>
      <c r="DK157" s="418"/>
      <c r="DL157" s="418"/>
      <c r="DM157" s="418"/>
      <c r="DN157" s="418"/>
      <c r="DO157" s="418"/>
      <c r="DP157" s="418"/>
      <c r="DQ157" s="418"/>
      <c r="DR157" s="418"/>
      <c r="DS157" s="418"/>
      <c r="DT157" s="418"/>
      <c r="DU157" s="418"/>
      <c r="DV157" s="418"/>
      <c r="DW157" s="418"/>
      <c r="DX157" s="418"/>
      <c r="DY157" s="418"/>
      <c r="DZ157" s="418"/>
      <c r="EA157" s="418"/>
      <c r="EB157" s="418"/>
      <c r="EC157" s="418"/>
      <c r="ED157" s="418"/>
      <c r="EE157" s="418"/>
      <c r="EF157" s="418"/>
      <c r="EG157" s="418"/>
      <c r="EH157" s="418"/>
      <c r="EI157" s="418"/>
      <c r="EJ157" s="418"/>
      <c r="EK157" s="418"/>
      <c r="EL157" s="418"/>
      <c r="EM157" s="418"/>
      <c r="EN157" s="418"/>
      <c r="EO157" s="418"/>
      <c r="EP157" s="418"/>
      <c r="EQ157" s="418"/>
      <c r="ER157" s="418"/>
      <c r="ES157" s="418"/>
      <c r="ET157" s="418"/>
      <c r="EU157" s="418"/>
      <c r="EV157" s="418"/>
      <c r="EW157" s="418"/>
      <c r="EX157" s="418"/>
      <c r="EY157" s="418"/>
      <c r="EZ157" s="418"/>
      <c r="FA157" s="418"/>
      <c r="FB157" s="418"/>
      <c r="FC157" s="418"/>
      <c r="FD157" s="418"/>
      <c r="FE157" s="418"/>
      <c r="FF157" s="418"/>
      <c r="FG157" s="418"/>
      <c r="FH157" s="418"/>
      <c r="FI157" s="418"/>
      <c r="FJ157" s="418"/>
      <c r="FK157" s="418"/>
      <c r="FL157" s="418"/>
      <c r="FM157" s="418"/>
      <c r="FN157" s="418"/>
      <c r="FO157" s="418"/>
      <c r="FP157" s="418"/>
      <c r="FQ157" s="418"/>
      <c r="FR157" s="418"/>
      <c r="FS157" s="418"/>
      <c r="FT157" s="418"/>
      <c r="FU157" s="418"/>
      <c r="FV157" s="418"/>
      <c r="FW157" s="418"/>
      <c r="FX157" s="418"/>
      <c r="FY157" s="418"/>
      <c r="FZ157" s="418"/>
      <c r="GA157" s="418"/>
      <c r="GB157" s="418"/>
      <c r="GC157" s="418"/>
      <c r="GD157" s="418"/>
      <c r="GE157" s="418"/>
      <c r="GF157" s="418"/>
      <c r="GG157" s="418"/>
      <c r="GH157" s="418"/>
      <c r="GI157" s="418"/>
      <c r="GJ157" s="418"/>
      <c r="GK157" s="418"/>
      <c r="GL157" s="418"/>
      <c r="GM157" s="418"/>
      <c r="GN157" s="418"/>
      <c r="GO157" s="418"/>
      <c r="GP157" s="418"/>
      <c r="GQ157" s="418"/>
      <c r="GR157" s="418"/>
      <c r="GS157" s="418"/>
      <c r="GT157" s="418"/>
      <c r="GU157" s="418"/>
      <c r="GV157" s="418"/>
      <c r="GW157" s="418"/>
      <c r="GX157" s="418"/>
      <c r="GY157" s="418"/>
      <c r="GZ157" s="418"/>
      <c r="HA157" s="418"/>
      <c r="HB157" s="418"/>
      <c r="HC157" s="418"/>
      <c r="HD157" s="418"/>
      <c r="HE157" s="418"/>
      <c r="HF157" s="418"/>
      <c r="HG157" s="418"/>
      <c r="HH157" s="418"/>
      <c r="HI157" s="418"/>
      <c r="HJ157" s="418"/>
      <c r="HK157" s="418"/>
      <c r="HL157" s="418"/>
      <c r="HM157" s="418"/>
      <c r="HN157" s="418"/>
      <c r="HO157" s="418"/>
      <c r="HP157" s="418"/>
      <c r="HQ157" s="418"/>
      <c r="HR157" s="418"/>
      <c r="HS157" s="418"/>
      <c r="HT157" s="418"/>
      <c r="HU157" s="418"/>
      <c r="HV157" s="418"/>
      <c r="HW157" s="418"/>
      <c r="HX157" s="418"/>
      <c r="HY157" s="418"/>
      <c r="HZ157" s="418"/>
      <c r="IA157" s="418"/>
      <c r="IB157" s="418"/>
      <c r="IC157" s="418"/>
      <c r="ID157" s="418"/>
      <c r="IE157" s="418"/>
      <c r="IF157" s="418"/>
      <c r="IG157" s="418"/>
      <c r="IH157" s="418"/>
      <c r="II157" s="418"/>
      <c r="IJ157" s="418"/>
      <c r="IK157" s="418"/>
      <c r="IL157" s="418"/>
      <c r="IM157" s="418"/>
      <c r="IN157" s="418"/>
      <c r="IO157" s="418"/>
      <c r="IP157" s="418"/>
      <c r="IQ157" s="418"/>
      <c r="IR157" s="418"/>
      <c r="IS157" s="418"/>
      <c r="IT157" s="418"/>
      <c r="IU157" s="418"/>
      <c r="IV157" s="418"/>
      <c r="IW157" s="418"/>
      <c r="IX157" s="418"/>
      <c r="IY157" s="418"/>
      <c r="IZ157" s="418"/>
      <c r="JA157" s="418"/>
      <c r="JB157" s="418"/>
    </row>
    <row r="158" spans="1:262" ht="18" customHeight="1" x14ac:dyDescent="0.35">
      <c r="A158" s="773">
        <v>148</v>
      </c>
      <c r="B158" s="618"/>
      <c r="C158" s="464"/>
      <c r="D158" s="992" t="s">
        <v>308</v>
      </c>
      <c r="E158" s="430"/>
      <c r="F158" s="762"/>
      <c r="G158" s="431"/>
      <c r="H158" s="999"/>
      <c r="I158" s="995"/>
      <c r="J158" s="759"/>
      <c r="K158" s="759"/>
      <c r="L158" s="759"/>
      <c r="M158" s="989">
        <v>10000</v>
      </c>
      <c r="N158" s="759"/>
      <c r="O158" s="759"/>
      <c r="P158" s="982">
        <f>SUM(I158:O158)</f>
        <v>10000</v>
      </c>
      <c r="Q158" s="763"/>
    </row>
    <row r="159" spans="1:262" ht="18" customHeight="1" x14ac:dyDescent="0.35">
      <c r="A159" s="773">
        <v>149</v>
      </c>
      <c r="B159" s="618"/>
      <c r="C159" s="464"/>
      <c r="D159" s="576" t="s">
        <v>1158</v>
      </c>
      <c r="E159" s="430"/>
      <c r="F159" s="762"/>
      <c r="G159" s="431"/>
      <c r="H159" s="999"/>
      <c r="I159" s="995"/>
      <c r="J159" s="759"/>
      <c r="K159" s="759"/>
      <c r="L159" s="759"/>
      <c r="M159" s="1524">
        <v>0</v>
      </c>
      <c r="N159" s="1524"/>
      <c r="O159" s="1524"/>
      <c r="P159" s="767">
        <f>SUM(I159:O159)</f>
        <v>0</v>
      </c>
      <c r="Q159" s="763"/>
    </row>
    <row r="160" spans="1:262" ht="18" customHeight="1" x14ac:dyDescent="0.35">
      <c r="A160" s="773">
        <v>150</v>
      </c>
      <c r="B160" s="618"/>
      <c r="C160" s="464"/>
      <c r="D160" s="1318" t="s">
        <v>947</v>
      </c>
      <c r="E160" s="430"/>
      <c r="F160" s="762"/>
      <c r="G160" s="431"/>
      <c r="H160" s="999"/>
      <c r="I160" s="995"/>
      <c r="J160" s="759"/>
      <c r="K160" s="759"/>
      <c r="L160" s="759"/>
      <c r="M160" s="759"/>
      <c r="N160" s="759"/>
      <c r="O160" s="759"/>
      <c r="P160" s="767">
        <f t="shared" ref="P160:P161" si="17">SUM(I160:O160)</f>
        <v>0</v>
      </c>
      <c r="Q160" s="763"/>
    </row>
    <row r="161" spans="1:262" ht="18" customHeight="1" x14ac:dyDescent="0.35">
      <c r="A161" s="773">
        <v>151</v>
      </c>
      <c r="B161" s="618"/>
      <c r="C161" s="464"/>
      <c r="D161" s="576" t="s">
        <v>1250</v>
      </c>
      <c r="E161" s="430"/>
      <c r="F161" s="762"/>
      <c r="G161" s="431"/>
      <c r="H161" s="999"/>
      <c r="I161" s="995"/>
      <c r="J161" s="759"/>
      <c r="K161" s="759"/>
      <c r="L161" s="759"/>
      <c r="M161" s="1524">
        <f>SUM(M159:M160)</f>
        <v>0</v>
      </c>
      <c r="N161" s="759"/>
      <c r="O161" s="759"/>
      <c r="P161" s="767">
        <f t="shared" si="17"/>
        <v>0</v>
      </c>
      <c r="Q161" s="763"/>
    </row>
    <row r="162" spans="1:262" s="758" customFormat="1" ht="22.5" customHeight="1" x14ac:dyDescent="0.35">
      <c r="A162" s="773">
        <v>152</v>
      </c>
      <c r="B162" s="766"/>
      <c r="C162" s="464"/>
      <c r="D162" s="421" t="s">
        <v>705</v>
      </c>
      <c r="E162" s="430"/>
      <c r="F162" s="762"/>
      <c r="G162" s="431"/>
      <c r="H162" s="999"/>
      <c r="I162" s="995"/>
      <c r="J162" s="759"/>
      <c r="K162" s="759"/>
      <c r="L162" s="759"/>
      <c r="M162" s="1013"/>
      <c r="N162" s="759"/>
      <c r="O162" s="759"/>
      <c r="P162" s="767"/>
      <c r="Q162" s="763"/>
      <c r="R162" s="418"/>
      <c r="S162" s="418"/>
      <c r="T162" s="418"/>
      <c r="U162" s="418"/>
      <c r="V162" s="418"/>
      <c r="W162" s="418"/>
      <c r="X162" s="418"/>
      <c r="Y162" s="418"/>
      <c r="Z162" s="418"/>
      <c r="AA162" s="418"/>
      <c r="AB162" s="418"/>
      <c r="AC162" s="418"/>
      <c r="AD162" s="418"/>
      <c r="AE162" s="418"/>
      <c r="AF162" s="418"/>
      <c r="AG162" s="418"/>
      <c r="AH162" s="418"/>
      <c r="AI162" s="418"/>
      <c r="AJ162" s="418"/>
      <c r="AK162" s="418"/>
      <c r="AL162" s="418"/>
      <c r="AM162" s="418"/>
      <c r="AN162" s="418"/>
      <c r="AO162" s="418"/>
      <c r="AP162" s="418"/>
      <c r="AQ162" s="418"/>
      <c r="AR162" s="418"/>
      <c r="AS162" s="418"/>
      <c r="AT162" s="418"/>
      <c r="AU162" s="418"/>
      <c r="AV162" s="418"/>
      <c r="AW162" s="418"/>
      <c r="AX162" s="418"/>
      <c r="AY162" s="418"/>
      <c r="AZ162" s="418"/>
      <c r="BA162" s="418"/>
      <c r="BB162" s="418"/>
      <c r="BC162" s="418"/>
      <c r="BD162" s="418"/>
      <c r="BE162" s="418"/>
      <c r="BF162" s="418"/>
      <c r="BG162" s="418"/>
      <c r="BH162" s="418"/>
      <c r="BI162" s="418"/>
      <c r="BJ162" s="418"/>
      <c r="BK162" s="418"/>
      <c r="BL162" s="418"/>
      <c r="BM162" s="418"/>
      <c r="BN162" s="418"/>
      <c r="BO162" s="418"/>
      <c r="BP162" s="418"/>
      <c r="BQ162" s="418"/>
      <c r="BR162" s="418"/>
      <c r="BS162" s="418"/>
      <c r="BT162" s="418"/>
      <c r="BU162" s="418"/>
      <c r="BV162" s="418"/>
      <c r="BW162" s="418"/>
      <c r="BX162" s="418"/>
      <c r="BY162" s="418"/>
      <c r="BZ162" s="418"/>
      <c r="CA162" s="418"/>
      <c r="CB162" s="418"/>
      <c r="CC162" s="418"/>
      <c r="CD162" s="418"/>
      <c r="CE162" s="418"/>
      <c r="CF162" s="418"/>
      <c r="CG162" s="418"/>
      <c r="CH162" s="418"/>
      <c r="CI162" s="418"/>
      <c r="CJ162" s="418"/>
      <c r="CK162" s="418"/>
      <c r="CL162" s="418"/>
      <c r="CM162" s="418"/>
      <c r="CN162" s="418"/>
      <c r="CO162" s="418"/>
      <c r="CP162" s="418"/>
      <c r="CQ162" s="418"/>
      <c r="CR162" s="418"/>
      <c r="CS162" s="418"/>
      <c r="CT162" s="418"/>
      <c r="CU162" s="418"/>
      <c r="CV162" s="418"/>
      <c r="CW162" s="418"/>
      <c r="CX162" s="418"/>
      <c r="CY162" s="418"/>
      <c r="CZ162" s="418"/>
      <c r="DA162" s="418"/>
      <c r="DB162" s="418"/>
      <c r="DC162" s="418"/>
      <c r="DD162" s="418"/>
      <c r="DE162" s="418"/>
      <c r="DF162" s="418"/>
      <c r="DG162" s="418"/>
      <c r="DH162" s="418"/>
      <c r="DI162" s="418"/>
      <c r="DJ162" s="418"/>
      <c r="DK162" s="418"/>
      <c r="DL162" s="418"/>
      <c r="DM162" s="418"/>
      <c r="DN162" s="418"/>
      <c r="DO162" s="418"/>
      <c r="DP162" s="418"/>
      <c r="DQ162" s="418"/>
      <c r="DR162" s="418"/>
      <c r="DS162" s="418"/>
      <c r="DT162" s="418"/>
      <c r="DU162" s="418"/>
      <c r="DV162" s="418"/>
      <c r="DW162" s="418"/>
      <c r="DX162" s="418"/>
      <c r="DY162" s="418"/>
      <c r="DZ162" s="418"/>
      <c r="EA162" s="418"/>
      <c r="EB162" s="418"/>
      <c r="EC162" s="418"/>
      <c r="ED162" s="418"/>
      <c r="EE162" s="418"/>
      <c r="EF162" s="418"/>
      <c r="EG162" s="418"/>
      <c r="EH162" s="418"/>
      <c r="EI162" s="418"/>
      <c r="EJ162" s="418"/>
      <c r="EK162" s="418"/>
      <c r="EL162" s="418"/>
      <c r="EM162" s="418"/>
      <c r="EN162" s="418"/>
      <c r="EO162" s="418"/>
      <c r="EP162" s="418"/>
      <c r="EQ162" s="418"/>
      <c r="ER162" s="418"/>
      <c r="ES162" s="418"/>
      <c r="ET162" s="418"/>
      <c r="EU162" s="418"/>
      <c r="EV162" s="418"/>
      <c r="EW162" s="418"/>
      <c r="EX162" s="418"/>
      <c r="EY162" s="418"/>
      <c r="EZ162" s="418"/>
      <c r="FA162" s="418"/>
      <c r="FB162" s="418"/>
      <c r="FC162" s="418"/>
      <c r="FD162" s="418"/>
      <c r="FE162" s="418"/>
      <c r="FF162" s="418"/>
      <c r="FG162" s="418"/>
      <c r="FH162" s="418"/>
      <c r="FI162" s="418"/>
      <c r="FJ162" s="418"/>
      <c r="FK162" s="418"/>
      <c r="FL162" s="418"/>
      <c r="FM162" s="418"/>
      <c r="FN162" s="418"/>
      <c r="FO162" s="418"/>
      <c r="FP162" s="418"/>
      <c r="FQ162" s="418"/>
      <c r="FR162" s="418"/>
      <c r="FS162" s="418"/>
      <c r="FT162" s="418"/>
      <c r="FU162" s="418"/>
      <c r="FV162" s="418"/>
      <c r="FW162" s="418"/>
      <c r="FX162" s="418"/>
      <c r="FY162" s="418"/>
      <c r="FZ162" s="418"/>
      <c r="GA162" s="418"/>
      <c r="GB162" s="418"/>
      <c r="GC162" s="418"/>
      <c r="GD162" s="418"/>
      <c r="GE162" s="418"/>
      <c r="GF162" s="418"/>
      <c r="GG162" s="418"/>
      <c r="GH162" s="418"/>
      <c r="GI162" s="418"/>
      <c r="GJ162" s="418"/>
      <c r="GK162" s="418"/>
      <c r="GL162" s="418"/>
      <c r="GM162" s="418"/>
      <c r="GN162" s="418"/>
      <c r="GO162" s="418"/>
      <c r="GP162" s="418"/>
      <c r="GQ162" s="418"/>
      <c r="GR162" s="418"/>
      <c r="GS162" s="418"/>
      <c r="GT162" s="418"/>
      <c r="GU162" s="418"/>
      <c r="GV162" s="418"/>
      <c r="GW162" s="418"/>
      <c r="GX162" s="418"/>
      <c r="GY162" s="418"/>
      <c r="GZ162" s="418"/>
      <c r="HA162" s="418"/>
      <c r="HB162" s="418"/>
      <c r="HC162" s="418"/>
      <c r="HD162" s="418"/>
      <c r="HE162" s="418"/>
      <c r="HF162" s="418"/>
      <c r="HG162" s="418"/>
      <c r="HH162" s="418"/>
      <c r="HI162" s="418"/>
      <c r="HJ162" s="418"/>
      <c r="HK162" s="418"/>
      <c r="HL162" s="418"/>
      <c r="HM162" s="418"/>
      <c r="HN162" s="418"/>
      <c r="HO162" s="418"/>
      <c r="HP162" s="418"/>
      <c r="HQ162" s="418"/>
      <c r="HR162" s="418"/>
      <c r="HS162" s="418"/>
      <c r="HT162" s="418"/>
      <c r="HU162" s="418"/>
      <c r="HV162" s="418"/>
      <c r="HW162" s="418"/>
      <c r="HX162" s="418"/>
      <c r="HY162" s="418"/>
      <c r="HZ162" s="418"/>
      <c r="IA162" s="418"/>
      <c r="IB162" s="418"/>
      <c r="IC162" s="418"/>
      <c r="ID162" s="418"/>
      <c r="IE162" s="418"/>
      <c r="IF162" s="418"/>
      <c r="IG162" s="418"/>
      <c r="IH162" s="418"/>
      <c r="II162" s="418"/>
      <c r="IJ162" s="418"/>
      <c r="IK162" s="418"/>
      <c r="IL162" s="418"/>
      <c r="IM162" s="418"/>
      <c r="IN162" s="418"/>
      <c r="IO162" s="418"/>
      <c r="IP162" s="418"/>
      <c r="IQ162" s="418"/>
      <c r="IR162" s="418"/>
      <c r="IS162" s="418"/>
      <c r="IT162" s="418"/>
      <c r="IU162" s="418"/>
      <c r="IV162" s="418"/>
      <c r="IW162" s="418"/>
      <c r="IX162" s="418"/>
      <c r="IY162" s="418"/>
      <c r="IZ162" s="418"/>
      <c r="JA162" s="418"/>
      <c r="JB162" s="418"/>
    </row>
    <row r="163" spans="1:262" ht="18" customHeight="1" x14ac:dyDescent="0.35">
      <c r="A163" s="773">
        <v>153</v>
      </c>
      <c r="B163" s="618"/>
      <c r="C163" s="464"/>
      <c r="D163" s="992" t="s">
        <v>308</v>
      </c>
      <c r="E163" s="430"/>
      <c r="F163" s="762"/>
      <c r="G163" s="431"/>
      <c r="H163" s="999"/>
      <c r="I163" s="995"/>
      <c r="J163" s="759"/>
      <c r="K163" s="759"/>
      <c r="L163" s="759"/>
      <c r="M163" s="989">
        <v>10000</v>
      </c>
      <c r="N163" s="759"/>
      <c r="O163" s="759"/>
      <c r="P163" s="982">
        <f>SUM(I163:O163)</f>
        <v>10000</v>
      </c>
      <c r="Q163" s="763"/>
    </row>
    <row r="164" spans="1:262" ht="18" customHeight="1" x14ac:dyDescent="0.35">
      <c r="A164" s="773">
        <v>154</v>
      </c>
      <c r="B164" s="618"/>
      <c r="C164" s="464"/>
      <c r="D164" s="576" t="s">
        <v>1158</v>
      </c>
      <c r="E164" s="430"/>
      <c r="F164" s="762"/>
      <c r="G164" s="431"/>
      <c r="H164" s="999"/>
      <c r="I164" s="995"/>
      <c r="J164" s="759"/>
      <c r="K164" s="759"/>
      <c r="L164" s="759"/>
      <c r="M164" s="1524">
        <v>0</v>
      </c>
      <c r="N164" s="759"/>
      <c r="O164" s="759"/>
      <c r="P164" s="767">
        <f>SUM(I164:O164)</f>
        <v>0</v>
      </c>
      <c r="Q164" s="763"/>
    </row>
    <row r="165" spans="1:262" ht="18" customHeight="1" x14ac:dyDescent="0.35">
      <c r="A165" s="773">
        <v>155</v>
      </c>
      <c r="B165" s="618"/>
      <c r="C165" s="464"/>
      <c r="D165" s="1318" t="s">
        <v>947</v>
      </c>
      <c r="E165" s="430"/>
      <c r="F165" s="762"/>
      <c r="G165" s="431"/>
      <c r="H165" s="999"/>
      <c r="I165" s="995"/>
      <c r="J165" s="759"/>
      <c r="K165" s="759"/>
      <c r="L165" s="759"/>
      <c r="M165" s="759"/>
      <c r="N165" s="759"/>
      <c r="O165" s="759"/>
      <c r="P165" s="767">
        <f t="shared" ref="P165:P166" si="18">SUM(I165:O165)</f>
        <v>0</v>
      </c>
      <c r="Q165" s="763"/>
    </row>
    <row r="166" spans="1:262" ht="18" customHeight="1" x14ac:dyDescent="0.35">
      <c r="A166" s="773">
        <v>156</v>
      </c>
      <c r="B166" s="618"/>
      <c r="C166" s="464"/>
      <c r="D166" s="576" t="s">
        <v>1250</v>
      </c>
      <c r="E166" s="430"/>
      <c r="F166" s="762"/>
      <c r="G166" s="431"/>
      <c r="H166" s="999"/>
      <c r="I166" s="995"/>
      <c r="J166" s="759"/>
      <c r="K166" s="759"/>
      <c r="L166" s="759"/>
      <c r="M166" s="1524">
        <f>SUM(M164:M165)</f>
        <v>0</v>
      </c>
      <c r="N166" s="759"/>
      <c r="O166" s="759"/>
      <c r="P166" s="767">
        <f t="shared" si="18"/>
        <v>0</v>
      </c>
      <c r="Q166" s="763"/>
    </row>
    <row r="167" spans="1:262" s="758" customFormat="1" ht="22.5" customHeight="1" x14ac:dyDescent="0.35">
      <c r="A167" s="773">
        <v>157</v>
      </c>
      <c r="B167" s="766"/>
      <c r="C167" s="464"/>
      <c r="D167" s="421" t="s">
        <v>774</v>
      </c>
      <c r="E167" s="430"/>
      <c r="F167" s="762"/>
      <c r="G167" s="431"/>
      <c r="H167" s="999"/>
      <c r="I167" s="995"/>
      <c r="J167" s="759"/>
      <c r="K167" s="759"/>
      <c r="L167" s="759"/>
      <c r="M167" s="759"/>
      <c r="N167" s="759"/>
      <c r="O167" s="759"/>
      <c r="P167" s="767"/>
      <c r="Q167" s="763"/>
      <c r="R167" s="418"/>
      <c r="S167" s="418"/>
      <c r="T167" s="418"/>
      <c r="U167" s="418"/>
      <c r="V167" s="418"/>
      <c r="W167" s="418"/>
      <c r="X167" s="418"/>
      <c r="Y167" s="418"/>
      <c r="Z167" s="418"/>
      <c r="AA167" s="418"/>
      <c r="AB167" s="418"/>
      <c r="AC167" s="418"/>
      <c r="AD167" s="418"/>
      <c r="AE167" s="418"/>
      <c r="AF167" s="418"/>
      <c r="AG167" s="418"/>
      <c r="AH167" s="418"/>
      <c r="AI167" s="418"/>
      <c r="AJ167" s="418"/>
      <c r="AK167" s="418"/>
      <c r="AL167" s="418"/>
      <c r="AM167" s="418"/>
      <c r="AN167" s="418"/>
      <c r="AO167" s="418"/>
      <c r="AP167" s="418"/>
      <c r="AQ167" s="418"/>
      <c r="AR167" s="418"/>
      <c r="AS167" s="418"/>
      <c r="AT167" s="418"/>
      <c r="AU167" s="418"/>
      <c r="AV167" s="418"/>
      <c r="AW167" s="418"/>
      <c r="AX167" s="418"/>
      <c r="AY167" s="418"/>
      <c r="AZ167" s="418"/>
      <c r="BA167" s="418"/>
      <c r="BB167" s="418"/>
      <c r="BC167" s="418"/>
      <c r="BD167" s="418"/>
      <c r="BE167" s="418"/>
      <c r="BF167" s="418"/>
      <c r="BG167" s="418"/>
      <c r="BH167" s="418"/>
      <c r="BI167" s="418"/>
      <c r="BJ167" s="418"/>
      <c r="BK167" s="418"/>
      <c r="BL167" s="418"/>
      <c r="BM167" s="418"/>
      <c r="BN167" s="418"/>
      <c r="BO167" s="418"/>
      <c r="BP167" s="418"/>
      <c r="BQ167" s="418"/>
      <c r="BR167" s="418"/>
      <c r="BS167" s="418"/>
      <c r="BT167" s="418"/>
      <c r="BU167" s="418"/>
      <c r="BV167" s="418"/>
      <c r="BW167" s="418"/>
      <c r="BX167" s="418"/>
      <c r="BY167" s="418"/>
      <c r="BZ167" s="418"/>
      <c r="CA167" s="418"/>
      <c r="CB167" s="418"/>
      <c r="CC167" s="418"/>
      <c r="CD167" s="418"/>
      <c r="CE167" s="418"/>
      <c r="CF167" s="418"/>
      <c r="CG167" s="418"/>
      <c r="CH167" s="418"/>
      <c r="CI167" s="418"/>
      <c r="CJ167" s="418"/>
      <c r="CK167" s="418"/>
      <c r="CL167" s="418"/>
      <c r="CM167" s="418"/>
      <c r="CN167" s="418"/>
      <c r="CO167" s="418"/>
      <c r="CP167" s="418"/>
      <c r="CQ167" s="418"/>
      <c r="CR167" s="418"/>
      <c r="CS167" s="418"/>
      <c r="CT167" s="418"/>
      <c r="CU167" s="418"/>
      <c r="CV167" s="418"/>
      <c r="CW167" s="418"/>
      <c r="CX167" s="418"/>
      <c r="CY167" s="418"/>
      <c r="CZ167" s="418"/>
      <c r="DA167" s="418"/>
      <c r="DB167" s="418"/>
      <c r="DC167" s="418"/>
      <c r="DD167" s="418"/>
      <c r="DE167" s="418"/>
      <c r="DF167" s="418"/>
      <c r="DG167" s="418"/>
      <c r="DH167" s="418"/>
      <c r="DI167" s="418"/>
      <c r="DJ167" s="418"/>
      <c r="DK167" s="418"/>
      <c r="DL167" s="418"/>
      <c r="DM167" s="418"/>
      <c r="DN167" s="418"/>
      <c r="DO167" s="418"/>
      <c r="DP167" s="418"/>
      <c r="DQ167" s="418"/>
      <c r="DR167" s="418"/>
      <c r="DS167" s="418"/>
      <c r="DT167" s="418"/>
      <c r="DU167" s="418"/>
      <c r="DV167" s="418"/>
      <c r="DW167" s="418"/>
      <c r="DX167" s="418"/>
      <c r="DY167" s="418"/>
      <c r="DZ167" s="418"/>
      <c r="EA167" s="418"/>
      <c r="EB167" s="418"/>
      <c r="EC167" s="418"/>
      <c r="ED167" s="418"/>
      <c r="EE167" s="418"/>
      <c r="EF167" s="418"/>
      <c r="EG167" s="418"/>
      <c r="EH167" s="418"/>
      <c r="EI167" s="418"/>
      <c r="EJ167" s="418"/>
      <c r="EK167" s="418"/>
      <c r="EL167" s="418"/>
      <c r="EM167" s="418"/>
      <c r="EN167" s="418"/>
      <c r="EO167" s="418"/>
      <c r="EP167" s="418"/>
      <c r="EQ167" s="418"/>
      <c r="ER167" s="418"/>
      <c r="ES167" s="418"/>
      <c r="ET167" s="418"/>
      <c r="EU167" s="418"/>
      <c r="EV167" s="418"/>
      <c r="EW167" s="418"/>
      <c r="EX167" s="418"/>
      <c r="EY167" s="418"/>
      <c r="EZ167" s="418"/>
      <c r="FA167" s="418"/>
      <c r="FB167" s="418"/>
      <c r="FC167" s="418"/>
      <c r="FD167" s="418"/>
      <c r="FE167" s="418"/>
      <c r="FF167" s="418"/>
      <c r="FG167" s="418"/>
      <c r="FH167" s="418"/>
      <c r="FI167" s="418"/>
      <c r="FJ167" s="418"/>
      <c r="FK167" s="418"/>
      <c r="FL167" s="418"/>
      <c r="FM167" s="418"/>
      <c r="FN167" s="418"/>
      <c r="FO167" s="418"/>
      <c r="FP167" s="418"/>
      <c r="FQ167" s="418"/>
      <c r="FR167" s="418"/>
      <c r="FS167" s="418"/>
      <c r="FT167" s="418"/>
      <c r="FU167" s="418"/>
      <c r="FV167" s="418"/>
      <c r="FW167" s="418"/>
      <c r="FX167" s="418"/>
      <c r="FY167" s="418"/>
      <c r="FZ167" s="418"/>
      <c r="GA167" s="418"/>
      <c r="GB167" s="418"/>
      <c r="GC167" s="418"/>
      <c r="GD167" s="418"/>
      <c r="GE167" s="418"/>
      <c r="GF167" s="418"/>
      <c r="GG167" s="418"/>
      <c r="GH167" s="418"/>
      <c r="GI167" s="418"/>
      <c r="GJ167" s="418"/>
      <c r="GK167" s="418"/>
      <c r="GL167" s="418"/>
      <c r="GM167" s="418"/>
      <c r="GN167" s="418"/>
      <c r="GO167" s="418"/>
      <c r="GP167" s="418"/>
      <c r="GQ167" s="418"/>
      <c r="GR167" s="418"/>
      <c r="GS167" s="418"/>
      <c r="GT167" s="418"/>
      <c r="GU167" s="418"/>
      <c r="GV167" s="418"/>
      <c r="GW167" s="418"/>
      <c r="GX167" s="418"/>
      <c r="GY167" s="418"/>
      <c r="GZ167" s="418"/>
      <c r="HA167" s="418"/>
      <c r="HB167" s="418"/>
      <c r="HC167" s="418"/>
      <c r="HD167" s="418"/>
      <c r="HE167" s="418"/>
      <c r="HF167" s="418"/>
      <c r="HG167" s="418"/>
      <c r="HH167" s="418"/>
      <c r="HI167" s="418"/>
      <c r="HJ167" s="418"/>
      <c r="HK167" s="418"/>
      <c r="HL167" s="418"/>
      <c r="HM167" s="418"/>
      <c r="HN167" s="418"/>
      <c r="HO167" s="418"/>
      <c r="HP167" s="418"/>
      <c r="HQ167" s="418"/>
      <c r="HR167" s="418"/>
      <c r="HS167" s="418"/>
      <c r="HT167" s="418"/>
      <c r="HU167" s="418"/>
      <c r="HV167" s="418"/>
      <c r="HW167" s="418"/>
      <c r="HX167" s="418"/>
      <c r="HY167" s="418"/>
      <c r="HZ167" s="418"/>
      <c r="IA167" s="418"/>
      <c r="IB167" s="418"/>
      <c r="IC167" s="418"/>
      <c r="ID167" s="418"/>
      <c r="IE167" s="418"/>
      <c r="IF167" s="418"/>
      <c r="IG167" s="418"/>
      <c r="IH167" s="418"/>
      <c r="II167" s="418"/>
      <c r="IJ167" s="418"/>
      <c r="IK167" s="418"/>
      <c r="IL167" s="418"/>
      <c r="IM167" s="418"/>
      <c r="IN167" s="418"/>
      <c r="IO167" s="418"/>
      <c r="IP167" s="418"/>
      <c r="IQ167" s="418"/>
      <c r="IR167" s="418"/>
      <c r="IS167" s="418"/>
      <c r="IT167" s="418"/>
      <c r="IU167" s="418"/>
      <c r="IV167" s="418"/>
      <c r="IW167" s="418"/>
      <c r="IX167" s="418"/>
      <c r="IY167" s="418"/>
      <c r="IZ167" s="418"/>
      <c r="JA167" s="418"/>
      <c r="JB167" s="418"/>
    </row>
    <row r="168" spans="1:262" ht="18" customHeight="1" x14ac:dyDescent="0.35">
      <c r="A168" s="773">
        <v>158</v>
      </c>
      <c r="B168" s="618"/>
      <c r="C168" s="464"/>
      <c r="D168" s="992" t="s">
        <v>308</v>
      </c>
      <c r="E168" s="430"/>
      <c r="F168" s="762"/>
      <c r="G168" s="431"/>
      <c r="H168" s="999"/>
      <c r="I168" s="995"/>
      <c r="J168" s="759"/>
      <c r="K168" s="759"/>
      <c r="L168" s="759"/>
      <c r="M168" s="989">
        <f>1896745-152400+108305+20250+6804+78300+10000</f>
        <v>1968004</v>
      </c>
      <c r="N168" s="759"/>
      <c r="O168" s="759"/>
      <c r="P168" s="982">
        <f>SUM(I168:O168)</f>
        <v>1968004</v>
      </c>
      <c r="Q168" s="763"/>
    </row>
    <row r="169" spans="1:262" ht="18" customHeight="1" x14ac:dyDescent="0.35">
      <c r="A169" s="773">
        <v>159</v>
      </c>
      <c r="B169" s="618"/>
      <c r="C169" s="464"/>
      <c r="D169" s="576" t="s">
        <v>1158</v>
      </c>
      <c r="E169" s="430"/>
      <c r="F169" s="762"/>
      <c r="G169" s="431"/>
      <c r="H169" s="999"/>
      <c r="I169" s="995"/>
      <c r="J169" s="759"/>
      <c r="K169" s="759"/>
      <c r="L169" s="759"/>
      <c r="M169" s="1524">
        <v>0</v>
      </c>
      <c r="N169" s="759"/>
      <c r="O169" s="759"/>
      <c r="P169" s="767">
        <f>SUM(I169:O169)</f>
        <v>0</v>
      </c>
      <c r="Q169" s="763"/>
    </row>
    <row r="170" spans="1:262" ht="18" customHeight="1" x14ac:dyDescent="0.35">
      <c r="A170" s="773">
        <v>160</v>
      </c>
      <c r="B170" s="618"/>
      <c r="C170" s="464"/>
      <c r="D170" s="2040" t="s">
        <v>947</v>
      </c>
      <c r="E170" s="430"/>
      <c r="F170" s="762"/>
      <c r="G170" s="431"/>
      <c r="H170" s="999"/>
      <c r="I170" s="995"/>
      <c r="J170" s="759"/>
      <c r="K170" s="759"/>
      <c r="L170" s="759"/>
      <c r="M170" s="759"/>
      <c r="N170" s="759"/>
      <c r="O170" s="759"/>
      <c r="P170" s="767">
        <f t="shared" ref="P170:P171" si="19">SUM(I170:O170)</f>
        <v>0</v>
      </c>
      <c r="Q170" s="763"/>
    </row>
    <row r="171" spans="1:262" ht="18" customHeight="1" x14ac:dyDescent="0.35">
      <c r="A171" s="773">
        <v>161</v>
      </c>
      <c r="B171" s="618"/>
      <c r="C171" s="464"/>
      <c r="D171" s="576" t="s">
        <v>1250</v>
      </c>
      <c r="E171" s="430"/>
      <c r="F171" s="762"/>
      <c r="G171" s="431"/>
      <c r="H171" s="999"/>
      <c r="I171" s="995"/>
      <c r="J171" s="759"/>
      <c r="K171" s="759"/>
      <c r="L171" s="759"/>
      <c r="M171" s="1524">
        <f>SUM(M169:M170)</f>
        <v>0</v>
      </c>
      <c r="N171" s="759"/>
      <c r="O171" s="759"/>
      <c r="P171" s="767">
        <f t="shared" si="19"/>
        <v>0</v>
      </c>
      <c r="Q171" s="763"/>
    </row>
    <row r="172" spans="1:262" ht="22.5" customHeight="1" x14ac:dyDescent="0.35">
      <c r="A172" s="773">
        <v>162</v>
      </c>
      <c r="B172" s="618"/>
      <c r="C172" s="464"/>
      <c r="D172" s="421" t="s">
        <v>776</v>
      </c>
      <c r="E172" s="430"/>
      <c r="F172" s="762"/>
      <c r="G172" s="431"/>
      <c r="H172" s="999"/>
      <c r="I172" s="995"/>
      <c r="J172" s="759"/>
      <c r="K172" s="759"/>
      <c r="L172" s="759"/>
      <c r="M172" s="1013"/>
      <c r="N172" s="759"/>
      <c r="O172" s="759"/>
      <c r="P172" s="982"/>
      <c r="Q172" s="763"/>
    </row>
    <row r="173" spans="1:262" ht="18" customHeight="1" x14ac:dyDescent="0.35">
      <c r="A173" s="773">
        <v>163</v>
      </c>
      <c r="B173" s="618"/>
      <c r="C173" s="1068"/>
      <c r="D173" s="1833" t="s">
        <v>308</v>
      </c>
      <c r="E173" s="1076"/>
      <c r="F173" s="1077"/>
      <c r="G173" s="1078"/>
      <c r="H173" s="1079"/>
      <c r="I173" s="1080"/>
      <c r="J173" s="1081"/>
      <c r="K173" s="1081"/>
      <c r="L173" s="1081"/>
      <c r="M173" s="1072">
        <v>152400</v>
      </c>
      <c r="N173" s="1081"/>
      <c r="O173" s="1081"/>
      <c r="P173" s="1073">
        <f>SUM(I173:O173)</f>
        <v>152400</v>
      </c>
      <c r="Q173" s="1067"/>
    </row>
    <row r="174" spans="1:262" ht="18" customHeight="1" x14ac:dyDescent="0.35">
      <c r="A174" s="773">
        <v>164</v>
      </c>
      <c r="B174" s="618"/>
      <c r="C174" s="1819"/>
      <c r="D174" s="576" t="s">
        <v>1158</v>
      </c>
      <c r="E174" s="1076"/>
      <c r="F174" s="1077"/>
      <c r="G174" s="1078"/>
      <c r="H174" s="1079"/>
      <c r="I174" s="1080"/>
      <c r="J174" s="1080"/>
      <c r="K174" s="1080"/>
      <c r="L174" s="1080"/>
      <c r="M174" s="1818">
        <v>0</v>
      </c>
      <c r="N174" s="1818"/>
      <c r="O174" s="1818"/>
      <c r="P174" s="1547">
        <f>SUM(I174:O174)</f>
        <v>0</v>
      </c>
      <c r="Q174" s="1067"/>
    </row>
    <row r="175" spans="1:262" ht="18" customHeight="1" x14ac:dyDescent="0.35">
      <c r="A175" s="773">
        <v>165</v>
      </c>
      <c r="B175" s="618"/>
      <c r="C175" s="1546"/>
      <c r="D175" s="440" t="s">
        <v>947</v>
      </c>
      <c r="E175" s="430"/>
      <c r="F175" s="762"/>
      <c r="G175" s="431"/>
      <c r="H175" s="999"/>
      <c r="I175" s="995"/>
      <c r="J175" s="995"/>
      <c r="K175" s="995"/>
      <c r="L175" s="995"/>
      <c r="M175" s="995"/>
      <c r="N175" s="995"/>
      <c r="O175" s="995"/>
      <c r="P175" s="1547">
        <f t="shared" ref="P175:P176" si="20">SUM(I175:O175)</f>
        <v>0</v>
      </c>
      <c r="Q175" s="763"/>
    </row>
    <row r="176" spans="1:262" ht="18" customHeight="1" thickBot="1" x14ac:dyDescent="0.4">
      <c r="A176" s="773">
        <v>166</v>
      </c>
      <c r="B176" s="618"/>
      <c r="C176" s="1518"/>
      <c r="D176" s="576" t="s">
        <v>1250</v>
      </c>
      <c r="E176" s="1519"/>
      <c r="F176" s="1528"/>
      <c r="G176" s="1521"/>
      <c r="H176" s="1498"/>
      <c r="I176" s="1527"/>
      <c r="J176" s="1527"/>
      <c r="K176" s="1527"/>
      <c r="L176" s="1527"/>
      <c r="M176" s="1526">
        <f>SUM(M174:M175)</f>
        <v>0</v>
      </c>
      <c r="N176" s="1527"/>
      <c r="O176" s="1527"/>
      <c r="P176" s="1547">
        <f t="shared" si="20"/>
        <v>0</v>
      </c>
      <c r="Q176" s="1499"/>
    </row>
    <row r="177" spans="1:262" s="758" customFormat="1" ht="21.95" customHeight="1" thickTop="1" thickBot="1" x14ac:dyDescent="0.4">
      <c r="A177" s="773">
        <v>167</v>
      </c>
      <c r="B177" s="766"/>
      <c r="C177" s="1082"/>
      <c r="D177" s="1545" t="s">
        <v>826</v>
      </c>
      <c r="E177" s="1083">
        <f>E102+E98+E94+E90+E86+E81</f>
        <v>216541</v>
      </c>
      <c r="F177" s="1083">
        <f>F102+F98+F94+F90+F86+F81</f>
        <v>0</v>
      </c>
      <c r="G177" s="1083">
        <f>G102+G98+G94+G90+G86+G81</f>
        <v>0</v>
      </c>
      <c r="H177" s="1084"/>
      <c r="I177" s="1088"/>
      <c r="J177" s="1088"/>
      <c r="K177" s="1088"/>
      <c r="L177" s="1088"/>
      <c r="M177" s="1088"/>
      <c r="N177" s="1088"/>
      <c r="O177" s="1088"/>
      <c r="P177" s="1088"/>
      <c r="Q177" s="1085"/>
      <c r="R177" s="418"/>
      <c r="S177" s="418"/>
      <c r="T177" s="418"/>
      <c r="U177" s="418"/>
      <c r="V177" s="418"/>
      <c r="W177" s="418"/>
      <c r="X177" s="418"/>
      <c r="Y177" s="418"/>
      <c r="Z177" s="418"/>
      <c r="AA177" s="418"/>
      <c r="AB177" s="418"/>
      <c r="AC177" s="418"/>
      <c r="AD177" s="418"/>
      <c r="AE177" s="418"/>
      <c r="AF177" s="418"/>
      <c r="AG177" s="418"/>
      <c r="AH177" s="418"/>
      <c r="AI177" s="418"/>
      <c r="AJ177" s="418"/>
      <c r="AK177" s="418"/>
      <c r="AL177" s="418"/>
      <c r="AM177" s="418"/>
      <c r="AN177" s="418"/>
      <c r="AO177" s="418"/>
      <c r="AP177" s="418"/>
      <c r="AQ177" s="418"/>
      <c r="AR177" s="418"/>
      <c r="AS177" s="418"/>
      <c r="AT177" s="418"/>
      <c r="AU177" s="418"/>
      <c r="AV177" s="418"/>
      <c r="AW177" s="418"/>
      <c r="AX177" s="418"/>
      <c r="AY177" s="418"/>
      <c r="AZ177" s="418"/>
      <c r="BA177" s="418"/>
      <c r="BB177" s="418"/>
      <c r="BC177" s="418"/>
      <c r="BD177" s="418"/>
      <c r="BE177" s="418"/>
      <c r="BF177" s="418"/>
      <c r="BG177" s="418"/>
      <c r="BH177" s="418"/>
      <c r="BI177" s="418"/>
      <c r="BJ177" s="418"/>
      <c r="BK177" s="418"/>
      <c r="BL177" s="418"/>
      <c r="BM177" s="418"/>
      <c r="BN177" s="418"/>
      <c r="BO177" s="418"/>
      <c r="BP177" s="418"/>
      <c r="BQ177" s="418"/>
      <c r="BR177" s="418"/>
      <c r="BS177" s="418"/>
      <c r="BT177" s="418"/>
      <c r="BU177" s="418"/>
      <c r="BV177" s="418"/>
      <c r="BW177" s="418"/>
      <c r="BX177" s="418"/>
      <c r="BY177" s="418"/>
      <c r="BZ177" s="418"/>
      <c r="CA177" s="418"/>
      <c r="CB177" s="418"/>
      <c r="CC177" s="418"/>
      <c r="CD177" s="418"/>
      <c r="CE177" s="418"/>
      <c r="CF177" s="418"/>
      <c r="CG177" s="418"/>
      <c r="CH177" s="418"/>
      <c r="CI177" s="418"/>
      <c r="CJ177" s="418"/>
      <c r="CK177" s="418"/>
      <c r="CL177" s="418"/>
      <c r="CM177" s="418"/>
      <c r="CN177" s="418"/>
      <c r="CO177" s="418"/>
      <c r="CP177" s="418"/>
      <c r="CQ177" s="418"/>
      <c r="CR177" s="418"/>
      <c r="CS177" s="418"/>
      <c r="CT177" s="418"/>
      <c r="CU177" s="418"/>
      <c r="CV177" s="418"/>
      <c r="CW177" s="418"/>
      <c r="CX177" s="418"/>
      <c r="CY177" s="418"/>
      <c r="CZ177" s="418"/>
      <c r="DA177" s="418"/>
      <c r="DB177" s="418"/>
      <c r="DC177" s="418"/>
      <c r="DD177" s="418"/>
      <c r="DE177" s="418"/>
      <c r="DF177" s="418"/>
      <c r="DG177" s="418"/>
      <c r="DH177" s="418"/>
      <c r="DI177" s="418"/>
      <c r="DJ177" s="418"/>
      <c r="DK177" s="418"/>
      <c r="DL177" s="418"/>
      <c r="DM177" s="418"/>
      <c r="DN177" s="418"/>
      <c r="DO177" s="418"/>
      <c r="DP177" s="418"/>
      <c r="DQ177" s="418"/>
      <c r="DR177" s="418"/>
      <c r="DS177" s="418"/>
      <c r="DT177" s="418"/>
      <c r="DU177" s="418"/>
      <c r="DV177" s="418"/>
      <c r="DW177" s="418"/>
      <c r="DX177" s="418"/>
      <c r="DY177" s="418"/>
      <c r="DZ177" s="418"/>
      <c r="EA177" s="418"/>
      <c r="EB177" s="418"/>
      <c r="EC177" s="418"/>
      <c r="ED177" s="418"/>
      <c r="EE177" s="418"/>
      <c r="EF177" s="418"/>
      <c r="EG177" s="418"/>
      <c r="EH177" s="418"/>
      <c r="EI177" s="418"/>
      <c r="EJ177" s="418"/>
      <c r="EK177" s="418"/>
      <c r="EL177" s="418"/>
      <c r="EM177" s="418"/>
      <c r="EN177" s="418"/>
      <c r="EO177" s="418"/>
      <c r="EP177" s="418"/>
      <c r="EQ177" s="418"/>
      <c r="ER177" s="418"/>
      <c r="ES177" s="418"/>
      <c r="ET177" s="418"/>
      <c r="EU177" s="418"/>
      <c r="EV177" s="418"/>
      <c r="EW177" s="418"/>
      <c r="EX177" s="418"/>
      <c r="EY177" s="418"/>
      <c r="EZ177" s="418"/>
      <c r="FA177" s="418"/>
      <c r="FB177" s="418"/>
      <c r="FC177" s="418"/>
      <c r="FD177" s="418"/>
      <c r="FE177" s="418"/>
      <c r="FF177" s="418"/>
      <c r="FG177" s="418"/>
      <c r="FH177" s="418"/>
      <c r="FI177" s="418"/>
      <c r="FJ177" s="418"/>
      <c r="FK177" s="418"/>
      <c r="FL177" s="418"/>
      <c r="FM177" s="418"/>
      <c r="FN177" s="418"/>
      <c r="FO177" s="418"/>
      <c r="FP177" s="418"/>
      <c r="FQ177" s="418"/>
      <c r="FR177" s="418"/>
      <c r="FS177" s="418"/>
      <c r="FT177" s="418"/>
      <c r="FU177" s="418"/>
      <c r="FV177" s="418"/>
      <c r="FW177" s="418"/>
      <c r="FX177" s="418"/>
      <c r="FY177" s="418"/>
      <c r="FZ177" s="418"/>
      <c r="GA177" s="418"/>
      <c r="GB177" s="418"/>
      <c r="GC177" s="418"/>
      <c r="GD177" s="418"/>
      <c r="GE177" s="418"/>
      <c r="GF177" s="418"/>
      <c r="GG177" s="418"/>
      <c r="GH177" s="418"/>
      <c r="GI177" s="418"/>
      <c r="GJ177" s="418"/>
      <c r="GK177" s="418"/>
      <c r="GL177" s="418"/>
      <c r="GM177" s="418"/>
      <c r="GN177" s="418"/>
      <c r="GO177" s="418"/>
      <c r="GP177" s="418"/>
      <c r="GQ177" s="418"/>
      <c r="GR177" s="418"/>
      <c r="GS177" s="418"/>
      <c r="GT177" s="418"/>
      <c r="GU177" s="418"/>
      <c r="GV177" s="418"/>
      <c r="GW177" s="418"/>
      <c r="GX177" s="418"/>
      <c r="GY177" s="418"/>
      <c r="GZ177" s="418"/>
      <c r="HA177" s="418"/>
      <c r="HB177" s="418"/>
      <c r="HC177" s="418"/>
      <c r="HD177" s="418"/>
      <c r="HE177" s="418"/>
      <c r="HF177" s="418"/>
      <c r="HG177" s="418"/>
      <c r="HH177" s="418"/>
      <c r="HI177" s="418"/>
      <c r="HJ177" s="418"/>
      <c r="HK177" s="418"/>
      <c r="HL177" s="418"/>
      <c r="HM177" s="418"/>
      <c r="HN177" s="418"/>
      <c r="HO177" s="418"/>
      <c r="HP177" s="418"/>
      <c r="HQ177" s="418"/>
      <c r="HR177" s="418"/>
      <c r="HS177" s="418"/>
      <c r="HT177" s="418"/>
      <c r="HU177" s="418"/>
      <c r="HV177" s="418"/>
      <c r="HW177" s="418"/>
      <c r="HX177" s="418"/>
      <c r="HY177" s="418"/>
      <c r="HZ177" s="418"/>
      <c r="IA177" s="418"/>
      <c r="IB177" s="418"/>
      <c r="IC177" s="418"/>
      <c r="ID177" s="418"/>
      <c r="IE177" s="418"/>
      <c r="IF177" s="418"/>
      <c r="IG177" s="418"/>
      <c r="IH177" s="418"/>
      <c r="II177" s="418"/>
      <c r="IJ177" s="418"/>
      <c r="IK177" s="418"/>
      <c r="IL177" s="418"/>
      <c r="IM177" s="418"/>
      <c r="IN177" s="418"/>
      <c r="IO177" s="418"/>
      <c r="IP177" s="418"/>
      <c r="IQ177" s="418"/>
      <c r="IR177" s="418"/>
      <c r="IS177" s="418"/>
      <c r="IT177" s="418"/>
      <c r="IU177" s="418"/>
      <c r="IV177" s="418"/>
      <c r="IW177" s="418"/>
      <c r="IX177" s="418"/>
      <c r="IY177" s="418"/>
      <c r="IZ177" s="418"/>
      <c r="JA177" s="418"/>
      <c r="JB177" s="418"/>
    </row>
    <row r="178" spans="1:262" s="758" customFormat="1" ht="21.95" customHeight="1" x14ac:dyDescent="0.35">
      <c r="A178" s="773">
        <v>168</v>
      </c>
      <c r="B178" s="756"/>
      <c r="C178" s="1548"/>
      <c r="D178" s="1447" t="s">
        <v>308</v>
      </c>
      <c r="E178" s="427"/>
      <c r="F178" s="427"/>
      <c r="G178" s="426"/>
      <c r="H178" s="1550"/>
      <c r="I178" s="1564">
        <f t="shared" ref="I178:P178" si="21">I173+I168+I163+I158+I153+I148+I143+I138+I133+I128+I123+I118+I113+I107+I82</f>
        <v>0</v>
      </c>
      <c r="J178" s="1564">
        <f t="shared" si="21"/>
        <v>0</v>
      </c>
      <c r="K178" s="1564">
        <f t="shared" si="21"/>
        <v>197850</v>
      </c>
      <c r="L178" s="1564">
        <f t="shared" si="21"/>
        <v>165075</v>
      </c>
      <c r="M178" s="1564">
        <f t="shared" si="21"/>
        <v>2664544</v>
      </c>
      <c r="N178" s="1564">
        <f t="shared" si="21"/>
        <v>0</v>
      </c>
      <c r="O178" s="1564">
        <f t="shared" si="21"/>
        <v>0</v>
      </c>
      <c r="P178" s="1565">
        <f t="shared" si="21"/>
        <v>3027469</v>
      </c>
      <c r="Q178" s="1551"/>
      <c r="R178" s="418"/>
      <c r="S178" s="418"/>
      <c r="T178" s="418"/>
      <c r="U178" s="418"/>
      <c r="V178" s="418"/>
      <c r="W178" s="418"/>
      <c r="X178" s="418"/>
      <c r="Y178" s="418"/>
      <c r="Z178" s="418"/>
      <c r="AA178" s="418"/>
      <c r="AB178" s="418"/>
      <c r="AC178" s="418"/>
      <c r="AD178" s="418"/>
      <c r="AE178" s="418"/>
      <c r="AF178" s="418"/>
      <c r="AG178" s="418"/>
      <c r="AH178" s="418"/>
      <c r="AI178" s="418"/>
      <c r="AJ178" s="418"/>
      <c r="AK178" s="418"/>
      <c r="AL178" s="418"/>
      <c r="AM178" s="418"/>
      <c r="AN178" s="418"/>
      <c r="AO178" s="418"/>
      <c r="AP178" s="418"/>
      <c r="AQ178" s="418"/>
      <c r="AR178" s="418"/>
      <c r="AS178" s="418"/>
      <c r="AT178" s="418"/>
      <c r="AU178" s="418"/>
      <c r="AV178" s="418"/>
      <c r="AW178" s="418"/>
      <c r="AX178" s="418"/>
      <c r="AY178" s="418"/>
      <c r="AZ178" s="418"/>
      <c r="BA178" s="418"/>
      <c r="BB178" s="418"/>
      <c r="BC178" s="418"/>
      <c r="BD178" s="418"/>
      <c r="BE178" s="418"/>
      <c r="BF178" s="418"/>
      <c r="BG178" s="418"/>
      <c r="BH178" s="418"/>
      <c r="BI178" s="418"/>
      <c r="BJ178" s="418"/>
      <c r="BK178" s="418"/>
      <c r="BL178" s="418"/>
      <c r="BM178" s="418"/>
      <c r="BN178" s="418"/>
      <c r="BO178" s="418"/>
      <c r="BP178" s="418"/>
      <c r="BQ178" s="418"/>
      <c r="BR178" s="418"/>
      <c r="BS178" s="418"/>
      <c r="BT178" s="418"/>
      <c r="BU178" s="418"/>
      <c r="BV178" s="418"/>
      <c r="BW178" s="418"/>
      <c r="BX178" s="418"/>
      <c r="BY178" s="418"/>
      <c r="BZ178" s="418"/>
      <c r="CA178" s="418"/>
      <c r="CB178" s="418"/>
      <c r="CC178" s="418"/>
      <c r="CD178" s="418"/>
      <c r="CE178" s="418"/>
      <c r="CF178" s="418"/>
      <c r="CG178" s="418"/>
      <c r="CH178" s="418"/>
      <c r="CI178" s="418"/>
      <c r="CJ178" s="418"/>
      <c r="CK178" s="418"/>
      <c r="CL178" s="418"/>
      <c r="CM178" s="418"/>
      <c r="CN178" s="418"/>
      <c r="CO178" s="418"/>
      <c r="CP178" s="418"/>
      <c r="CQ178" s="418"/>
      <c r="CR178" s="418"/>
      <c r="CS178" s="418"/>
      <c r="CT178" s="418"/>
      <c r="CU178" s="418"/>
      <c r="CV178" s="418"/>
      <c r="CW178" s="418"/>
      <c r="CX178" s="418"/>
      <c r="CY178" s="418"/>
      <c r="CZ178" s="418"/>
      <c r="DA178" s="418"/>
      <c r="DB178" s="418"/>
      <c r="DC178" s="418"/>
      <c r="DD178" s="418"/>
      <c r="DE178" s="418"/>
      <c r="DF178" s="418"/>
      <c r="DG178" s="418"/>
      <c r="DH178" s="418"/>
      <c r="DI178" s="418"/>
      <c r="DJ178" s="418"/>
      <c r="DK178" s="418"/>
      <c r="DL178" s="418"/>
      <c r="DM178" s="418"/>
      <c r="DN178" s="418"/>
      <c r="DO178" s="418"/>
      <c r="DP178" s="418"/>
      <c r="DQ178" s="418"/>
      <c r="DR178" s="418"/>
      <c r="DS178" s="418"/>
      <c r="DT178" s="418"/>
      <c r="DU178" s="418"/>
      <c r="DV178" s="418"/>
      <c r="DW178" s="418"/>
      <c r="DX178" s="418"/>
      <c r="DY178" s="418"/>
      <c r="DZ178" s="418"/>
      <c r="EA178" s="418"/>
      <c r="EB178" s="418"/>
      <c r="EC178" s="418"/>
      <c r="ED178" s="418"/>
      <c r="EE178" s="418"/>
      <c r="EF178" s="418"/>
      <c r="EG178" s="418"/>
      <c r="EH178" s="418"/>
      <c r="EI178" s="418"/>
      <c r="EJ178" s="418"/>
      <c r="EK178" s="418"/>
      <c r="EL178" s="418"/>
      <c r="EM178" s="418"/>
      <c r="EN178" s="418"/>
      <c r="EO178" s="418"/>
      <c r="EP178" s="418"/>
      <c r="EQ178" s="418"/>
      <c r="ER178" s="418"/>
      <c r="ES178" s="418"/>
      <c r="ET178" s="418"/>
      <c r="EU178" s="418"/>
      <c r="EV178" s="418"/>
      <c r="EW178" s="418"/>
      <c r="EX178" s="418"/>
      <c r="EY178" s="418"/>
      <c r="EZ178" s="418"/>
      <c r="FA178" s="418"/>
      <c r="FB178" s="418"/>
      <c r="FC178" s="418"/>
      <c r="FD178" s="418"/>
      <c r="FE178" s="418"/>
      <c r="FF178" s="418"/>
      <c r="FG178" s="418"/>
      <c r="FH178" s="418"/>
      <c r="FI178" s="418"/>
      <c r="FJ178" s="418"/>
      <c r="FK178" s="418"/>
      <c r="FL178" s="418"/>
      <c r="FM178" s="418"/>
      <c r="FN178" s="418"/>
      <c r="FO178" s="418"/>
      <c r="FP178" s="418"/>
      <c r="FQ178" s="418"/>
      <c r="FR178" s="418"/>
      <c r="FS178" s="418"/>
      <c r="FT178" s="418"/>
      <c r="FU178" s="418"/>
      <c r="FV178" s="418"/>
      <c r="FW178" s="418"/>
      <c r="FX178" s="418"/>
      <c r="FY178" s="418"/>
      <c r="FZ178" s="418"/>
      <c r="GA178" s="418"/>
      <c r="GB178" s="418"/>
      <c r="GC178" s="418"/>
      <c r="GD178" s="418"/>
      <c r="GE178" s="418"/>
      <c r="GF178" s="418"/>
      <c r="GG178" s="418"/>
      <c r="GH178" s="418"/>
      <c r="GI178" s="418"/>
      <c r="GJ178" s="418"/>
      <c r="GK178" s="418"/>
      <c r="GL178" s="418"/>
      <c r="GM178" s="418"/>
      <c r="GN178" s="418"/>
      <c r="GO178" s="418"/>
      <c r="GP178" s="418"/>
      <c r="GQ178" s="418"/>
      <c r="GR178" s="418"/>
      <c r="GS178" s="418"/>
      <c r="GT178" s="418"/>
      <c r="GU178" s="418"/>
      <c r="GV178" s="418"/>
      <c r="GW178" s="418"/>
      <c r="GX178" s="418"/>
      <c r="GY178" s="418"/>
      <c r="GZ178" s="418"/>
      <c r="HA178" s="418"/>
      <c r="HB178" s="418"/>
      <c r="HC178" s="418"/>
      <c r="HD178" s="418"/>
      <c r="HE178" s="418"/>
      <c r="HF178" s="418"/>
      <c r="HG178" s="418"/>
      <c r="HH178" s="418"/>
      <c r="HI178" s="418"/>
      <c r="HJ178" s="418"/>
      <c r="HK178" s="418"/>
      <c r="HL178" s="418"/>
      <c r="HM178" s="418"/>
      <c r="HN178" s="418"/>
      <c r="HO178" s="418"/>
      <c r="HP178" s="418"/>
      <c r="HQ178" s="418"/>
      <c r="HR178" s="418"/>
      <c r="HS178" s="418"/>
      <c r="HT178" s="418"/>
      <c r="HU178" s="418"/>
      <c r="HV178" s="418"/>
      <c r="HW178" s="418"/>
      <c r="HX178" s="418"/>
      <c r="HY178" s="418"/>
      <c r="HZ178" s="418"/>
      <c r="IA178" s="418"/>
      <c r="IB178" s="418"/>
      <c r="IC178" s="418"/>
      <c r="ID178" s="418"/>
      <c r="IE178" s="418"/>
      <c r="IF178" s="418"/>
      <c r="IG178" s="418"/>
      <c r="IH178" s="418"/>
      <c r="II178" s="418"/>
      <c r="IJ178" s="418"/>
      <c r="IK178" s="418"/>
      <c r="IL178" s="418"/>
      <c r="IM178" s="418"/>
      <c r="IN178" s="418"/>
      <c r="IO178" s="418"/>
      <c r="IP178" s="418"/>
      <c r="IQ178" s="418"/>
      <c r="IR178" s="418"/>
      <c r="IS178" s="418"/>
      <c r="IT178" s="418"/>
      <c r="IU178" s="418"/>
      <c r="IV178" s="418"/>
      <c r="IW178" s="418"/>
      <c r="IX178" s="418"/>
      <c r="IY178" s="418"/>
      <c r="IZ178" s="418"/>
      <c r="JA178" s="418"/>
      <c r="JB178" s="418"/>
    </row>
    <row r="179" spans="1:262" s="758" customFormat="1" ht="21.95" customHeight="1" x14ac:dyDescent="0.35">
      <c r="A179" s="773">
        <v>169</v>
      </c>
      <c r="B179" s="756"/>
      <c r="C179" s="1548"/>
      <c r="D179" s="576" t="s">
        <v>1158</v>
      </c>
      <c r="E179" s="427"/>
      <c r="F179" s="427"/>
      <c r="G179" s="426"/>
      <c r="H179" s="998"/>
      <c r="I179" s="1826">
        <f t="shared" ref="I179:O180" si="22">I174+I169+I164+I159+I154+I149+I144+I139+I134+I129+I124+I119+I114+I108+I83+I103+I99+I95+I91+I87</f>
        <v>3600</v>
      </c>
      <c r="J179" s="1826">
        <f t="shared" si="22"/>
        <v>535</v>
      </c>
      <c r="K179" s="1826">
        <f t="shared" si="22"/>
        <v>2298</v>
      </c>
      <c r="L179" s="1826">
        <f t="shared" si="22"/>
        <v>0</v>
      </c>
      <c r="M179" s="1826">
        <f t="shared" si="22"/>
        <v>210108</v>
      </c>
      <c r="N179" s="1826">
        <f t="shared" si="22"/>
        <v>0</v>
      </c>
      <c r="O179" s="1826">
        <f t="shared" si="22"/>
        <v>0</v>
      </c>
      <c r="P179" s="767">
        <f>SUM(I179:O179)</f>
        <v>216541</v>
      </c>
      <c r="Q179" s="1551"/>
      <c r="R179" s="418"/>
      <c r="S179" s="418"/>
      <c r="T179" s="418"/>
      <c r="U179" s="418"/>
      <c r="V179" s="418"/>
      <c r="W179" s="418"/>
      <c r="X179" s="418"/>
      <c r="Y179" s="418"/>
      <c r="Z179" s="418"/>
      <c r="AA179" s="418"/>
      <c r="AB179" s="418"/>
      <c r="AC179" s="418"/>
      <c r="AD179" s="418"/>
      <c r="AE179" s="418"/>
      <c r="AF179" s="418"/>
      <c r="AG179" s="418"/>
      <c r="AH179" s="418"/>
      <c r="AI179" s="418"/>
      <c r="AJ179" s="418"/>
      <c r="AK179" s="418"/>
      <c r="AL179" s="418"/>
      <c r="AM179" s="418"/>
      <c r="AN179" s="418"/>
      <c r="AO179" s="418"/>
      <c r="AP179" s="418"/>
      <c r="AQ179" s="418"/>
      <c r="AR179" s="418"/>
      <c r="AS179" s="418"/>
      <c r="AT179" s="418"/>
      <c r="AU179" s="418"/>
      <c r="AV179" s="418"/>
      <c r="AW179" s="418"/>
      <c r="AX179" s="418"/>
      <c r="AY179" s="418"/>
      <c r="AZ179" s="418"/>
      <c r="BA179" s="418"/>
      <c r="BB179" s="418"/>
      <c r="BC179" s="418"/>
      <c r="BD179" s="418"/>
      <c r="BE179" s="418"/>
      <c r="BF179" s="418"/>
      <c r="BG179" s="418"/>
      <c r="BH179" s="418"/>
      <c r="BI179" s="418"/>
      <c r="BJ179" s="418"/>
      <c r="BK179" s="418"/>
      <c r="BL179" s="418"/>
      <c r="BM179" s="418"/>
      <c r="BN179" s="418"/>
      <c r="BO179" s="418"/>
      <c r="BP179" s="418"/>
      <c r="BQ179" s="418"/>
      <c r="BR179" s="418"/>
      <c r="BS179" s="418"/>
      <c r="BT179" s="418"/>
      <c r="BU179" s="418"/>
      <c r="BV179" s="418"/>
      <c r="BW179" s="418"/>
      <c r="BX179" s="418"/>
      <c r="BY179" s="418"/>
      <c r="BZ179" s="418"/>
      <c r="CA179" s="418"/>
      <c r="CB179" s="418"/>
      <c r="CC179" s="418"/>
      <c r="CD179" s="418"/>
      <c r="CE179" s="418"/>
      <c r="CF179" s="418"/>
      <c r="CG179" s="418"/>
      <c r="CH179" s="418"/>
      <c r="CI179" s="418"/>
      <c r="CJ179" s="418"/>
      <c r="CK179" s="418"/>
      <c r="CL179" s="418"/>
      <c r="CM179" s="418"/>
      <c r="CN179" s="418"/>
      <c r="CO179" s="418"/>
      <c r="CP179" s="418"/>
      <c r="CQ179" s="418"/>
      <c r="CR179" s="418"/>
      <c r="CS179" s="418"/>
      <c r="CT179" s="418"/>
      <c r="CU179" s="418"/>
      <c r="CV179" s="418"/>
      <c r="CW179" s="418"/>
      <c r="CX179" s="418"/>
      <c r="CY179" s="418"/>
      <c r="CZ179" s="418"/>
      <c r="DA179" s="418"/>
      <c r="DB179" s="418"/>
      <c r="DC179" s="418"/>
      <c r="DD179" s="418"/>
      <c r="DE179" s="418"/>
      <c r="DF179" s="418"/>
      <c r="DG179" s="418"/>
      <c r="DH179" s="418"/>
      <c r="DI179" s="418"/>
      <c r="DJ179" s="418"/>
      <c r="DK179" s="418"/>
      <c r="DL179" s="418"/>
      <c r="DM179" s="418"/>
      <c r="DN179" s="418"/>
      <c r="DO179" s="418"/>
      <c r="DP179" s="418"/>
      <c r="DQ179" s="418"/>
      <c r="DR179" s="418"/>
      <c r="DS179" s="418"/>
      <c r="DT179" s="418"/>
      <c r="DU179" s="418"/>
      <c r="DV179" s="418"/>
      <c r="DW179" s="418"/>
      <c r="DX179" s="418"/>
      <c r="DY179" s="418"/>
      <c r="DZ179" s="418"/>
      <c r="EA179" s="418"/>
      <c r="EB179" s="418"/>
      <c r="EC179" s="418"/>
      <c r="ED179" s="418"/>
      <c r="EE179" s="418"/>
      <c r="EF179" s="418"/>
      <c r="EG179" s="418"/>
      <c r="EH179" s="418"/>
      <c r="EI179" s="418"/>
      <c r="EJ179" s="418"/>
      <c r="EK179" s="418"/>
      <c r="EL179" s="418"/>
      <c r="EM179" s="418"/>
      <c r="EN179" s="418"/>
      <c r="EO179" s="418"/>
      <c r="EP179" s="418"/>
      <c r="EQ179" s="418"/>
      <c r="ER179" s="418"/>
      <c r="ES179" s="418"/>
      <c r="ET179" s="418"/>
      <c r="EU179" s="418"/>
      <c r="EV179" s="418"/>
      <c r="EW179" s="418"/>
      <c r="EX179" s="418"/>
      <c r="EY179" s="418"/>
      <c r="EZ179" s="418"/>
      <c r="FA179" s="418"/>
      <c r="FB179" s="418"/>
      <c r="FC179" s="418"/>
      <c r="FD179" s="418"/>
      <c r="FE179" s="418"/>
      <c r="FF179" s="418"/>
      <c r="FG179" s="418"/>
      <c r="FH179" s="418"/>
      <c r="FI179" s="418"/>
      <c r="FJ179" s="418"/>
      <c r="FK179" s="418"/>
      <c r="FL179" s="418"/>
      <c r="FM179" s="418"/>
      <c r="FN179" s="418"/>
      <c r="FO179" s="418"/>
      <c r="FP179" s="418"/>
      <c r="FQ179" s="418"/>
      <c r="FR179" s="418"/>
      <c r="FS179" s="418"/>
      <c r="FT179" s="418"/>
      <c r="FU179" s="418"/>
      <c r="FV179" s="418"/>
      <c r="FW179" s="418"/>
      <c r="FX179" s="418"/>
      <c r="FY179" s="418"/>
      <c r="FZ179" s="418"/>
      <c r="GA179" s="418"/>
      <c r="GB179" s="418"/>
      <c r="GC179" s="418"/>
      <c r="GD179" s="418"/>
      <c r="GE179" s="418"/>
      <c r="GF179" s="418"/>
      <c r="GG179" s="418"/>
      <c r="GH179" s="418"/>
      <c r="GI179" s="418"/>
      <c r="GJ179" s="418"/>
      <c r="GK179" s="418"/>
      <c r="GL179" s="418"/>
      <c r="GM179" s="418"/>
      <c r="GN179" s="418"/>
      <c r="GO179" s="418"/>
      <c r="GP179" s="418"/>
      <c r="GQ179" s="418"/>
      <c r="GR179" s="418"/>
      <c r="GS179" s="418"/>
      <c r="GT179" s="418"/>
      <c r="GU179" s="418"/>
      <c r="GV179" s="418"/>
      <c r="GW179" s="418"/>
      <c r="GX179" s="418"/>
      <c r="GY179" s="418"/>
      <c r="GZ179" s="418"/>
      <c r="HA179" s="418"/>
      <c r="HB179" s="418"/>
      <c r="HC179" s="418"/>
      <c r="HD179" s="418"/>
      <c r="HE179" s="418"/>
      <c r="HF179" s="418"/>
      <c r="HG179" s="418"/>
      <c r="HH179" s="418"/>
      <c r="HI179" s="418"/>
      <c r="HJ179" s="418"/>
      <c r="HK179" s="418"/>
      <c r="HL179" s="418"/>
      <c r="HM179" s="418"/>
      <c r="HN179" s="418"/>
      <c r="HO179" s="418"/>
      <c r="HP179" s="418"/>
      <c r="HQ179" s="418"/>
      <c r="HR179" s="418"/>
      <c r="HS179" s="418"/>
      <c r="HT179" s="418"/>
      <c r="HU179" s="418"/>
      <c r="HV179" s="418"/>
      <c r="HW179" s="418"/>
      <c r="HX179" s="418"/>
      <c r="HY179" s="418"/>
      <c r="HZ179" s="418"/>
      <c r="IA179" s="418"/>
      <c r="IB179" s="418"/>
      <c r="IC179" s="418"/>
      <c r="ID179" s="418"/>
      <c r="IE179" s="418"/>
      <c r="IF179" s="418"/>
      <c r="IG179" s="418"/>
      <c r="IH179" s="418"/>
      <c r="II179" s="418"/>
      <c r="IJ179" s="418"/>
      <c r="IK179" s="418"/>
      <c r="IL179" s="418"/>
      <c r="IM179" s="418"/>
      <c r="IN179" s="418"/>
      <c r="IO179" s="418"/>
      <c r="IP179" s="418"/>
      <c r="IQ179" s="418"/>
      <c r="IR179" s="418"/>
      <c r="IS179" s="418"/>
      <c r="IT179" s="418"/>
      <c r="IU179" s="418"/>
      <c r="IV179" s="418"/>
      <c r="IW179" s="418"/>
      <c r="IX179" s="418"/>
      <c r="IY179" s="418"/>
      <c r="IZ179" s="418"/>
      <c r="JA179" s="418"/>
      <c r="JB179" s="418"/>
    </row>
    <row r="180" spans="1:262" s="758" customFormat="1" ht="21.95" customHeight="1" x14ac:dyDescent="0.35">
      <c r="A180" s="773">
        <v>170</v>
      </c>
      <c r="B180" s="766"/>
      <c r="C180" s="420"/>
      <c r="D180" s="1458" t="s">
        <v>947</v>
      </c>
      <c r="E180" s="430"/>
      <c r="F180" s="430"/>
      <c r="G180" s="431"/>
      <c r="H180" s="999"/>
      <c r="I180" s="1563">
        <f t="shared" si="22"/>
        <v>0</v>
      </c>
      <c r="J180" s="1563">
        <f t="shared" si="22"/>
        <v>0</v>
      </c>
      <c r="K180" s="1563">
        <f t="shared" si="22"/>
        <v>-228</v>
      </c>
      <c r="L180" s="1563">
        <f t="shared" si="22"/>
        <v>0</v>
      </c>
      <c r="M180" s="1563">
        <f t="shared" si="22"/>
        <v>228</v>
      </c>
      <c r="N180" s="1563">
        <f t="shared" si="22"/>
        <v>0</v>
      </c>
      <c r="O180" s="1563">
        <f t="shared" si="22"/>
        <v>0</v>
      </c>
      <c r="P180" s="1928">
        <f>SUM(I180:O180)</f>
        <v>0</v>
      </c>
      <c r="Q180" s="1552"/>
      <c r="R180" s="418"/>
      <c r="S180" s="418"/>
      <c r="T180" s="418"/>
      <c r="U180" s="418"/>
      <c r="V180" s="418"/>
      <c r="W180" s="418"/>
      <c r="X180" s="418"/>
      <c r="Y180" s="418"/>
      <c r="Z180" s="418"/>
      <c r="AA180" s="418"/>
      <c r="AB180" s="418"/>
      <c r="AC180" s="418"/>
      <c r="AD180" s="418"/>
      <c r="AE180" s="418"/>
      <c r="AF180" s="418"/>
      <c r="AG180" s="418"/>
      <c r="AH180" s="418"/>
      <c r="AI180" s="418"/>
      <c r="AJ180" s="418"/>
      <c r="AK180" s="418"/>
      <c r="AL180" s="418"/>
      <c r="AM180" s="418"/>
      <c r="AN180" s="418"/>
      <c r="AO180" s="418"/>
      <c r="AP180" s="418"/>
      <c r="AQ180" s="418"/>
      <c r="AR180" s="418"/>
      <c r="AS180" s="418"/>
      <c r="AT180" s="418"/>
      <c r="AU180" s="418"/>
      <c r="AV180" s="418"/>
      <c r="AW180" s="418"/>
      <c r="AX180" s="418"/>
      <c r="AY180" s="418"/>
      <c r="AZ180" s="418"/>
      <c r="BA180" s="418"/>
      <c r="BB180" s="418"/>
      <c r="BC180" s="418"/>
      <c r="BD180" s="418"/>
      <c r="BE180" s="418"/>
      <c r="BF180" s="418"/>
      <c r="BG180" s="418"/>
      <c r="BH180" s="418"/>
      <c r="BI180" s="418"/>
      <c r="BJ180" s="418"/>
      <c r="BK180" s="418"/>
      <c r="BL180" s="418"/>
      <c r="BM180" s="418"/>
      <c r="BN180" s="418"/>
      <c r="BO180" s="418"/>
      <c r="BP180" s="418"/>
      <c r="BQ180" s="418"/>
      <c r="BR180" s="418"/>
      <c r="BS180" s="418"/>
      <c r="BT180" s="418"/>
      <c r="BU180" s="418"/>
      <c r="BV180" s="418"/>
      <c r="BW180" s="418"/>
      <c r="BX180" s="418"/>
      <c r="BY180" s="418"/>
      <c r="BZ180" s="418"/>
      <c r="CA180" s="418"/>
      <c r="CB180" s="418"/>
      <c r="CC180" s="418"/>
      <c r="CD180" s="418"/>
      <c r="CE180" s="418"/>
      <c r="CF180" s="418"/>
      <c r="CG180" s="418"/>
      <c r="CH180" s="418"/>
      <c r="CI180" s="418"/>
      <c r="CJ180" s="418"/>
      <c r="CK180" s="418"/>
      <c r="CL180" s="418"/>
      <c r="CM180" s="418"/>
      <c r="CN180" s="418"/>
      <c r="CO180" s="418"/>
      <c r="CP180" s="418"/>
      <c r="CQ180" s="418"/>
      <c r="CR180" s="418"/>
      <c r="CS180" s="418"/>
      <c r="CT180" s="418"/>
      <c r="CU180" s="418"/>
      <c r="CV180" s="418"/>
      <c r="CW180" s="418"/>
      <c r="CX180" s="418"/>
      <c r="CY180" s="418"/>
      <c r="CZ180" s="418"/>
      <c r="DA180" s="418"/>
      <c r="DB180" s="418"/>
      <c r="DC180" s="418"/>
      <c r="DD180" s="418"/>
      <c r="DE180" s="418"/>
      <c r="DF180" s="418"/>
      <c r="DG180" s="418"/>
      <c r="DH180" s="418"/>
      <c r="DI180" s="418"/>
      <c r="DJ180" s="418"/>
      <c r="DK180" s="418"/>
      <c r="DL180" s="418"/>
      <c r="DM180" s="418"/>
      <c r="DN180" s="418"/>
      <c r="DO180" s="418"/>
      <c r="DP180" s="418"/>
      <c r="DQ180" s="418"/>
      <c r="DR180" s="418"/>
      <c r="DS180" s="418"/>
      <c r="DT180" s="418"/>
      <c r="DU180" s="418"/>
      <c r="DV180" s="418"/>
      <c r="DW180" s="418"/>
      <c r="DX180" s="418"/>
      <c r="DY180" s="418"/>
      <c r="DZ180" s="418"/>
      <c r="EA180" s="418"/>
      <c r="EB180" s="418"/>
      <c r="EC180" s="418"/>
      <c r="ED180" s="418"/>
      <c r="EE180" s="418"/>
      <c r="EF180" s="418"/>
      <c r="EG180" s="418"/>
      <c r="EH180" s="418"/>
      <c r="EI180" s="418"/>
      <c r="EJ180" s="418"/>
      <c r="EK180" s="418"/>
      <c r="EL180" s="418"/>
      <c r="EM180" s="418"/>
      <c r="EN180" s="418"/>
      <c r="EO180" s="418"/>
      <c r="EP180" s="418"/>
      <c r="EQ180" s="418"/>
      <c r="ER180" s="418"/>
      <c r="ES180" s="418"/>
      <c r="ET180" s="418"/>
      <c r="EU180" s="418"/>
      <c r="EV180" s="418"/>
      <c r="EW180" s="418"/>
      <c r="EX180" s="418"/>
      <c r="EY180" s="418"/>
      <c r="EZ180" s="418"/>
      <c r="FA180" s="418"/>
      <c r="FB180" s="418"/>
      <c r="FC180" s="418"/>
      <c r="FD180" s="418"/>
      <c r="FE180" s="418"/>
      <c r="FF180" s="418"/>
      <c r="FG180" s="418"/>
      <c r="FH180" s="418"/>
      <c r="FI180" s="418"/>
      <c r="FJ180" s="418"/>
      <c r="FK180" s="418"/>
      <c r="FL180" s="418"/>
      <c r="FM180" s="418"/>
      <c r="FN180" s="418"/>
      <c r="FO180" s="418"/>
      <c r="FP180" s="418"/>
      <c r="FQ180" s="418"/>
      <c r="FR180" s="418"/>
      <c r="FS180" s="418"/>
      <c r="FT180" s="418"/>
      <c r="FU180" s="418"/>
      <c r="FV180" s="418"/>
      <c r="FW180" s="418"/>
      <c r="FX180" s="418"/>
      <c r="FY180" s="418"/>
      <c r="FZ180" s="418"/>
      <c r="GA180" s="418"/>
      <c r="GB180" s="418"/>
      <c r="GC180" s="418"/>
      <c r="GD180" s="418"/>
      <c r="GE180" s="418"/>
      <c r="GF180" s="418"/>
      <c r="GG180" s="418"/>
      <c r="GH180" s="418"/>
      <c r="GI180" s="418"/>
      <c r="GJ180" s="418"/>
      <c r="GK180" s="418"/>
      <c r="GL180" s="418"/>
      <c r="GM180" s="418"/>
      <c r="GN180" s="418"/>
      <c r="GO180" s="418"/>
      <c r="GP180" s="418"/>
      <c r="GQ180" s="418"/>
      <c r="GR180" s="418"/>
      <c r="GS180" s="418"/>
      <c r="GT180" s="418"/>
      <c r="GU180" s="418"/>
      <c r="GV180" s="418"/>
      <c r="GW180" s="418"/>
      <c r="GX180" s="418"/>
      <c r="GY180" s="418"/>
      <c r="GZ180" s="418"/>
      <c r="HA180" s="418"/>
      <c r="HB180" s="418"/>
      <c r="HC180" s="418"/>
      <c r="HD180" s="418"/>
      <c r="HE180" s="418"/>
      <c r="HF180" s="418"/>
      <c r="HG180" s="418"/>
      <c r="HH180" s="418"/>
      <c r="HI180" s="418"/>
      <c r="HJ180" s="418"/>
      <c r="HK180" s="418"/>
      <c r="HL180" s="418"/>
      <c r="HM180" s="418"/>
      <c r="HN180" s="418"/>
      <c r="HO180" s="418"/>
      <c r="HP180" s="418"/>
      <c r="HQ180" s="418"/>
      <c r="HR180" s="418"/>
      <c r="HS180" s="418"/>
      <c r="HT180" s="418"/>
      <c r="HU180" s="418"/>
      <c r="HV180" s="418"/>
      <c r="HW180" s="418"/>
      <c r="HX180" s="418"/>
      <c r="HY180" s="418"/>
      <c r="HZ180" s="418"/>
      <c r="IA180" s="418"/>
      <c r="IB180" s="418"/>
      <c r="IC180" s="418"/>
      <c r="ID180" s="418"/>
      <c r="IE180" s="418"/>
      <c r="IF180" s="418"/>
      <c r="IG180" s="418"/>
      <c r="IH180" s="418"/>
      <c r="II180" s="418"/>
      <c r="IJ180" s="418"/>
      <c r="IK180" s="418"/>
      <c r="IL180" s="418"/>
      <c r="IM180" s="418"/>
      <c r="IN180" s="418"/>
      <c r="IO180" s="418"/>
      <c r="IP180" s="418"/>
      <c r="IQ180" s="418"/>
      <c r="IR180" s="418"/>
      <c r="IS180" s="418"/>
      <c r="IT180" s="418"/>
      <c r="IU180" s="418"/>
      <c r="IV180" s="418"/>
      <c r="IW180" s="418"/>
      <c r="IX180" s="418"/>
      <c r="IY180" s="418"/>
      <c r="IZ180" s="418"/>
      <c r="JA180" s="418"/>
      <c r="JB180" s="418"/>
    </row>
    <row r="181" spans="1:262" s="758" customFormat="1" ht="21.95" customHeight="1" thickBot="1" x14ac:dyDescent="0.4">
      <c r="A181" s="773">
        <v>171</v>
      </c>
      <c r="B181" s="2012"/>
      <c r="C181" s="1501"/>
      <c r="D181" s="1487" t="s">
        <v>1250</v>
      </c>
      <c r="E181" s="1502"/>
      <c r="F181" s="1502"/>
      <c r="G181" s="1504"/>
      <c r="H181" s="1505"/>
      <c r="I181" s="1549">
        <f t="shared" ref="I181:O181" si="23">SUM(I179:I180)</f>
        <v>3600</v>
      </c>
      <c r="J181" s="1549">
        <f t="shared" si="23"/>
        <v>535</v>
      </c>
      <c r="K181" s="1549">
        <f t="shared" si="23"/>
        <v>2070</v>
      </c>
      <c r="L181" s="1549">
        <f t="shared" si="23"/>
        <v>0</v>
      </c>
      <c r="M181" s="1549">
        <f t="shared" si="23"/>
        <v>210336</v>
      </c>
      <c r="N181" s="1549">
        <f t="shared" si="23"/>
        <v>0</v>
      </c>
      <c r="O181" s="1549">
        <f t="shared" si="23"/>
        <v>0</v>
      </c>
      <c r="P181" s="1554">
        <f>SUM(P179:P180)</f>
        <v>216541</v>
      </c>
      <c r="Q181" s="1553"/>
      <c r="R181" s="418"/>
      <c r="S181" s="418"/>
      <c r="T181" s="418"/>
      <c r="U181" s="418"/>
      <c r="V181" s="418"/>
      <c r="W181" s="418"/>
      <c r="X181" s="418"/>
      <c r="Y181" s="418"/>
      <c r="Z181" s="418"/>
      <c r="AA181" s="418"/>
      <c r="AB181" s="418"/>
      <c r="AC181" s="418"/>
      <c r="AD181" s="418"/>
      <c r="AE181" s="418"/>
      <c r="AF181" s="418"/>
      <c r="AG181" s="418"/>
      <c r="AH181" s="418"/>
      <c r="AI181" s="418"/>
      <c r="AJ181" s="418"/>
      <c r="AK181" s="418"/>
      <c r="AL181" s="418"/>
      <c r="AM181" s="418"/>
      <c r="AN181" s="418"/>
      <c r="AO181" s="418"/>
      <c r="AP181" s="418"/>
      <c r="AQ181" s="418"/>
      <c r="AR181" s="418"/>
      <c r="AS181" s="418"/>
      <c r="AT181" s="418"/>
      <c r="AU181" s="418"/>
      <c r="AV181" s="418"/>
      <c r="AW181" s="418"/>
      <c r="AX181" s="418"/>
      <c r="AY181" s="418"/>
      <c r="AZ181" s="418"/>
      <c r="BA181" s="418"/>
      <c r="BB181" s="418"/>
      <c r="BC181" s="418"/>
      <c r="BD181" s="418"/>
      <c r="BE181" s="418"/>
      <c r="BF181" s="418"/>
      <c r="BG181" s="418"/>
      <c r="BH181" s="418"/>
      <c r="BI181" s="418"/>
      <c r="BJ181" s="418"/>
      <c r="BK181" s="418"/>
      <c r="BL181" s="418"/>
      <c r="BM181" s="418"/>
      <c r="BN181" s="418"/>
      <c r="BO181" s="418"/>
      <c r="BP181" s="418"/>
      <c r="BQ181" s="418"/>
      <c r="BR181" s="418"/>
      <c r="BS181" s="418"/>
      <c r="BT181" s="418"/>
      <c r="BU181" s="418"/>
      <c r="BV181" s="418"/>
      <c r="BW181" s="418"/>
      <c r="BX181" s="418"/>
      <c r="BY181" s="418"/>
      <c r="BZ181" s="418"/>
      <c r="CA181" s="418"/>
      <c r="CB181" s="418"/>
      <c r="CC181" s="418"/>
      <c r="CD181" s="418"/>
      <c r="CE181" s="418"/>
      <c r="CF181" s="418"/>
      <c r="CG181" s="418"/>
      <c r="CH181" s="418"/>
      <c r="CI181" s="418"/>
      <c r="CJ181" s="418"/>
      <c r="CK181" s="418"/>
      <c r="CL181" s="418"/>
      <c r="CM181" s="418"/>
      <c r="CN181" s="418"/>
      <c r="CO181" s="418"/>
      <c r="CP181" s="418"/>
      <c r="CQ181" s="418"/>
      <c r="CR181" s="418"/>
      <c r="CS181" s="418"/>
      <c r="CT181" s="418"/>
      <c r="CU181" s="418"/>
      <c r="CV181" s="418"/>
      <c r="CW181" s="418"/>
      <c r="CX181" s="418"/>
      <c r="CY181" s="418"/>
      <c r="CZ181" s="418"/>
      <c r="DA181" s="418"/>
      <c r="DB181" s="418"/>
      <c r="DC181" s="418"/>
      <c r="DD181" s="418"/>
      <c r="DE181" s="418"/>
      <c r="DF181" s="418"/>
      <c r="DG181" s="418"/>
      <c r="DH181" s="418"/>
      <c r="DI181" s="418"/>
      <c r="DJ181" s="418"/>
      <c r="DK181" s="418"/>
      <c r="DL181" s="418"/>
      <c r="DM181" s="418"/>
      <c r="DN181" s="418"/>
      <c r="DO181" s="418"/>
      <c r="DP181" s="418"/>
      <c r="DQ181" s="418"/>
      <c r="DR181" s="418"/>
      <c r="DS181" s="418"/>
      <c r="DT181" s="418"/>
      <c r="DU181" s="418"/>
      <c r="DV181" s="418"/>
      <c r="DW181" s="418"/>
      <c r="DX181" s="418"/>
      <c r="DY181" s="418"/>
      <c r="DZ181" s="418"/>
      <c r="EA181" s="418"/>
      <c r="EB181" s="418"/>
      <c r="EC181" s="418"/>
      <c r="ED181" s="418"/>
      <c r="EE181" s="418"/>
      <c r="EF181" s="418"/>
      <c r="EG181" s="418"/>
      <c r="EH181" s="418"/>
      <c r="EI181" s="418"/>
      <c r="EJ181" s="418"/>
      <c r="EK181" s="418"/>
      <c r="EL181" s="418"/>
      <c r="EM181" s="418"/>
      <c r="EN181" s="418"/>
      <c r="EO181" s="418"/>
      <c r="EP181" s="418"/>
      <c r="EQ181" s="418"/>
      <c r="ER181" s="418"/>
      <c r="ES181" s="418"/>
      <c r="ET181" s="418"/>
      <c r="EU181" s="418"/>
      <c r="EV181" s="418"/>
      <c r="EW181" s="418"/>
      <c r="EX181" s="418"/>
      <c r="EY181" s="418"/>
      <c r="EZ181" s="418"/>
      <c r="FA181" s="418"/>
      <c r="FB181" s="418"/>
      <c r="FC181" s="418"/>
      <c r="FD181" s="418"/>
      <c r="FE181" s="418"/>
      <c r="FF181" s="418"/>
      <c r="FG181" s="418"/>
      <c r="FH181" s="418"/>
      <c r="FI181" s="418"/>
      <c r="FJ181" s="418"/>
      <c r="FK181" s="418"/>
      <c r="FL181" s="418"/>
      <c r="FM181" s="418"/>
      <c r="FN181" s="418"/>
      <c r="FO181" s="418"/>
      <c r="FP181" s="418"/>
      <c r="FQ181" s="418"/>
      <c r="FR181" s="418"/>
      <c r="FS181" s="418"/>
      <c r="FT181" s="418"/>
      <c r="FU181" s="418"/>
      <c r="FV181" s="418"/>
      <c r="FW181" s="418"/>
      <c r="FX181" s="418"/>
      <c r="FY181" s="418"/>
      <c r="FZ181" s="418"/>
      <c r="GA181" s="418"/>
      <c r="GB181" s="418"/>
      <c r="GC181" s="418"/>
      <c r="GD181" s="418"/>
      <c r="GE181" s="418"/>
      <c r="GF181" s="418"/>
      <c r="GG181" s="418"/>
      <c r="GH181" s="418"/>
      <c r="GI181" s="418"/>
      <c r="GJ181" s="418"/>
      <c r="GK181" s="418"/>
      <c r="GL181" s="418"/>
      <c r="GM181" s="418"/>
      <c r="GN181" s="418"/>
      <c r="GO181" s="418"/>
      <c r="GP181" s="418"/>
      <c r="GQ181" s="418"/>
      <c r="GR181" s="418"/>
      <c r="GS181" s="418"/>
      <c r="GT181" s="418"/>
      <c r="GU181" s="418"/>
      <c r="GV181" s="418"/>
      <c r="GW181" s="418"/>
      <c r="GX181" s="418"/>
      <c r="GY181" s="418"/>
      <c r="GZ181" s="418"/>
      <c r="HA181" s="418"/>
      <c r="HB181" s="418"/>
      <c r="HC181" s="418"/>
      <c r="HD181" s="418"/>
      <c r="HE181" s="418"/>
      <c r="HF181" s="418"/>
      <c r="HG181" s="418"/>
      <c r="HH181" s="418"/>
      <c r="HI181" s="418"/>
      <c r="HJ181" s="418"/>
      <c r="HK181" s="418"/>
      <c r="HL181" s="418"/>
      <c r="HM181" s="418"/>
      <c r="HN181" s="418"/>
      <c r="HO181" s="418"/>
      <c r="HP181" s="418"/>
      <c r="HQ181" s="418"/>
      <c r="HR181" s="418"/>
      <c r="HS181" s="418"/>
      <c r="HT181" s="418"/>
      <c r="HU181" s="418"/>
      <c r="HV181" s="418"/>
      <c r="HW181" s="418"/>
      <c r="HX181" s="418"/>
      <c r="HY181" s="418"/>
      <c r="HZ181" s="418"/>
      <c r="IA181" s="418"/>
      <c r="IB181" s="418"/>
      <c r="IC181" s="418"/>
      <c r="ID181" s="418"/>
      <c r="IE181" s="418"/>
      <c r="IF181" s="418"/>
      <c r="IG181" s="418"/>
      <c r="IH181" s="418"/>
      <c r="II181" s="418"/>
      <c r="IJ181" s="418"/>
      <c r="IK181" s="418"/>
      <c r="IL181" s="418"/>
      <c r="IM181" s="418"/>
      <c r="IN181" s="418"/>
      <c r="IO181" s="418"/>
      <c r="IP181" s="418"/>
      <c r="IQ181" s="418"/>
      <c r="IR181" s="418"/>
      <c r="IS181" s="418"/>
      <c r="IT181" s="418"/>
      <c r="IU181" s="418"/>
      <c r="IV181" s="418"/>
      <c r="IW181" s="418"/>
      <c r="IX181" s="418"/>
      <c r="IY181" s="418"/>
      <c r="IZ181" s="418"/>
      <c r="JA181" s="418"/>
      <c r="JB181" s="418"/>
    </row>
    <row r="182" spans="1:262" s="758" customFormat="1" ht="24.95" customHeight="1" x14ac:dyDescent="0.35">
      <c r="A182" s="773">
        <v>172</v>
      </c>
      <c r="B182" s="2012"/>
      <c r="C182" s="1518">
        <v>3</v>
      </c>
      <c r="D182" s="1064" t="s">
        <v>1210</v>
      </c>
      <c r="E182" s="1076"/>
      <c r="F182" s="1519"/>
      <c r="G182" s="1023"/>
      <c r="H182" s="1498" t="s">
        <v>24</v>
      </c>
      <c r="I182" s="2003"/>
      <c r="J182" s="2003"/>
      <c r="K182" s="2003"/>
      <c r="L182" s="2003"/>
      <c r="M182" s="2003"/>
      <c r="N182" s="2003"/>
      <c r="O182" s="2003"/>
      <c r="P182" s="2037"/>
      <c r="Q182" s="2004"/>
      <c r="R182" s="418"/>
      <c r="S182" s="418"/>
      <c r="T182" s="418"/>
      <c r="U182" s="418"/>
      <c r="V182" s="418"/>
      <c r="W182" s="418"/>
      <c r="X182" s="418"/>
      <c r="Y182" s="418"/>
      <c r="Z182" s="418"/>
      <c r="AA182" s="418"/>
      <c r="AB182" s="418"/>
      <c r="AC182" s="418"/>
      <c r="AD182" s="418"/>
      <c r="AE182" s="418"/>
      <c r="AF182" s="418"/>
      <c r="AG182" s="418"/>
      <c r="AH182" s="418"/>
      <c r="AI182" s="418"/>
      <c r="AJ182" s="418"/>
      <c r="AK182" s="418"/>
      <c r="AL182" s="418"/>
      <c r="AM182" s="418"/>
      <c r="AN182" s="418"/>
      <c r="AO182" s="418"/>
      <c r="AP182" s="418"/>
      <c r="AQ182" s="418"/>
      <c r="AR182" s="418"/>
      <c r="AS182" s="418"/>
      <c r="AT182" s="418"/>
      <c r="AU182" s="418"/>
      <c r="AV182" s="418"/>
      <c r="AW182" s="418"/>
      <c r="AX182" s="418"/>
      <c r="AY182" s="418"/>
      <c r="AZ182" s="418"/>
      <c r="BA182" s="418"/>
      <c r="BB182" s="418"/>
      <c r="BC182" s="418"/>
      <c r="BD182" s="418"/>
      <c r="BE182" s="418"/>
      <c r="BF182" s="418"/>
      <c r="BG182" s="418"/>
      <c r="BH182" s="418"/>
      <c r="BI182" s="418"/>
      <c r="BJ182" s="418"/>
      <c r="BK182" s="418"/>
      <c r="BL182" s="418"/>
      <c r="BM182" s="418"/>
      <c r="BN182" s="418"/>
      <c r="BO182" s="418"/>
      <c r="BP182" s="418"/>
      <c r="BQ182" s="418"/>
      <c r="BR182" s="418"/>
      <c r="BS182" s="418"/>
      <c r="BT182" s="418"/>
      <c r="BU182" s="418"/>
      <c r="BV182" s="418"/>
      <c r="BW182" s="418"/>
      <c r="BX182" s="418"/>
      <c r="BY182" s="418"/>
      <c r="BZ182" s="418"/>
      <c r="CA182" s="418"/>
      <c r="CB182" s="418"/>
      <c r="CC182" s="418"/>
      <c r="CD182" s="418"/>
      <c r="CE182" s="418"/>
      <c r="CF182" s="418"/>
      <c r="CG182" s="418"/>
      <c r="CH182" s="418"/>
      <c r="CI182" s="418"/>
      <c r="CJ182" s="418"/>
      <c r="CK182" s="418"/>
      <c r="CL182" s="418"/>
      <c r="CM182" s="418"/>
      <c r="CN182" s="418"/>
      <c r="CO182" s="418"/>
      <c r="CP182" s="418"/>
      <c r="CQ182" s="418"/>
      <c r="CR182" s="418"/>
      <c r="CS182" s="418"/>
      <c r="CT182" s="418"/>
      <c r="CU182" s="418"/>
      <c r="CV182" s="418"/>
      <c r="CW182" s="418"/>
      <c r="CX182" s="418"/>
      <c r="CY182" s="418"/>
      <c r="CZ182" s="418"/>
      <c r="DA182" s="418"/>
      <c r="DB182" s="418"/>
      <c r="DC182" s="418"/>
      <c r="DD182" s="418"/>
      <c r="DE182" s="418"/>
      <c r="DF182" s="418"/>
      <c r="DG182" s="418"/>
      <c r="DH182" s="418"/>
      <c r="DI182" s="418"/>
      <c r="DJ182" s="418"/>
      <c r="DK182" s="418"/>
      <c r="DL182" s="418"/>
      <c r="DM182" s="418"/>
      <c r="DN182" s="418"/>
      <c r="DO182" s="418"/>
      <c r="DP182" s="418"/>
      <c r="DQ182" s="418"/>
      <c r="DR182" s="418"/>
      <c r="DS182" s="418"/>
      <c r="DT182" s="418"/>
      <c r="DU182" s="418"/>
      <c r="DV182" s="418"/>
      <c r="DW182" s="418"/>
      <c r="DX182" s="418"/>
      <c r="DY182" s="418"/>
      <c r="DZ182" s="418"/>
      <c r="EA182" s="418"/>
      <c r="EB182" s="418"/>
      <c r="EC182" s="418"/>
      <c r="ED182" s="418"/>
      <c r="EE182" s="418"/>
      <c r="EF182" s="418"/>
      <c r="EG182" s="418"/>
      <c r="EH182" s="418"/>
      <c r="EI182" s="418"/>
      <c r="EJ182" s="418"/>
      <c r="EK182" s="418"/>
      <c r="EL182" s="418"/>
      <c r="EM182" s="418"/>
      <c r="EN182" s="418"/>
      <c r="EO182" s="418"/>
      <c r="EP182" s="418"/>
      <c r="EQ182" s="418"/>
      <c r="ER182" s="418"/>
      <c r="ES182" s="418"/>
      <c r="ET182" s="418"/>
      <c r="EU182" s="418"/>
      <c r="EV182" s="418"/>
      <c r="EW182" s="418"/>
      <c r="EX182" s="418"/>
      <c r="EY182" s="418"/>
      <c r="EZ182" s="418"/>
      <c r="FA182" s="418"/>
      <c r="FB182" s="418"/>
      <c r="FC182" s="418"/>
      <c r="FD182" s="418"/>
      <c r="FE182" s="418"/>
      <c r="FF182" s="418"/>
      <c r="FG182" s="418"/>
      <c r="FH182" s="418"/>
      <c r="FI182" s="418"/>
      <c r="FJ182" s="418"/>
      <c r="FK182" s="418"/>
      <c r="FL182" s="418"/>
      <c r="FM182" s="418"/>
      <c r="FN182" s="418"/>
      <c r="FO182" s="418"/>
      <c r="FP182" s="418"/>
      <c r="FQ182" s="418"/>
      <c r="FR182" s="418"/>
      <c r="FS182" s="418"/>
      <c r="FT182" s="418"/>
      <c r="FU182" s="418"/>
      <c r="FV182" s="418"/>
      <c r="FW182" s="418"/>
      <c r="FX182" s="418"/>
      <c r="FY182" s="418"/>
      <c r="FZ182" s="418"/>
      <c r="GA182" s="418"/>
      <c r="GB182" s="418"/>
      <c r="GC182" s="418"/>
      <c r="GD182" s="418"/>
      <c r="GE182" s="418"/>
      <c r="GF182" s="418"/>
      <c r="GG182" s="418"/>
      <c r="GH182" s="418"/>
      <c r="GI182" s="418"/>
      <c r="GJ182" s="418"/>
      <c r="GK182" s="418"/>
      <c r="GL182" s="418"/>
      <c r="GM182" s="418"/>
      <c r="GN182" s="418"/>
      <c r="GO182" s="418"/>
      <c r="GP182" s="418"/>
      <c r="GQ182" s="418"/>
      <c r="GR182" s="418"/>
      <c r="GS182" s="418"/>
      <c r="GT182" s="418"/>
      <c r="GU182" s="418"/>
      <c r="GV182" s="418"/>
      <c r="GW182" s="418"/>
      <c r="GX182" s="418"/>
      <c r="GY182" s="418"/>
      <c r="GZ182" s="418"/>
      <c r="HA182" s="418"/>
      <c r="HB182" s="418"/>
      <c r="HC182" s="418"/>
      <c r="HD182" s="418"/>
      <c r="HE182" s="418"/>
      <c r="HF182" s="418"/>
      <c r="HG182" s="418"/>
      <c r="HH182" s="418"/>
      <c r="HI182" s="418"/>
      <c r="HJ182" s="418"/>
      <c r="HK182" s="418"/>
      <c r="HL182" s="418"/>
      <c r="HM182" s="418"/>
      <c r="HN182" s="418"/>
      <c r="HO182" s="418"/>
      <c r="HP182" s="418"/>
      <c r="HQ182" s="418"/>
      <c r="HR182" s="418"/>
      <c r="HS182" s="418"/>
      <c r="HT182" s="418"/>
      <c r="HU182" s="418"/>
      <c r="HV182" s="418"/>
      <c r="HW182" s="418"/>
      <c r="HX182" s="418"/>
      <c r="HY182" s="418"/>
      <c r="HZ182" s="418"/>
      <c r="IA182" s="418"/>
      <c r="IB182" s="418"/>
      <c r="IC182" s="418"/>
      <c r="ID182" s="418"/>
      <c r="IE182" s="418"/>
      <c r="IF182" s="418"/>
      <c r="IG182" s="418"/>
      <c r="IH182" s="418"/>
      <c r="II182" s="418"/>
      <c r="IJ182" s="418"/>
      <c r="IK182" s="418"/>
      <c r="IL182" s="418"/>
      <c r="IM182" s="418"/>
      <c r="IN182" s="418"/>
      <c r="IO182" s="418"/>
      <c r="IP182" s="418"/>
      <c r="IQ182" s="418"/>
      <c r="IR182" s="418"/>
      <c r="IS182" s="418"/>
      <c r="IT182" s="418"/>
      <c r="IU182" s="418"/>
      <c r="IV182" s="418"/>
      <c r="IW182" s="418"/>
      <c r="IX182" s="418"/>
      <c r="IY182" s="418"/>
      <c r="IZ182" s="418"/>
      <c r="JA182" s="418"/>
      <c r="JB182" s="418"/>
    </row>
    <row r="183" spans="1:262" s="758" customFormat="1" ht="21.95" customHeight="1" x14ac:dyDescent="0.35">
      <c r="A183" s="773">
        <v>173</v>
      </c>
      <c r="B183" s="2012"/>
      <c r="C183" s="420"/>
      <c r="D183" s="2040" t="s">
        <v>741</v>
      </c>
      <c r="E183" s="430">
        <f>F183+G183+P186</f>
        <v>94841</v>
      </c>
      <c r="F183" s="430"/>
      <c r="G183" s="2006"/>
      <c r="H183" s="999"/>
      <c r="I183" s="2007"/>
      <c r="J183" s="2007"/>
      <c r="K183" s="2007"/>
      <c r="L183" s="2007"/>
      <c r="M183" s="2007"/>
      <c r="N183" s="2007"/>
      <c r="O183" s="2007"/>
      <c r="P183" s="772"/>
      <c r="Q183" s="1552"/>
      <c r="R183" s="418"/>
      <c r="S183" s="418"/>
      <c r="T183" s="418"/>
      <c r="U183" s="418"/>
      <c r="V183" s="418"/>
      <c r="W183" s="418"/>
      <c r="X183" s="418"/>
      <c r="Y183" s="418"/>
      <c r="Z183" s="418"/>
      <c r="AA183" s="418"/>
      <c r="AB183" s="418"/>
      <c r="AC183" s="418"/>
      <c r="AD183" s="418"/>
      <c r="AE183" s="418"/>
      <c r="AF183" s="418"/>
      <c r="AG183" s="418"/>
      <c r="AH183" s="418"/>
      <c r="AI183" s="418"/>
      <c r="AJ183" s="418"/>
      <c r="AK183" s="418"/>
      <c r="AL183" s="418"/>
      <c r="AM183" s="418"/>
      <c r="AN183" s="418"/>
      <c r="AO183" s="418"/>
      <c r="AP183" s="418"/>
      <c r="AQ183" s="418"/>
      <c r="AR183" s="418"/>
      <c r="AS183" s="418"/>
      <c r="AT183" s="418"/>
      <c r="AU183" s="418"/>
      <c r="AV183" s="418"/>
      <c r="AW183" s="418"/>
      <c r="AX183" s="418"/>
      <c r="AY183" s="418"/>
      <c r="AZ183" s="418"/>
      <c r="BA183" s="418"/>
      <c r="BB183" s="418"/>
      <c r="BC183" s="418"/>
      <c r="BD183" s="418"/>
      <c r="BE183" s="418"/>
      <c r="BF183" s="418"/>
      <c r="BG183" s="418"/>
      <c r="BH183" s="418"/>
      <c r="BI183" s="418"/>
      <c r="BJ183" s="418"/>
      <c r="BK183" s="418"/>
      <c r="BL183" s="418"/>
      <c r="BM183" s="418"/>
      <c r="BN183" s="418"/>
      <c r="BO183" s="418"/>
      <c r="BP183" s="418"/>
      <c r="BQ183" s="418"/>
      <c r="BR183" s="418"/>
      <c r="BS183" s="418"/>
      <c r="BT183" s="418"/>
      <c r="BU183" s="418"/>
      <c r="BV183" s="418"/>
      <c r="BW183" s="418"/>
      <c r="BX183" s="418"/>
      <c r="BY183" s="418"/>
      <c r="BZ183" s="418"/>
      <c r="CA183" s="418"/>
      <c r="CB183" s="418"/>
      <c r="CC183" s="418"/>
      <c r="CD183" s="418"/>
      <c r="CE183" s="418"/>
      <c r="CF183" s="418"/>
      <c r="CG183" s="418"/>
      <c r="CH183" s="418"/>
      <c r="CI183" s="418"/>
      <c r="CJ183" s="418"/>
      <c r="CK183" s="418"/>
      <c r="CL183" s="418"/>
      <c r="CM183" s="418"/>
      <c r="CN183" s="418"/>
      <c r="CO183" s="418"/>
      <c r="CP183" s="418"/>
      <c r="CQ183" s="418"/>
      <c r="CR183" s="418"/>
      <c r="CS183" s="418"/>
      <c r="CT183" s="418"/>
      <c r="CU183" s="418"/>
      <c r="CV183" s="418"/>
      <c r="CW183" s="418"/>
      <c r="CX183" s="418"/>
      <c r="CY183" s="418"/>
      <c r="CZ183" s="418"/>
      <c r="DA183" s="418"/>
      <c r="DB183" s="418"/>
      <c r="DC183" s="418"/>
      <c r="DD183" s="418"/>
      <c r="DE183" s="418"/>
      <c r="DF183" s="418"/>
      <c r="DG183" s="418"/>
      <c r="DH183" s="418"/>
      <c r="DI183" s="418"/>
      <c r="DJ183" s="418"/>
      <c r="DK183" s="418"/>
      <c r="DL183" s="418"/>
      <c r="DM183" s="418"/>
      <c r="DN183" s="418"/>
      <c r="DO183" s="418"/>
      <c r="DP183" s="418"/>
      <c r="DQ183" s="418"/>
      <c r="DR183" s="418"/>
      <c r="DS183" s="418"/>
      <c r="DT183" s="418"/>
      <c r="DU183" s="418"/>
      <c r="DV183" s="418"/>
      <c r="DW183" s="418"/>
      <c r="DX183" s="418"/>
      <c r="DY183" s="418"/>
      <c r="DZ183" s="418"/>
      <c r="EA183" s="418"/>
      <c r="EB183" s="418"/>
      <c r="EC183" s="418"/>
      <c r="ED183" s="418"/>
      <c r="EE183" s="418"/>
      <c r="EF183" s="418"/>
      <c r="EG183" s="418"/>
      <c r="EH183" s="418"/>
      <c r="EI183" s="418"/>
      <c r="EJ183" s="418"/>
      <c r="EK183" s="418"/>
      <c r="EL183" s="418"/>
      <c r="EM183" s="418"/>
      <c r="EN183" s="418"/>
      <c r="EO183" s="418"/>
      <c r="EP183" s="418"/>
      <c r="EQ183" s="418"/>
      <c r="ER183" s="418"/>
      <c r="ES183" s="418"/>
      <c r="ET183" s="418"/>
      <c r="EU183" s="418"/>
      <c r="EV183" s="418"/>
      <c r="EW183" s="418"/>
      <c r="EX183" s="418"/>
      <c r="EY183" s="418"/>
      <c r="EZ183" s="418"/>
      <c r="FA183" s="418"/>
      <c r="FB183" s="418"/>
      <c r="FC183" s="418"/>
      <c r="FD183" s="418"/>
      <c r="FE183" s="418"/>
      <c r="FF183" s="418"/>
      <c r="FG183" s="418"/>
      <c r="FH183" s="418"/>
      <c r="FI183" s="418"/>
      <c r="FJ183" s="418"/>
      <c r="FK183" s="418"/>
      <c r="FL183" s="418"/>
      <c r="FM183" s="418"/>
      <c r="FN183" s="418"/>
      <c r="FO183" s="418"/>
      <c r="FP183" s="418"/>
      <c r="FQ183" s="418"/>
      <c r="FR183" s="418"/>
      <c r="FS183" s="418"/>
      <c r="FT183" s="418"/>
      <c r="FU183" s="418"/>
      <c r="FV183" s="418"/>
      <c r="FW183" s="418"/>
      <c r="FX183" s="418"/>
      <c r="FY183" s="418"/>
      <c r="FZ183" s="418"/>
      <c r="GA183" s="418"/>
      <c r="GB183" s="418"/>
      <c r="GC183" s="418"/>
      <c r="GD183" s="418"/>
      <c r="GE183" s="418"/>
      <c r="GF183" s="418"/>
      <c r="GG183" s="418"/>
      <c r="GH183" s="418"/>
      <c r="GI183" s="418"/>
      <c r="GJ183" s="418"/>
      <c r="GK183" s="418"/>
      <c r="GL183" s="418"/>
      <c r="GM183" s="418"/>
      <c r="GN183" s="418"/>
      <c r="GO183" s="418"/>
      <c r="GP183" s="418"/>
      <c r="GQ183" s="418"/>
      <c r="GR183" s="418"/>
      <c r="GS183" s="418"/>
      <c r="GT183" s="418"/>
      <c r="GU183" s="418"/>
      <c r="GV183" s="418"/>
      <c r="GW183" s="418"/>
      <c r="GX183" s="418"/>
      <c r="GY183" s="418"/>
      <c r="GZ183" s="418"/>
      <c r="HA183" s="418"/>
      <c r="HB183" s="418"/>
      <c r="HC183" s="418"/>
      <c r="HD183" s="418"/>
      <c r="HE183" s="418"/>
      <c r="HF183" s="418"/>
      <c r="HG183" s="418"/>
      <c r="HH183" s="418"/>
      <c r="HI183" s="418"/>
      <c r="HJ183" s="418"/>
      <c r="HK183" s="418"/>
      <c r="HL183" s="418"/>
      <c r="HM183" s="418"/>
      <c r="HN183" s="418"/>
      <c r="HO183" s="418"/>
      <c r="HP183" s="418"/>
      <c r="HQ183" s="418"/>
      <c r="HR183" s="418"/>
      <c r="HS183" s="418"/>
      <c r="HT183" s="418"/>
      <c r="HU183" s="418"/>
      <c r="HV183" s="418"/>
      <c r="HW183" s="418"/>
      <c r="HX183" s="418"/>
      <c r="HY183" s="418"/>
      <c r="HZ183" s="418"/>
      <c r="IA183" s="418"/>
      <c r="IB183" s="418"/>
      <c r="IC183" s="418"/>
      <c r="ID183" s="418"/>
      <c r="IE183" s="418"/>
      <c r="IF183" s="418"/>
      <c r="IG183" s="418"/>
      <c r="IH183" s="418"/>
      <c r="II183" s="418"/>
      <c r="IJ183" s="418"/>
      <c r="IK183" s="418"/>
      <c r="IL183" s="418"/>
      <c r="IM183" s="418"/>
      <c r="IN183" s="418"/>
      <c r="IO183" s="418"/>
      <c r="IP183" s="418"/>
      <c r="IQ183" s="418"/>
      <c r="IR183" s="418"/>
      <c r="IS183" s="418"/>
      <c r="IT183" s="418"/>
      <c r="IU183" s="418"/>
      <c r="IV183" s="418"/>
      <c r="IW183" s="418"/>
      <c r="IX183" s="418"/>
      <c r="IY183" s="418"/>
      <c r="IZ183" s="418"/>
      <c r="JA183" s="418"/>
      <c r="JB183" s="418"/>
    </row>
    <row r="184" spans="1:262" s="758" customFormat="1" ht="20.100000000000001" customHeight="1" x14ac:dyDescent="0.35">
      <c r="A184" s="773">
        <v>174</v>
      </c>
      <c r="B184" s="2012"/>
      <c r="C184" s="420"/>
      <c r="D184" s="576" t="s">
        <v>1158</v>
      </c>
      <c r="E184" s="430"/>
      <c r="F184" s="430"/>
      <c r="G184" s="2006"/>
      <c r="H184" s="999"/>
      <c r="I184" s="2007">
        <v>12374</v>
      </c>
      <c r="J184" s="2007">
        <v>1851</v>
      </c>
      <c r="K184" s="2007">
        <v>80616</v>
      </c>
      <c r="L184" s="2007"/>
      <c r="M184" s="2007"/>
      <c r="N184" s="2007"/>
      <c r="O184" s="2007"/>
      <c r="P184" s="772">
        <f>SUM(I184:O184)</f>
        <v>94841</v>
      </c>
      <c r="Q184" s="1552"/>
      <c r="R184" s="418"/>
      <c r="S184" s="418"/>
      <c r="T184" s="418"/>
      <c r="U184" s="418"/>
      <c r="V184" s="418"/>
      <c r="W184" s="418"/>
      <c r="X184" s="418"/>
      <c r="Y184" s="418"/>
      <c r="Z184" s="418"/>
      <c r="AA184" s="418"/>
      <c r="AB184" s="418"/>
      <c r="AC184" s="418"/>
      <c r="AD184" s="418"/>
      <c r="AE184" s="418"/>
      <c r="AF184" s="418"/>
      <c r="AG184" s="418"/>
      <c r="AH184" s="418"/>
      <c r="AI184" s="418"/>
      <c r="AJ184" s="418"/>
      <c r="AK184" s="418"/>
      <c r="AL184" s="418"/>
      <c r="AM184" s="418"/>
      <c r="AN184" s="418"/>
      <c r="AO184" s="418"/>
      <c r="AP184" s="418"/>
      <c r="AQ184" s="418"/>
      <c r="AR184" s="418"/>
      <c r="AS184" s="418"/>
      <c r="AT184" s="418"/>
      <c r="AU184" s="418"/>
      <c r="AV184" s="418"/>
      <c r="AW184" s="418"/>
      <c r="AX184" s="418"/>
      <c r="AY184" s="418"/>
      <c r="AZ184" s="418"/>
      <c r="BA184" s="418"/>
      <c r="BB184" s="418"/>
      <c r="BC184" s="418"/>
      <c r="BD184" s="418"/>
      <c r="BE184" s="418"/>
      <c r="BF184" s="418"/>
      <c r="BG184" s="418"/>
      <c r="BH184" s="418"/>
      <c r="BI184" s="418"/>
      <c r="BJ184" s="418"/>
      <c r="BK184" s="418"/>
      <c r="BL184" s="418"/>
      <c r="BM184" s="418"/>
      <c r="BN184" s="418"/>
      <c r="BO184" s="418"/>
      <c r="BP184" s="418"/>
      <c r="BQ184" s="418"/>
      <c r="BR184" s="418"/>
      <c r="BS184" s="418"/>
      <c r="BT184" s="418"/>
      <c r="BU184" s="418"/>
      <c r="BV184" s="418"/>
      <c r="BW184" s="418"/>
      <c r="BX184" s="418"/>
      <c r="BY184" s="418"/>
      <c r="BZ184" s="418"/>
      <c r="CA184" s="418"/>
      <c r="CB184" s="418"/>
      <c r="CC184" s="418"/>
      <c r="CD184" s="418"/>
      <c r="CE184" s="418"/>
      <c r="CF184" s="418"/>
      <c r="CG184" s="418"/>
      <c r="CH184" s="418"/>
      <c r="CI184" s="418"/>
      <c r="CJ184" s="418"/>
      <c r="CK184" s="418"/>
      <c r="CL184" s="418"/>
      <c r="CM184" s="418"/>
      <c r="CN184" s="418"/>
      <c r="CO184" s="418"/>
      <c r="CP184" s="418"/>
      <c r="CQ184" s="418"/>
      <c r="CR184" s="418"/>
      <c r="CS184" s="418"/>
      <c r="CT184" s="418"/>
      <c r="CU184" s="418"/>
      <c r="CV184" s="418"/>
      <c r="CW184" s="418"/>
      <c r="CX184" s="418"/>
      <c r="CY184" s="418"/>
      <c r="CZ184" s="418"/>
      <c r="DA184" s="418"/>
      <c r="DB184" s="418"/>
      <c r="DC184" s="418"/>
      <c r="DD184" s="418"/>
      <c r="DE184" s="418"/>
      <c r="DF184" s="418"/>
      <c r="DG184" s="418"/>
      <c r="DH184" s="418"/>
      <c r="DI184" s="418"/>
      <c r="DJ184" s="418"/>
      <c r="DK184" s="418"/>
      <c r="DL184" s="418"/>
      <c r="DM184" s="418"/>
      <c r="DN184" s="418"/>
      <c r="DO184" s="418"/>
      <c r="DP184" s="418"/>
      <c r="DQ184" s="418"/>
      <c r="DR184" s="418"/>
      <c r="DS184" s="418"/>
      <c r="DT184" s="418"/>
      <c r="DU184" s="418"/>
      <c r="DV184" s="418"/>
      <c r="DW184" s="418"/>
      <c r="DX184" s="418"/>
      <c r="DY184" s="418"/>
      <c r="DZ184" s="418"/>
      <c r="EA184" s="418"/>
      <c r="EB184" s="418"/>
      <c r="EC184" s="418"/>
      <c r="ED184" s="418"/>
      <c r="EE184" s="418"/>
      <c r="EF184" s="418"/>
      <c r="EG184" s="418"/>
      <c r="EH184" s="418"/>
      <c r="EI184" s="418"/>
      <c r="EJ184" s="418"/>
      <c r="EK184" s="418"/>
      <c r="EL184" s="418"/>
      <c r="EM184" s="418"/>
      <c r="EN184" s="418"/>
      <c r="EO184" s="418"/>
      <c r="EP184" s="418"/>
      <c r="EQ184" s="418"/>
      <c r="ER184" s="418"/>
      <c r="ES184" s="418"/>
      <c r="ET184" s="418"/>
      <c r="EU184" s="418"/>
      <c r="EV184" s="418"/>
      <c r="EW184" s="418"/>
      <c r="EX184" s="418"/>
      <c r="EY184" s="418"/>
      <c r="EZ184" s="418"/>
      <c r="FA184" s="418"/>
      <c r="FB184" s="418"/>
      <c r="FC184" s="418"/>
      <c r="FD184" s="418"/>
      <c r="FE184" s="418"/>
      <c r="FF184" s="418"/>
      <c r="FG184" s="418"/>
      <c r="FH184" s="418"/>
      <c r="FI184" s="418"/>
      <c r="FJ184" s="418"/>
      <c r="FK184" s="418"/>
      <c r="FL184" s="418"/>
      <c r="FM184" s="418"/>
      <c r="FN184" s="418"/>
      <c r="FO184" s="418"/>
      <c r="FP184" s="418"/>
      <c r="FQ184" s="418"/>
      <c r="FR184" s="418"/>
      <c r="FS184" s="418"/>
      <c r="FT184" s="418"/>
      <c r="FU184" s="418"/>
      <c r="FV184" s="418"/>
      <c r="FW184" s="418"/>
      <c r="FX184" s="418"/>
      <c r="FY184" s="418"/>
      <c r="FZ184" s="418"/>
      <c r="GA184" s="418"/>
      <c r="GB184" s="418"/>
      <c r="GC184" s="418"/>
      <c r="GD184" s="418"/>
      <c r="GE184" s="418"/>
      <c r="GF184" s="418"/>
      <c r="GG184" s="418"/>
      <c r="GH184" s="418"/>
      <c r="GI184" s="418"/>
      <c r="GJ184" s="418"/>
      <c r="GK184" s="418"/>
      <c r="GL184" s="418"/>
      <c r="GM184" s="418"/>
      <c r="GN184" s="418"/>
      <c r="GO184" s="418"/>
      <c r="GP184" s="418"/>
      <c r="GQ184" s="418"/>
      <c r="GR184" s="418"/>
      <c r="GS184" s="418"/>
      <c r="GT184" s="418"/>
      <c r="GU184" s="418"/>
      <c r="GV184" s="418"/>
      <c r="GW184" s="418"/>
      <c r="GX184" s="418"/>
      <c r="GY184" s="418"/>
      <c r="GZ184" s="418"/>
      <c r="HA184" s="418"/>
      <c r="HB184" s="418"/>
      <c r="HC184" s="418"/>
      <c r="HD184" s="418"/>
      <c r="HE184" s="418"/>
      <c r="HF184" s="418"/>
      <c r="HG184" s="418"/>
      <c r="HH184" s="418"/>
      <c r="HI184" s="418"/>
      <c r="HJ184" s="418"/>
      <c r="HK184" s="418"/>
      <c r="HL184" s="418"/>
      <c r="HM184" s="418"/>
      <c r="HN184" s="418"/>
      <c r="HO184" s="418"/>
      <c r="HP184" s="418"/>
      <c r="HQ184" s="418"/>
      <c r="HR184" s="418"/>
      <c r="HS184" s="418"/>
      <c r="HT184" s="418"/>
      <c r="HU184" s="418"/>
      <c r="HV184" s="418"/>
      <c r="HW184" s="418"/>
      <c r="HX184" s="418"/>
      <c r="HY184" s="418"/>
      <c r="HZ184" s="418"/>
      <c r="IA184" s="418"/>
      <c r="IB184" s="418"/>
      <c r="IC184" s="418"/>
      <c r="ID184" s="418"/>
      <c r="IE184" s="418"/>
      <c r="IF184" s="418"/>
      <c r="IG184" s="418"/>
      <c r="IH184" s="418"/>
      <c r="II184" s="418"/>
      <c r="IJ184" s="418"/>
      <c r="IK184" s="418"/>
      <c r="IL184" s="418"/>
      <c r="IM184" s="418"/>
      <c r="IN184" s="418"/>
      <c r="IO184" s="418"/>
      <c r="IP184" s="418"/>
      <c r="IQ184" s="418"/>
      <c r="IR184" s="418"/>
      <c r="IS184" s="418"/>
      <c r="IT184" s="418"/>
      <c r="IU184" s="418"/>
      <c r="IV184" s="418"/>
      <c r="IW184" s="418"/>
      <c r="IX184" s="418"/>
      <c r="IY184" s="418"/>
      <c r="IZ184" s="418"/>
      <c r="JA184" s="418"/>
      <c r="JB184" s="418"/>
    </row>
    <row r="185" spans="1:262" s="758" customFormat="1" ht="20.100000000000001" customHeight="1" x14ac:dyDescent="0.35">
      <c r="A185" s="773">
        <v>175</v>
      </c>
      <c r="B185" s="2012"/>
      <c r="C185" s="420"/>
      <c r="D185" s="440" t="s">
        <v>947</v>
      </c>
      <c r="E185" s="430"/>
      <c r="F185" s="430"/>
      <c r="G185" s="2006"/>
      <c r="H185" s="999"/>
      <c r="I185" s="1773"/>
      <c r="J185" s="1773"/>
      <c r="K185" s="1773"/>
      <c r="L185" s="2007"/>
      <c r="M185" s="2007"/>
      <c r="N185" s="2007"/>
      <c r="O185" s="2007"/>
      <c r="P185" s="2039">
        <f>SUM(I185:O185)</f>
        <v>0</v>
      </c>
      <c r="Q185" s="1552"/>
      <c r="R185" s="418"/>
      <c r="S185" s="418"/>
      <c r="T185" s="418"/>
      <c r="U185" s="418"/>
      <c r="V185" s="418"/>
      <c r="W185" s="418"/>
      <c r="X185" s="418"/>
      <c r="Y185" s="418"/>
      <c r="Z185" s="418"/>
      <c r="AA185" s="418"/>
      <c r="AB185" s="418"/>
      <c r="AC185" s="418"/>
      <c r="AD185" s="418"/>
      <c r="AE185" s="418"/>
      <c r="AF185" s="418"/>
      <c r="AG185" s="418"/>
      <c r="AH185" s="418"/>
      <c r="AI185" s="418"/>
      <c r="AJ185" s="418"/>
      <c r="AK185" s="418"/>
      <c r="AL185" s="418"/>
      <c r="AM185" s="418"/>
      <c r="AN185" s="418"/>
      <c r="AO185" s="418"/>
      <c r="AP185" s="418"/>
      <c r="AQ185" s="418"/>
      <c r="AR185" s="418"/>
      <c r="AS185" s="418"/>
      <c r="AT185" s="418"/>
      <c r="AU185" s="418"/>
      <c r="AV185" s="418"/>
      <c r="AW185" s="418"/>
      <c r="AX185" s="418"/>
      <c r="AY185" s="418"/>
      <c r="AZ185" s="418"/>
      <c r="BA185" s="418"/>
      <c r="BB185" s="418"/>
      <c r="BC185" s="418"/>
      <c r="BD185" s="418"/>
      <c r="BE185" s="418"/>
      <c r="BF185" s="418"/>
      <c r="BG185" s="418"/>
      <c r="BH185" s="418"/>
      <c r="BI185" s="418"/>
      <c r="BJ185" s="418"/>
      <c r="BK185" s="418"/>
      <c r="BL185" s="418"/>
      <c r="BM185" s="418"/>
      <c r="BN185" s="418"/>
      <c r="BO185" s="418"/>
      <c r="BP185" s="418"/>
      <c r="BQ185" s="418"/>
      <c r="BR185" s="418"/>
      <c r="BS185" s="418"/>
      <c r="BT185" s="418"/>
      <c r="BU185" s="418"/>
      <c r="BV185" s="418"/>
      <c r="BW185" s="418"/>
      <c r="BX185" s="418"/>
      <c r="BY185" s="418"/>
      <c r="BZ185" s="418"/>
      <c r="CA185" s="418"/>
      <c r="CB185" s="418"/>
      <c r="CC185" s="418"/>
      <c r="CD185" s="418"/>
      <c r="CE185" s="418"/>
      <c r="CF185" s="418"/>
      <c r="CG185" s="418"/>
      <c r="CH185" s="418"/>
      <c r="CI185" s="418"/>
      <c r="CJ185" s="418"/>
      <c r="CK185" s="418"/>
      <c r="CL185" s="418"/>
      <c r="CM185" s="418"/>
      <c r="CN185" s="418"/>
      <c r="CO185" s="418"/>
      <c r="CP185" s="418"/>
      <c r="CQ185" s="418"/>
      <c r="CR185" s="418"/>
      <c r="CS185" s="418"/>
      <c r="CT185" s="418"/>
      <c r="CU185" s="418"/>
      <c r="CV185" s="418"/>
      <c r="CW185" s="418"/>
      <c r="CX185" s="418"/>
      <c r="CY185" s="418"/>
      <c r="CZ185" s="418"/>
      <c r="DA185" s="418"/>
      <c r="DB185" s="418"/>
      <c r="DC185" s="418"/>
      <c r="DD185" s="418"/>
      <c r="DE185" s="418"/>
      <c r="DF185" s="418"/>
      <c r="DG185" s="418"/>
      <c r="DH185" s="418"/>
      <c r="DI185" s="418"/>
      <c r="DJ185" s="418"/>
      <c r="DK185" s="418"/>
      <c r="DL185" s="418"/>
      <c r="DM185" s="418"/>
      <c r="DN185" s="418"/>
      <c r="DO185" s="418"/>
      <c r="DP185" s="418"/>
      <c r="DQ185" s="418"/>
      <c r="DR185" s="418"/>
      <c r="DS185" s="418"/>
      <c r="DT185" s="418"/>
      <c r="DU185" s="418"/>
      <c r="DV185" s="418"/>
      <c r="DW185" s="418"/>
      <c r="DX185" s="418"/>
      <c r="DY185" s="418"/>
      <c r="DZ185" s="418"/>
      <c r="EA185" s="418"/>
      <c r="EB185" s="418"/>
      <c r="EC185" s="418"/>
      <c r="ED185" s="418"/>
      <c r="EE185" s="418"/>
      <c r="EF185" s="418"/>
      <c r="EG185" s="418"/>
      <c r="EH185" s="418"/>
      <c r="EI185" s="418"/>
      <c r="EJ185" s="418"/>
      <c r="EK185" s="418"/>
      <c r="EL185" s="418"/>
      <c r="EM185" s="418"/>
      <c r="EN185" s="418"/>
      <c r="EO185" s="418"/>
      <c r="EP185" s="418"/>
      <c r="EQ185" s="418"/>
      <c r="ER185" s="418"/>
      <c r="ES185" s="418"/>
      <c r="ET185" s="418"/>
      <c r="EU185" s="418"/>
      <c r="EV185" s="418"/>
      <c r="EW185" s="418"/>
      <c r="EX185" s="418"/>
      <c r="EY185" s="418"/>
      <c r="EZ185" s="418"/>
      <c r="FA185" s="418"/>
      <c r="FB185" s="418"/>
      <c r="FC185" s="418"/>
      <c r="FD185" s="418"/>
      <c r="FE185" s="418"/>
      <c r="FF185" s="418"/>
      <c r="FG185" s="418"/>
      <c r="FH185" s="418"/>
      <c r="FI185" s="418"/>
      <c r="FJ185" s="418"/>
      <c r="FK185" s="418"/>
      <c r="FL185" s="418"/>
      <c r="FM185" s="418"/>
      <c r="FN185" s="418"/>
      <c r="FO185" s="418"/>
      <c r="FP185" s="418"/>
      <c r="FQ185" s="418"/>
      <c r="FR185" s="418"/>
      <c r="FS185" s="418"/>
      <c r="FT185" s="418"/>
      <c r="FU185" s="418"/>
      <c r="FV185" s="418"/>
      <c r="FW185" s="418"/>
      <c r="FX185" s="418"/>
      <c r="FY185" s="418"/>
      <c r="FZ185" s="418"/>
      <c r="GA185" s="418"/>
      <c r="GB185" s="418"/>
      <c r="GC185" s="418"/>
      <c r="GD185" s="418"/>
      <c r="GE185" s="418"/>
      <c r="GF185" s="418"/>
      <c r="GG185" s="418"/>
      <c r="GH185" s="418"/>
      <c r="GI185" s="418"/>
      <c r="GJ185" s="418"/>
      <c r="GK185" s="418"/>
      <c r="GL185" s="418"/>
      <c r="GM185" s="418"/>
      <c r="GN185" s="418"/>
      <c r="GO185" s="418"/>
      <c r="GP185" s="418"/>
      <c r="GQ185" s="418"/>
      <c r="GR185" s="418"/>
      <c r="GS185" s="418"/>
      <c r="GT185" s="418"/>
      <c r="GU185" s="418"/>
      <c r="GV185" s="418"/>
      <c r="GW185" s="418"/>
      <c r="GX185" s="418"/>
      <c r="GY185" s="418"/>
      <c r="GZ185" s="418"/>
      <c r="HA185" s="418"/>
      <c r="HB185" s="418"/>
      <c r="HC185" s="418"/>
      <c r="HD185" s="418"/>
      <c r="HE185" s="418"/>
      <c r="HF185" s="418"/>
      <c r="HG185" s="418"/>
      <c r="HH185" s="418"/>
      <c r="HI185" s="418"/>
      <c r="HJ185" s="418"/>
      <c r="HK185" s="418"/>
      <c r="HL185" s="418"/>
      <c r="HM185" s="418"/>
      <c r="HN185" s="418"/>
      <c r="HO185" s="418"/>
      <c r="HP185" s="418"/>
      <c r="HQ185" s="418"/>
      <c r="HR185" s="418"/>
      <c r="HS185" s="418"/>
      <c r="HT185" s="418"/>
      <c r="HU185" s="418"/>
      <c r="HV185" s="418"/>
      <c r="HW185" s="418"/>
      <c r="HX185" s="418"/>
      <c r="HY185" s="418"/>
      <c r="HZ185" s="418"/>
      <c r="IA185" s="418"/>
      <c r="IB185" s="418"/>
      <c r="IC185" s="418"/>
      <c r="ID185" s="418"/>
      <c r="IE185" s="418"/>
      <c r="IF185" s="418"/>
      <c r="IG185" s="418"/>
      <c r="IH185" s="418"/>
      <c r="II185" s="418"/>
      <c r="IJ185" s="418"/>
      <c r="IK185" s="418"/>
      <c r="IL185" s="418"/>
      <c r="IM185" s="418"/>
      <c r="IN185" s="418"/>
      <c r="IO185" s="418"/>
      <c r="IP185" s="418"/>
      <c r="IQ185" s="418"/>
      <c r="IR185" s="418"/>
      <c r="IS185" s="418"/>
      <c r="IT185" s="418"/>
      <c r="IU185" s="418"/>
      <c r="IV185" s="418"/>
      <c r="IW185" s="418"/>
      <c r="IX185" s="418"/>
      <c r="IY185" s="418"/>
      <c r="IZ185" s="418"/>
      <c r="JA185" s="418"/>
      <c r="JB185" s="418"/>
    </row>
    <row r="186" spans="1:262" s="758" customFormat="1" ht="20.100000000000001" customHeight="1" x14ac:dyDescent="0.35">
      <c r="A186" s="773">
        <v>176</v>
      </c>
      <c r="B186" s="2012"/>
      <c r="C186" s="420"/>
      <c r="D186" s="576" t="s">
        <v>1250</v>
      </c>
      <c r="E186" s="430"/>
      <c r="F186" s="430"/>
      <c r="G186" s="2006"/>
      <c r="H186" s="999"/>
      <c r="I186" s="2007">
        <f>SUM(I184:I185)</f>
        <v>12374</v>
      </c>
      <c r="J186" s="2007">
        <f t="shared" ref="J186:K186" si="24">SUM(J184:J185)</f>
        <v>1851</v>
      </c>
      <c r="K186" s="2007">
        <f t="shared" si="24"/>
        <v>80616</v>
      </c>
      <c r="L186" s="2007"/>
      <c r="M186" s="2007"/>
      <c r="N186" s="2007"/>
      <c r="O186" s="2007"/>
      <c r="P186" s="772">
        <f>SUM(P184:P185)</f>
        <v>94841</v>
      </c>
      <c r="Q186" s="1552"/>
      <c r="R186" s="418"/>
      <c r="S186" s="418"/>
      <c r="T186" s="418"/>
      <c r="U186" s="418"/>
      <c r="V186" s="418"/>
      <c r="W186" s="418"/>
      <c r="X186" s="418"/>
      <c r="Y186" s="418"/>
      <c r="Z186" s="418"/>
      <c r="AA186" s="418"/>
      <c r="AB186" s="418"/>
      <c r="AC186" s="418"/>
      <c r="AD186" s="418"/>
      <c r="AE186" s="418"/>
      <c r="AF186" s="418"/>
      <c r="AG186" s="418"/>
      <c r="AH186" s="418"/>
      <c r="AI186" s="418"/>
      <c r="AJ186" s="418"/>
      <c r="AK186" s="418"/>
      <c r="AL186" s="418"/>
      <c r="AM186" s="418"/>
      <c r="AN186" s="418"/>
      <c r="AO186" s="418"/>
      <c r="AP186" s="418"/>
      <c r="AQ186" s="418"/>
      <c r="AR186" s="418"/>
      <c r="AS186" s="418"/>
      <c r="AT186" s="418"/>
      <c r="AU186" s="418"/>
      <c r="AV186" s="418"/>
      <c r="AW186" s="418"/>
      <c r="AX186" s="418"/>
      <c r="AY186" s="418"/>
      <c r="AZ186" s="418"/>
      <c r="BA186" s="418"/>
      <c r="BB186" s="418"/>
      <c r="BC186" s="418"/>
      <c r="BD186" s="418"/>
      <c r="BE186" s="418"/>
      <c r="BF186" s="418"/>
      <c r="BG186" s="418"/>
      <c r="BH186" s="418"/>
      <c r="BI186" s="418"/>
      <c r="BJ186" s="418"/>
      <c r="BK186" s="418"/>
      <c r="BL186" s="418"/>
      <c r="BM186" s="418"/>
      <c r="BN186" s="418"/>
      <c r="BO186" s="418"/>
      <c r="BP186" s="418"/>
      <c r="BQ186" s="418"/>
      <c r="BR186" s="418"/>
      <c r="BS186" s="418"/>
      <c r="BT186" s="418"/>
      <c r="BU186" s="418"/>
      <c r="BV186" s="418"/>
      <c r="BW186" s="418"/>
      <c r="BX186" s="418"/>
      <c r="BY186" s="418"/>
      <c r="BZ186" s="418"/>
      <c r="CA186" s="418"/>
      <c r="CB186" s="418"/>
      <c r="CC186" s="418"/>
      <c r="CD186" s="418"/>
      <c r="CE186" s="418"/>
      <c r="CF186" s="418"/>
      <c r="CG186" s="418"/>
      <c r="CH186" s="418"/>
      <c r="CI186" s="418"/>
      <c r="CJ186" s="418"/>
      <c r="CK186" s="418"/>
      <c r="CL186" s="418"/>
      <c r="CM186" s="418"/>
      <c r="CN186" s="418"/>
      <c r="CO186" s="418"/>
      <c r="CP186" s="418"/>
      <c r="CQ186" s="418"/>
      <c r="CR186" s="418"/>
      <c r="CS186" s="418"/>
      <c r="CT186" s="418"/>
      <c r="CU186" s="418"/>
      <c r="CV186" s="418"/>
      <c r="CW186" s="418"/>
      <c r="CX186" s="418"/>
      <c r="CY186" s="418"/>
      <c r="CZ186" s="418"/>
      <c r="DA186" s="418"/>
      <c r="DB186" s="418"/>
      <c r="DC186" s="418"/>
      <c r="DD186" s="418"/>
      <c r="DE186" s="418"/>
      <c r="DF186" s="418"/>
      <c r="DG186" s="418"/>
      <c r="DH186" s="418"/>
      <c r="DI186" s="418"/>
      <c r="DJ186" s="418"/>
      <c r="DK186" s="418"/>
      <c r="DL186" s="418"/>
      <c r="DM186" s="418"/>
      <c r="DN186" s="418"/>
      <c r="DO186" s="418"/>
      <c r="DP186" s="418"/>
      <c r="DQ186" s="418"/>
      <c r="DR186" s="418"/>
      <c r="DS186" s="418"/>
      <c r="DT186" s="418"/>
      <c r="DU186" s="418"/>
      <c r="DV186" s="418"/>
      <c r="DW186" s="418"/>
      <c r="DX186" s="418"/>
      <c r="DY186" s="418"/>
      <c r="DZ186" s="418"/>
      <c r="EA186" s="418"/>
      <c r="EB186" s="418"/>
      <c r="EC186" s="418"/>
      <c r="ED186" s="418"/>
      <c r="EE186" s="418"/>
      <c r="EF186" s="418"/>
      <c r="EG186" s="418"/>
      <c r="EH186" s="418"/>
      <c r="EI186" s="418"/>
      <c r="EJ186" s="418"/>
      <c r="EK186" s="418"/>
      <c r="EL186" s="418"/>
      <c r="EM186" s="418"/>
      <c r="EN186" s="418"/>
      <c r="EO186" s="418"/>
      <c r="EP186" s="418"/>
      <c r="EQ186" s="418"/>
      <c r="ER186" s="418"/>
      <c r="ES186" s="418"/>
      <c r="ET186" s="418"/>
      <c r="EU186" s="418"/>
      <c r="EV186" s="418"/>
      <c r="EW186" s="418"/>
      <c r="EX186" s="418"/>
      <c r="EY186" s="418"/>
      <c r="EZ186" s="418"/>
      <c r="FA186" s="418"/>
      <c r="FB186" s="418"/>
      <c r="FC186" s="418"/>
      <c r="FD186" s="418"/>
      <c r="FE186" s="418"/>
      <c r="FF186" s="418"/>
      <c r="FG186" s="418"/>
      <c r="FH186" s="418"/>
      <c r="FI186" s="418"/>
      <c r="FJ186" s="418"/>
      <c r="FK186" s="418"/>
      <c r="FL186" s="418"/>
      <c r="FM186" s="418"/>
      <c r="FN186" s="418"/>
      <c r="FO186" s="418"/>
      <c r="FP186" s="418"/>
      <c r="FQ186" s="418"/>
      <c r="FR186" s="418"/>
      <c r="FS186" s="418"/>
      <c r="FT186" s="418"/>
      <c r="FU186" s="418"/>
      <c r="FV186" s="418"/>
      <c r="FW186" s="418"/>
      <c r="FX186" s="418"/>
      <c r="FY186" s="418"/>
      <c r="FZ186" s="418"/>
      <c r="GA186" s="418"/>
      <c r="GB186" s="418"/>
      <c r="GC186" s="418"/>
      <c r="GD186" s="418"/>
      <c r="GE186" s="418"/>
      <c r="GF186" s="418"/>
      <c r="GG186" s="418"/>
      <c r="GH186" s="418"/>
      <c r="GI186" s="418"/>
      <c r="GJ186" s="418"/>
      <c r="GK186" s="418"/>
      <c r="GL186" s="418"/>
      <c r="GM186" s="418"/>
      <c r="GN186" s="418"/>
      <c r="GO186" s="418"/>
      <c r="GP186" s="418"/>
      <c r="GQ186" s="418"/>
      <c r="GR186" s="418"/>
      <c r="GS186" s="418"/>
      <c r="GT186" s="418"/>
      <c r="GU186" s="418"/>
      <c r="GV186" s="418"/>
      <c r="GW186" s="418"/>
      <c r="GX186" s="418"/>
      <c r="GY186" s="418"/>
      <c r="GZ186" s="418"/>
      <c r="HA186" s="418"/>
      <c r="HB186" s="418"/>
      <c r="HC186" s="418"/>
      <c r="HD186" s="418"/>
      <c r="HE186" s="418"/>
      <c r="HF186" s="418"/>
      <c r="HG186" s="418"/>
      <c r="HH186" s="418"/>
      <c r="HI186" s="418"/>
      <c r="HJ186" s="418"/>
      <c r="HK186" s="418"/>
      <c r="HL186" s="418"/>
      <c r="HM186" s="418"/>
      <c r="HN186" s="418"/>
      <c r="HO186" s="418"/>
      <c r="HP186" s="418"/>
      <c r="HQ186" s="418"/>
      <c r="HR186" s="418"/>
      <c r="HS186" s="418"/>
      <c r="HT186" s="418"/>
      <c r="HU186" s="418"/>
      <c r="HV186" s="418"/>
      <c r="HW186" s="418"/>
      <c r="HX186" s="418"/>
      <c r="HY186" s="418"/>
      <c r="HZ186" s="418"/>
      <c r="IA186" s="418"/>
      <c r="IB186" s="418"/>
      <c r="IC186" s="418"/>
      <c r="ID186" s="418"/>
      <c r="IE186" s="418"/>
      <c r="IF186" s="418"/>
      <c r="IG186" s="418"/>
      <c r="IH186" s="418"/>
      <c r="II186" s="418"/>
      <c r="IJ186" s="418"/>
      <c r="IK186" s="418"/>
      <c r="IL186" s="418"/>
      <c r="IM186" s="418"/>
      <c r="IN186" s="418"/>
      <c r="IO186" s="418"/>
      <c r="IP186" s="418"/>
      <c r="IQ186" s="418"/>
      <c r="IR186" s="418"/>
      <c r="IS186" s="418"/>
      <c r="IT186" s="418"/>
      <c r="IU186" s="418"/>
      <c r="IV186" s="418"/>
      <c r="IW186" s="418"/>
      <c r="IX186" s="418"/>
      <c r="IY186" s="418"/>
      <c r="IZ186" s="418"/>
      <c r="JA186" s="418"/>
      <c r="JB186" s="418"/>
    </row>
    <row r="187" spans="1:262" s="758" customFormat="1" ht="21.95" customHeight="1" x14ac:dyDescent="0.35">
      <c r="A187" s="773">
        <v>177</v>
      </c>
      <c r="B187" s="2012"/>
      <c r="C187" s="420"/>
      <c r="D187" s="440" t="s">
        <v>1226</v>
      </c>
      <c r="E187" s="427"/>
      <c r="F187" s="430"/>
      <c r="G187" s="2006"/>
      <c r="H187" s="999"/>
      <c r="I187" s="2007"/>
      <c r="J187" s="2007"/>
      <c r="K187" s="1773">
        <f>21345-2503</f>
        <v>18842</v>
      </c>
      <c r="L187" s="2007"/>
      <c r="M187" s="2007"/>
      <c r="N187" s="2007"/>
      <c r="O187" s="2007"/>
      <c r="P187" s="2039">
        <f>SUM(I187:O187)</f>
        <v>18842</v>
      </c>
      <c r="Q187" s="1552"/>
      <c r="R187" s="418"/>
      <c r="S187" s="418"/>
      <c r="T187" s="418"/>
      <c r="U187" s="418"/>
      <c r="V187" s="418"/>
      <c r="W187" s="418"/>
      <c r="X187" s="418"/>
      <c r="Y187" s="418"/>
      <c r="Z187" s="418"/>
      <c r="AA187" s="418"/>
      <c r="AB187" s="418"/>
      <c r="AC187" s="418"/>
      <c r="AD187" s="418"/>
      <c r="AE187" s="418"/>
      <c r="AF187" s="418"/>
      <c r="AG187" s="418"/>
      <c r="AH187" s="418"/>
      <c r="AI187" s="418"/>
      <c r="AJ187" s="418"/>
      <c r="AK187" s="418"/>
      <c r="AL187" s="418"/>
      <c r="AM187" s="418"/>
      <c r="AN187" s="418"/>
      <c r="AO187" s="418"/>
      <c r="AP187" s="418"/>
      <c r="AQ187" s="418"/>
      <c r="AR187" s="418"/>
      <c r="AS187" s="418"/>
      <c r="AT187" s="418"/>
      <c r="AU187" s="418"/>
      <c r="AV187" s="418"/>
      <c r="AW187" s="418"/>
      <c r="AX187" s="418"/>
      <c r="AY187" s="418"/>
      <c r="AZ187" s="418"/>
      <c r="BA187" s="418"/>
      <c r="BB187" s="418"/>
      <c r="BC187" s="418"/>
      <c r="BD187" s="418"/>
      <c r="BE187" s="418"/>
      <c r="BF187" s="418"/>
      <c r="BG187" s="418"/>
      <c r="BH187" s="418"/>
      <c r="BI187" s="418"/>
      <c r="BJ187" s="418"/>
      <c r="BK187" s="418"/>
      <c r="BL187" s="418"/>
      <c r="BM187" s="418"/>
      <c r="BN187" s="418"/>
      <c r="BO187" s="418"/>
      <c r="BP187" s="418"/>
      <c r="BQ187" s="418"/>
      <c r="BR187" s="418"/>
      <c r="BS187" s="418"/>
      <c r="BT187" s="418"/>
      <c r="BU187" s="418"/>
      <c r="BV187" s="418"/>
      <c r="BW187" s="418"/>
      <c r="BX187" s="418"/>
      <c r="BY187" s="418"/>
      <c r="BZ187" s="418"/>
      <c r="CA187" s="418"/>
      <c r="CB187" s="418"/>
      <c r="CC187" s="418"/>
      <c r="CD187" s="418"/>
      <c r="CE187" s="418"/>
      <c r="CF187" s="418"/>
      <c r="CG187" s="418"/>
      <c r="CH187" s="418"/>
      <c r="CI187" s="418"/>
      <c r="CJ187" s="418"/>
      <c r="CK187" s="418"/>
      <c r="CL187" s="418"/>
      <c r="CM187" s="418"/>
      <c r="CN187" s="418"/>
      <c r="CO187" s="418"/>
      <c r="CP187" s="418"/>
      <c r="CQ187" s="418"/>
      <c r="CR187" s="418"/>
      <c r="CS187" s="418"/>
      <c r="CT187" s="418"/>
      <c r="CU187" s="418"/>
      <c r="CV187" s="418"/>
      <c r="CW187" s="418"/>
      <c r="CX187" s="418"/>
      <c r="CY187" s="418"/>
      <c r="CZ187" s="418"/>
      <c r="DA187" s="418"/>
      <c r="DB187" s="418"/>
      <c r="DC187" s="418"/>
      <c r="DD187" s="418"/>
      <c r="DE187" s="418"/>
      <c r="DF187" s="418"/>
      <c r="DG187" s="418"/>
      <c r="DH187" s="418"/>
      <c r="DI187" s="418"/>
      <c r="DJ187" s="418"/>
      <c r="DK187" s="418"/>
      <c r="DL187" s="418"/>
      <c r="DM187" s="418"/>
      <c r="DN187" s="418"/>
      <c r="DO187" s="418"/>
      <c r="DP187" s="418"/>
      <c r="DQ187" s="418"/>
      <c r="DR187" s="418"/>
      <c r="DS187" s="418"/>
      <c r="DT187" s="418"/>
      <c r="DU187" s="418"/>
      <c r="DV187" s="418"/>
      <c r="DW187" s="418"/>
      <c r="DX187" s="418"/>
      <c r="DY187" s="418"/>
      <c r="DZ187" s="418"/>
      <c r="EA187" s="418"/>
      <c r="EB187" s="418"/>
      <c r="EC187" s="418"/>
      <c r="ED187" s="418"/>
      <c r="EE187" s="418"/>
      <c r="EF187" s="418"/>
      <c r="EG187" s="418"/>
      <c r="EH187" s="418"/>
      <c r="EI187" s="418"/>
      <c r="EJ187" s="418"/>
      <c r="EK187" s="418"/>
      <c r="EL187" s="418"/>
      <c r="EM187" s="418"/>
      <c r="EN187" s="418"/>
      <c r="EO187" s="418"/>
      <c r="EP187" s="418"/>
      <c r="EQ187" s="418"/>
      <c r="ER187" s="418"/>
      <c r="ES187" s="418"/>
      <c r="ET187" s="418"/>
      <c r="EU187" s="418"/>
      <c r="EV187" s="418"/>
      <c r="EW187" s="418"/>
      <c r="EX187" s="418"/>
      <c r="EY187" s="418"/>
      <c r="EZ187" s="418"/>
      <c r="FA187" s="418"/>
      <c r="FB187" s="418"/>
      <c r="FC187" s="418"/>
      <c r="FD187" s="418"/>
      <c r="FE187" s="418"/>
      <c r="FF187" s="418"/>
      <c r="FG187" s="418"/>
      <c r="FH187" s="418"/>
      <c r="FI187" s="418"/>
      <c r="FJ187" s="418"/>
      <c r="FK187" s="418"/>
      <c r="FL187" s="418"/>
      <c r="FM187" s="418"/>
      <c r="FN187" s="418"/>
      <c r="FO187" s="418"/>
      <c r="FP187" s="418"/>
      <c r="FQ187" s="418"/>
      <c r="FR187" s="418"/>
      <c r="FS187" s="418"/>
      <c r="FT187" s="418"/>
      <c r="FU187" s="418"/>
      <c r="FV187" s="418"/>
      <c r="FW187" s="418"/>
      <c r="FX187" s="418"/>
      <c r="FY187" s="418"/>
      <c r="FZ187" s="418"/>
      <c r="GA187" s="418"/>
      <c r="GB187" s="418"/>
      <c r="GC187" s="418"/>
      <c r="GD187" s="418"/>
      <c r="GE187" s="418"/>
      <c r="GF187" s="418"/>
      <c r="GG187" s="418"/>
      <c r="GH187" s="418"/>
      <c r="GI187" s="418"/>
      <c r="GJ187" s="418"/>
      <c r="GK187" s="418"/>
      <c r="GL187" s="418"/>
      <c r="GM187" s="418"/>
      <c r="GN187" s="418"/>
      <c r="GO187" s="418"/>
      <c r="GP187" s="418"/>
      <c r="GQ187" s="418"/>
      <c r="GR187" s="418"/>
      <c r="GS187" s="418"/>
      <c r="GT187" s="418"/>
      <c r="GU187" s="418"/>
      <c r="GV187" s="418"/>
      <c r="GW187" s="418"/>
      <c r="GX187" s="418"/>
      <c r="GY187" s="418"/>
      <c r="GZ187" s="418"/>
      <c r="HA187" s="418"/>
      <c r="HB187" s="418"/>
      <c r="HC187" s="418"/>
      <c r="HD187" s="418"/>
      <c r="HE187" s="418"/>
      <c r="HF187" s="418"/>
      <c r="HG187" s="418"/>
      <c r="HH187" s="418"/>
      <c r="HI187" s="418"/>
      <c r="HJ187" s="418"/>
      <c r="HK187" s="418"/>
      <c r="HL187" s="418"/>
      <c r="HM187" s="418"/>
      <c r="HN187" s="418"/>
      <c r="HO187" s="418"/>
      <c r="HP187" s="418"/>
      <c r="HQ187" s="418"/>
      <c r="HR187" s="418"/>
      <c r="HS187" s="418"/>
      <c r="HT187" s="418"/>
      <c r="HU187" s="418"/>
      <c r="HV187" s="418"/>
      <c r="HW187" s="418"/>
      <c r="HX187" s="418"/>
      <c r="HY187" s="418"/>
      <c r="HZ187" s="418"/>
      <c r="IA187" s="418"/>
      <c r="IB187" s="418"/>
      <c r="IC187" s="418"/>
      <c r="ID187" s="418"/>
      <c r="IE187" s="418"/>
      <c r="IF187" s="418"/>
      <c r="IG187" s="418"/>
      <c r="IH187" s="418"/>
      <c r="II187" s="418"/>
      <c r="IJ187" s="418"/>
      <c r="IK187" s="418"/>
      <c r="IL187" s="418"/>
      <c r="IM187" s="418"/>
      <c r="IN187" s="418"/>
      <c r="IO187" s="418"/>
      <c r="IP187" s="418"/>
      <c r="IQ187" s="418"/>
      <c r="IR187" s="418"/>
      <c r="IS187" s="418"/>
      <c r="IT187" s="418"/>
      <c r="IU187" s="418"/>
      <c r="IV187" s="418"/>
      <c r="IW187" s="418"/>
      <c r="IX187" s="418"/>
      <c r="IY187" s="418"/>
      <c r="IZ187" s="418"/>
      <c r="JA187" s="418"/>
      <c r="JB187" s="418"/>
    </row>
    <row r="188" spans="1:262" s="758" customFormat="1" ht="21.95" customHeight="1" x14ac:dyDescent="0.35">
      <c r="A188" s="773">
        <v>178</v>
      </c>
      <c r="B188" s="2012"/>
      <c r="C188" s="420"/>
      <c r="D188" s="440" t="s">
        <v>1225</v>
      </c>
      <c r="E188" s="427"/>
      <c r="F188" s="430"/>
      <c r="G188" s="2006"/>
      <c r="H188" s="999"/>
      <c r="I188" s="2007"/>
      <c r="J188" s="2007"/>
      <c r="K188" s="1773">
        <v>7300</v>
      </c>
      <c r="L188" s="2007"/>
      <c r="M188" s="2007"/>
      <c r="N188" s="2007"/>
      <c r="O188" s="2007"/>
      <c r="P188" s="2039">
        <f t="shared" ref="P188:P200" si="25">SUM(I188:O188)</f>
        <v>7300</v>
      </c>
      <c r="Q188" s="1552"/>
      <c r="R188" s="418"/>
      <c r="S188" s="418"/>
      <c r="T188" s="418"/>
      <c r="U188" s="418"/>
      <c r="V188" s="418"/>
      <c r="W188" s="418"/>
      <c r="X188" s="418"/>
      <c r="Y188" s="418"/>
      <c r="Z188" s="418"/>
      <c r="AA188" s="418"/>
      <c r="AB188" s="418"/>
      <c r="AC188" s="418"/>
      <c r="AD188" s="418"/>
      <c r="AE188" s="418"/>
      <c r="AF188" s="418"/>
      <c r="AG188" s="418"/>
      <c r="AH188" s="418"/>
      <c r="AI188" s="418"/>
      <c r="AJ188" s="418"/>
      <c r="AK188" s="418"/>
      <c r="AL188" s="418"/>
      <c r="AM188" s="418"/>
      <c r="AN188" s="418"/>
      <c r="AO188" s="418"/>
      <c r="AP188" s="418"/>
      <c r="AQ188" s="418"/>
      <c r="AR188" s="418"/>
      <c r="AS188" s="418"/>
      <c r="AT188" s="418"/>
      <c r="AU188" s="418"/>
      <c r="AV188" s="418"/>
      <c r="AW188" s="418"/>
      <c r="AX188" s="418"/>
      <c r="AY188" s="418"/>
      <c r="AZ188" s="418"/>
      <c r="BA188" s="418"/>
      <c r="BB188" s="418"/>
      <c r="BC188" s="418"/>
      <c r="BD188" s="418"/>
      <c r="BE188" s="418"/>
      <c r="BF188" s="418"/>
      <c r="BG188" s="418"/>
      <c r="BH188" s="418"/>
      <c r="BI188" s="418"/>
      <c r="BJ188" s="418"/>
      <c r="BK188" s="418"/>
      <c r="BL188" s="418"/>
      <c r="BM188" s="418"/>
      <c r="BN188" s="418"/>
      <c r="BO188" s="418"/>
      <c r="BP188" s="418"/>
      <c r="BQ188" s="418"/>
      <c r="BR188" s="418"/>
      <c r="BS188" s="418"/>
      <c r="BT188" s="418"/>
      <c r="BU188" s="418"/>
      <c r="BV188" s="418"/>
      <c r="BW188" s="418"/>
      <c r="BX188" s="418"/>
      <c r="BY188" s="418"/>
      <c r="BZ188" s="418"/>
      <c r="CA188" s="418"/>
      <c r="CB188" s="418"/>
      <c r="CC188" s="418"/>
      <c r="CD188" s="418"/>
      <c r="CE188" s="418"/>
      <c r="CF188" s="418"/>
      <c r="CG188" s="418"/>
      <c r="CH188" s="418"/>
      <c r="CI188" s="418"/>
      <c r="CJ188" s="418"/>
      <c r="CK188" s="418"/>
      <c r="CL188" s="418"/>
      <c r="CM188" s="418"/>
      <c r="CN188" s="418"/>
      <c r="CO188" s="418"/>
      <c r="CP188" s="418"/>
      <c r="CQ188" s="418"/>
      <c r="CR188" s="418"/>
      <c r="CS188" s="418"/>
      <c r="CT188" s="418"/>
      <c r="CU188" s="418"/>
      <c r="CV188" s="418"/>
      <c r="CW188" s="418"/>
      <c r="CX188" s="418"/>
      <c r="CY188" s="418"/>
      <c r="CZ188" s="418"/>
      <c r="DA188" s="418"/>
      <c r="DB188" s="418"/>
      <c r="DC188" s="418"/>
      <c r="DD188" s="418"/>
      <c r="DE188" s="418"/>
      <c r="DF188" s="418"/>
      <c r="DG188" s="418"/>
      <c r="DH188" s="418"/>
      <c r="DI188" s="418"/>
      <c r="DJ188" s="418"/>
      <c r="DK188" s="418"/>
      <c r="DL188" s="418"/>
      <c r="DM188" s="418"/>
      <c r="DN188" s="418"/>
      <c r="DO188" s="418"/>
      <c r="DP188" s="418"/>
      <c r="DQ188" s="418"/>
      <c r="DR188" s="418"/>
      <c r="DS188" s="418"/>
      <c r="DT188" s="418"/>
      <c r="DU188" s="418"/>
      <c r="DV188" s="418"/>
      <c r="DW188" s="418"/>
      <c r="DX188" s="418"/>
      <c r="DY188" s="418"/>
      <c r="DZ188" s="418"/>
      <c r="EA188" s="418"/>
      <c r="EB188" s="418"/>
      <c r="EC188" s="418"/>
      <c r="ED188" s="418"/>
      <c r="EE188" s="418"/>
      <c r="EF188" s="418"/>
      <c r="EG188" s="418"/>
      <c r="EH188" s="418"/>
      <c r="EI188" s="418"/>
      <c r="EJ188" s="418"/>
      <c r="EK188" s="418"/>
      <c r="EL188" s="418"/>
      <c r="EM188" s="418"/>
      <c r="EN188" s="418"/>
      <c r="EO188" s="418"/>
      <c r="EP188" s="418"/>
      <c r="EQ188" s="418"/>
      <c r="ER188" s="418"/>
      <c r="ES188" s="418"/>
      <c r="ET188" s="418"/>
      <c r="EU188" s="418"/>
      <c r="EV188" s="418"/>
      <c r="EW188" s="418"/>
      <c r="EX188" s="418"/>
      <c r="EY188" s="418"/>
      <c r="EZ188" s="418"/>
      <c r="FA188" s="418"/>
      <c r="FB188" s="418"/>
      <c r="FC188" s="418"/>
      <c r="FD188" s="418"/>
      <c r="FE188" s="418"/>
      <c r="FF188" s="418"/>
      <c r="FG188" s="418"/>
      <c r="FH188" s="418"/>
      <c r="FI188" s="418"/>
      <c r="FJ188" s="418"/>
      <c r="FK188" s="418"/>
      <c r="FL188" s="418"/>
      <c r="FM188" s="418"/>
      <c r="FN188" s="418"/>
      <c r="FO188" s="418"/>
      <c r="FP188" s="418"/>
      <c r="FQ188" s="418"/>
      <c r="FR188" s="418"/>
      <c r="FS188" s="418"/>
      <c r="FT188" s="418"/>
      <c r="FU188" s="418"/>
      <c r="FV188" s="418"/>
      <c r="FW188" s="418"/>
      <c r="FX188" s="418"/>
      <c r="FY188" s="418"/>
      <c r="FZ188" s="418"/>
      <c r="GA188" s="418"/>
      <c r="GB188" s="418"/>
      <c r="GC188" s="418"/>
      <c r="GD188" s="418"/>
      <c r="GE188" s="418"/>
      <c r="GF188" s="418"/>
      <c r="GG188" s="418"/>
      <c r="GH188" s="418"/>
      <c r="GI188" s="418"/>
      <c r="GJ188" s="418"/>
      <c r="GK188" s="418"/>
      <c r="GL188" s="418"/>
      <c r="GM188" s="418"/>
      <c r="GN188" s="418"/>
      <c r="GO188" s="418"/>
      <c r="GP188" s="418"/>
      <c r="GQ188" s="418"/>
      <c r="GR188" s="418"/>
      <c r="GS188" s="418"/>
      <c r="GT188" s="418"/>
      <c r="GU188" s="418"/>
      <c r="GV188" s="418"/>
      <c r="GW188" s="418"/>
      <c r="GX188" s="418"/>
      <c r="GY188" s="418"/>
      <c r="GZ188" s="418"/>
      <c r="HA188" s="418"/>
      <c r="HB188" s="418"/>
      <c r="HC188" s="418"/>
      <c r="HD188" s="418"/>
      <c r="HE188" s="418"/>
      <c r="HF188" s="418"/>
      <c r="HG188" s="418"/>
      <c r="HH188" s="418"/>
      <c r="HI188" s="418"/>
      <c r="HJ188" s="418"/>
      <c r="HK188" s="418"/>
      <c r="HL188" s="418"/>
      <c r="HM188" s="418"/>
      <c r="HN188" s="418"/>
      <c r="HO188" s="418"/>
      <c r="HP188" s="418"/>
      <c r="HQ188" s="418"/>
      <c r="HR188" s="418"/>
      <c r="HS188" s="418"/>
      <c r="HT188" s="418"/>
      <c r="HU188" s="418"/>
      <c r="HV188" s="418"/>
      <c r="HW188" s="418"/>
      <c r="HX188" s="418"/>
      <c r="HY188" s="418"/>
      <c r="HZ188" s="418"/>
      <c r="IA188" s="418"/>
      <c r="IB188" s="418"/>
      <c r="IC188" s="418"/>
      <c r="ID188" s="418"/>
      <c r="IE188" s="418"/>
      <c r="IF188" s="418"/>
      <c r="IG188" s="418"/>
      <c r="IH188" s="418"/>
      <c r="II188" s="418"/>
      <c r="IJ188" s="418"/>
      <c r="IK188" s="418"/>
      <c r="IL188" s="418"/>
      <c r="IM188" s="418"/>
      <c r="IN188" s="418"/>
      <c r="IO188" s="418"/>
      <c r="IP188" s="418"/>
      <c r="IQ188" s="418"/>
      <c r="IR188" s="418"/>
      <c r="IS188" s="418"/>
      <c r="IT188" s="418"/>
      <c r="IU188" s="418"/>
      <c r="IV188" s="418"/>
      <c r="IW188" s="418"/>
      <c r="IX188" s="418"/>
      <c r="IY188" s="418"/>
      <c r="IZ188" s="418"/>
      <c r="JA188" s="418"/>
      <c r="JB188" s="418"/>
    </row>
    <row r="189" spans="1:262" s="758" customFormat="1" ht="21.95" customHeight="1" x14ac:dyDescent="0.35">
      <c r="A189" s="773">
        <v>179</v>
      </c>
      <c r="B189" s="2012"/>
      <c r="C189" s="420"/>
      <c r="D189" s="440" t="s">
        <v>1231</v>
      </c>
      <c r="E189" s="427"/>
      <c r="F189" s="430"/>
      <c r="G189" s="2006"/>
      <c r="H189" s="999"/>
      <c r="I189" s="2007"/>
      <c r="J189" s="2007"/>
      <c r="K189" s="1773">
        <f>3630+167+3360</f>
        <v>7157</v>
      </c>
      <c r="L189" s="2007"/>
      <c r="M189" s="2007"/>
      <c r="N189" s="2007"/>
      <c r="O189" s="2007"/>
      <c r="P189" s="2039">
        <f t="shared" si="25"/>
        <v>7157</v>
      </c>
      <c r="Q189" s="1552"/>
      <c r="R189" s="418"/>
      <c r="S189" s="418"/>
      <c r="T189" s="418"/>
      <c r="U189" s="418"/>
      <c r="V189" s="418"/>
      <c r="W189" s="418"/>
      <c r="X189" s="418"/>
      <c r="Y189" s="418"/>
      <c r="Z189" s="418"/>
      <c r="AA189" s="418"/>
      <c r="AB189" s="418"/>
      <c r="AC189" s="418"/>
      <c r="AD189" s="418"/>
      <c r="AE189" s="418"/>
      <c r="AF189" s="418"/>
      <c r="AG189" s="418"/>
      <c r="AH189" s="418"/>
      <c r="AI189" s="418"/>
      <c r="AJ189" s="418"/>
      <c r="AK189" s="418"/>
      <c r="AL189" s="418"/>
      <c r="AM189" s="418"/>
      <c r="AN189" s="418"/>
      <c r="AO189" s="418"/>
      <c r="AP189" s="418"/>
      <c r="AQ189" s="418"/>
      <c r="AR189" s="418"/>
      <c r="AS189" s="418"/>
      <c r="AT189" s="418"/>
      <c r="AU189" s="418"/>
      <c r="AV189" s="418"/>
      <c r="AW189" s="418"/>
      <c r="AX189" s="418"/>
      <c r="AY189" s="418"/>
      <c r="AZ189" s="418"/>
      <c r="BA189" s="418"/>
      <c r="BB189" s="418"/>
      <c r="BC189" s="418"/>
      <c r="BD189" s="418"/>
      <c r="BE189" s="418"/>
      <c r="BF189" s="418"/>
      <c r="BG189" s="418"/>
      <c r="BH189" s="418"/>
      <c r="BI189" s="418"/>
      <c r="BJ189" s="418"/>
      <c r="BK189" s="418"/>
      <c r="BL189" s="418"/>
      <c r="BM189" s="418"/>
      <c r="BN189" s="418"/>
      <c r="BO189" s="418"/>
      <c r="BP189" s="418"/>
      <c r="BQ189" s="418"/>
      <c r="BR189" s="418"/>
      <c r="BS189" s="418"/>
      <c r="BT189" s="418"/>
      <c r="BU189" s="418"/>
      <c r="BV189" s="418"/>
      <c r="BW189" s="418"/>
      <c r="BX189" s="418"/>
      <c r="BY189" s="418"/>
      <c r="BZ189" s="418"/>
      <c r="CA189" s="418"/>
      <c r="CB189" s="418"/>
      <c r="CC189" s="418"/>
      <c r="CD189" s="418"/>
      <c r="CE189" s="418"/>
      <c r="CF189" s="418"/>
      <c r="CG189" s="418"/>
      <c r="CH189" s="418"/>
      <c r="CI189" s="418"/>
      <c r="CJ189" s="418"/>
      <c r="CK189" s="418"/>
      <c r="CL189" s="418"/>
      <c r="CM189" s="418"/>
      <c r="CN189" s="418"/>
      <c r="CO189" s="418"/>
      <c r="CP189" s="418"/>
      <c r="CQ189" s="418"/>
      <c r="CR189" s="418"/>
      <c r="CS189" s="418"/>
      <c r="CT189" s="418"/>
      <c r="CU189" s="418"/>
      <c r="CV189" s="418"/>
      <c r="CW189" s="418"/>
      <c r="CX189" s="418"/>
      <c r="CY189" s="418"/>
      <c r="CZ189" s="418"/>
      <c r="DA189" s="418"/>
      <c r="DB189" s="418"/>
      <c r="DC189" s="418"/>
      <c r="DD189" s="418"/>
      <c r="DE189" s="418"/>
      <c r="DF189" s="418"/>
      <c r="DG189" s="418"/>
      <c r="DH189" s="418"/>
      <c r="DI189" s="418"/>
      <c r="DJ189" s="418"/>
      <c r="DK189" s="418"/>
      <c r="DL189" s="418"/>
      <c r="DM189" s="418"/>
      <c r="DN189" s="418"/>
      <c r="DO189" s="418"/>
      <c r="DP189" s="418"/>
      <c r="DQ189" s="418"/>
      <c r="DR189" s="418"/>
      <c r="DS189" s="418"/>
      <c r="DT189" s="418"/>
      <c r="DU189" s="418"/>
      <c r="DV189" s="418"/>
      <c r="DW189" s="418"/>
      <c r="DX189" s="418"/>
      <c r="DY189" s="418"/>
      <c r="DZ189" s="418"/>
      <c r="EA189" s="418"/>
      <c r="EB189" s="418"/>
      <c r="EC189" s="418"/>
      <c r="ED189" s="418"/>
      <c r="EE189" s="418"/>
      <c r="EF189" s="418"/>
      <c r="EG189" s="418"/>
      <c r="EH189" s="418"/>
      <c r="EI189" s="418"/>
      <c r="EJ189" s="418"/>
      <c r="EK189" s="418"/>
      <c r="EL189" s="418"/>
      <c r="EM189" s="418"/>
      <c r="EN189" s="418"/>
      <c r="EO189" s="418"/>
      <c r="EP189" s="418"/>
      <c r="EQ189" s="418"/>
      <c r="ER189" s="418"/>
      <c r="ES189" s="418"/>
      <c r="ET189" s="418"/>
      <c r="EU189" s="418"/>
      <c r="EV189" s="418"/>
      <c r="EW189" s="418"/>
      <c r="EX189" s="418"/>
      <c r="EY189" s="418"/>
      <c r="EZ189" s="418"/>
      <c r="FA189" s="418"/>
      <c r="FB189" s="418"/>
      <c r="FC189" s="418"/>
      <c r="FD189" s="418"/>
      <c r="FE189" s="418"/>
      <c r="FF189" s="418"/>
      <c r="FG189" s="418"/>
      <c r="FH189" s="418"/>
      <c r="FI189" s="418"/>
      <c r="FJ189" s="418"/>
      <c r="FK189" s="418"/>
      <c r="FL189" s="418"/>
      <c r="FM189" s="418"/>
      <c r="FN189" s="418"/>
      <c r="FO189" s="418"/>
      <c r="FP189" s="418"/>
      <c r="FQ189" s="418"/>
      <c r="FR189" s="418"/>
      <c r="FS189" s="418"/>
      <c r="FT189" s="418"/>
      <c r="FU189" s="418"/>
      <c r="FV189" s="418"/>
      <c r="FW189" s="418"/>
      <c r="FX189" s="418"/>
      <c r="FY189" s="418"/>
      <c r="FZ189" s="418"/>
      <c r="GA189" s="418"/>
      <c r="GB189" s="418"/>
      <c r="GC189" s="418"/>
      <c r="GD189" s="418"/>
      <c r="GE189" s="418"/>
      <c r="GF189" s="418"/>
      <c r="GG189" s="418"/>
      <c r="GH189" s="418"/>
      <c r="GI189" s="418"/>
      <c r="GJ189" s="418"/>
      <c r="GK189" s="418"/>
      <c r="GL189" s="418"/>
      <c r="GM189" s="418"/>
      <c r="GN189" s="418"/>
      <c r="GO189" s="418"/>
      <c r="GP189" s="418"/>
      <c r="GQ189" s="418"/>
      <c r="GR189" s="418"/>
      <c r="GS189" s="418"/>
      <c r="GT189" s="418"/>
      <c r="GU189" s="418"/>
      <c r="GV189" s="418"/>
      <c r="GW189" s="418"/>
      <c r="GX189" s="418"/>
      <c r="GY189" s="418"/>
      <c r="GZ189" s="418"/>
      <c r="HA189" s="418"/>
      <c r="HB189" s="418"/>
      <c r="HC189" s="418"/>
      <c r="HD189" s="418"/>
      <c r="HE189" s="418"/>
      <c r="HF189" s="418"/>
      <c r="HG189" s="418"/>
      <c r="HH189" s="418"/>
      <c r="HI189" s="418"/>
      <c r="HJ189" s="418"/>
      <c r="HK189" s="418"/>
      <c r="HL189" s="418"/>
      <c r="HM189" s="418"/>
      <c r="HN189" s="418"/>
      <c r="HO189" s="418"/>
      <c r="HP189" s="418"/>
      <c r="HQ189" s="418"/>
      <c r="HR189" s="418"/>
      <c r="HS189" s="418"/>
      <c r="HT189" s="418"/>
      <c r="HU189" s="418"/>
      <c r="HV189" s="418"/>
      <c r="HW189" s="418"/>
      <c r="HX189" s="418"/>
      <c r="HY189" s="418"/>
      <c r="HZ189" s="418"/>
      <c r="IA189" s="418"/>
      <c r="IB189" s="418"/>
      <c r="IC189" s="418"/>
      <c r="ID189" s="418"/>
      <c r="IE189" s="418"/>
      <c r="IF189" s="418"/>
      <c r="IG189" s="418"/>
      <c r="IH189" s="418"/>
      <c r="II189" s="418"/>
      <c r="IJ189" s="418"/>
      <c r="IK189" s="418"/>
      <c r="IL189" s="418"/>
      <c r="IM189" s="418"/>
      <c r="IN189" s="418"/>
      <c r="IO189" s="418"/>
      <c r="IP189" s="418"/>
      <c r="IQ189" s="418"/>
      <c r="IR189" s="418"/>
      <c r="IS189" s="418"/>
      <c r="IT189" s="418"/>
      <c r="IU189" s="418"/>
      <c r="IV189" s="418"/>
      <c r="IW189" s="418"/>
      <c r="IX189" s="418"/>
      <c r="IY189" s="418"/>
      <c r="IZ189" s="418"/>
      <c r="JA189" s="418"/>
      <c r="JB189" s="418"/>
    </row>
    <row r="190" spans="1:262" s="758" customFormat="1" ht="21.95" customHeight="1" x14ac:dyDescent="0.35">
      <c r="A190" s="773">
        <v>180</v>
      </c>
      <c r="B190" s="2012"/>
      <c r="C190" s="420"/>
      <c r="D190" s="440" t="s">
        <v>1216</v>
      </c>
      <c r="E190" s="427"/>
      <c r="F190" s="430"/>
      <c r="G190" s="2006"/>
      <c r="H190" s="999"/>
      <c r="I190" s="2007"/>
      <c r="J190" s="2007"/>
      <c r="K190" s="1773">
        <f>1189-181</f>
        <v>1008</v>
      </c>
      <c r="L190" s="2007"/>
      <c r="M190" s="2007"/>
      <c r="N190" s="2007"/>
      <c r="O190" s="2007"/>
      <c r="P190" s="2039">
        <f t="shared" si="25"/>
        <v>1008</v>
      </c>
      <c r="Q190" s="1552"/>
      <c r="R190" s="418"/>
      <c r="S190" s="418"/>
      <c r="T190" s="418"/>
      <c r="U190" s="418"/>
      <c r="V190" s="418"/>
      <c r="W190" s="418"/>
      <c r="X190" s="418"/>
      <c r="Y190" s="418"/>
      <c r="Z190" s="418"/>
      <c r="AA190" s="418"/>
      <c r="AB190" s="418"/>
      <c r="AC190" s="418"/>
      <c r="AD190" s="418"/>
      <c r="AE190" s="418"/>
      <c r="AF190" s="418"/>
      <c r="AG190" s="418"/>
      <c r="AH190" s="418"/>
      <c r="AI190" s="418"/>
      <c r="AJ190" s="418"/>
      <c r="AK190" s="418"/>
      <c r="AL190" s="418"/>
      <c r="AM190" s="418"/>
      <c r="AN190" s="418"/>
      <c r="AO190" s="418"/>
      <c r="AP190" s="418"/>
      <c r="AQ190" s="418"/>
      <c r="AR190" s="418"/>
      <c r="AS190" s="418"/>
      <c r="AT190" s="418"/>
      <c r="AU190" s="418"/>
      <c r="AV190" s="418"/>
      <c r="AW190" s="418"/>
      <c r="AX190" s="418"/>
      <c r="AY190" s="418"/>
      <c r="AZ190" s="418"/>
      <c r="BA190" s="418"/>
      <c r="BB190" s="418"/>
      <c r="BC190" s="418"/>
      <c r="BD190" s="418"/>
      <c r="BE190" s="418"/>
      <c r="BF190" s="418"/>
      <c r="BG190" s="418"/>
      <c r="BH190" s="418"/>
      <c r="BI190" s="418"/>
      <c r="BJ190" s="418"/>
      <c r="BK190" s="418"/>
      <c r="BL190" s="418"/>
      <c r="BM190" s="418"/>
      <c r="BN190" s="418"/>
      <c r="BO190" s="418"/>
      <c r="BP190" s="418"/>
      <c r="BQ190" s="418"/>
      <c r="BR190" s="418"/>
      <c r="BS190" s="418"/>
      <c r="BT190" s="418"/>
      <c r="BU190" s="418"/>
      <c r="BV190" s="418"/>
      <c r="BW190" s="418"/>
      <c r="BX190" s="418"/>
      <c r="BY190" s="418"/>
      <c r="BZ190" s="418"/>
      <c r="CA190" s="418"/>
      <c r="CB190" s="418"/>
      <c r="CC190" s="418"/>
      <c r="CD190" s="418"/>
      <c r="CE190" s="418"/>
      <c r="CF190" s="418"/>
      <c r="CG190" s="418"/>
      <c r="CH190" s="418"/>
      <c r="CI190" s="418"/>
      <c r="CJ190" s="418"/>
      <c r="CK190" s="418"/>
      <c r="CL190" s="418"/>
      <c r="CM190" s="418"/>
      <c r="CN190" s="418"/>
      <c r="CO190" s="418"/>
      <c r="CP190" s="418"/>
      <c r="CQ190" s="418"/>
      <c r="CR190" s="418"/>
      <c r="CS190" s="418"/>
      <c r="CT190" s="418"/>
      <c r="CU190" s="418"/>
      <c r="CV190" s="418"/>
      <c r="CW190" s="418"/>
      <c r="CX190" s="418"/>
      <c r="CY190" s="418"/>
      <c r="CZ190" s="418"/>
      <c r="DA190" s="418"/>
      <c r="DB190" s="418"/>
      <c r="DC190" s="418"/>
      <c r="DD190" s="418"/>
      <c r="DE190" s="418"/>
      <c r="DF190" s="418"/>
      <c r="DG190" s="418"/>
      <c r="DH190" s="418"/>
      <c r="DI190" s="418"/>
      <c r="DJ190" s="418"/>
      <c r="DK190" s="418"/>
      <c r="DL190" s="418"/>
      <c r="DM190" s="418"/>
      <c r="DN190" s="418"/>
      <c r="DO190" s="418"/>
      <c r="DP190" s="418"/>
      <c r="DQ190" s="418"/>
      <c r="DR190" s="418"/>
      <c r="DS190" s="418"/>
      <c r="DT190" s="418"/>
      <c r="DU190" s="418"/>
      <c r="DV190" s="418"/>
      <c r="DW190" s="418"/>
      <c r="DX190" s="418"/>
      <c r="DY190" s="418"/>
      <c r="DZ190" s="418"/>
      <c r="EA190" s="418"/>
      <c r="EB190" s="418"/>
      <c r="EC190" s="418"/>
      <c r="ED190" s="418"/>
      <c r="EE190" s="418"/>
      <c r="EF190" s="418"/>
      <c r="EG190" s="418"/>
      <c r="EH190" s="418"/>
      <c r="EI190" s="418"/>
      <c r="EJ190" s="418"/>
      <c r="EK190" s="418"/>
      <c r="EL190" s="418"/>
      <c r="EM190" s="418"/>
      <c r="EN190" s="418"/>
      <c r="EO190" s="418"/>
      <c r="EP190" s="418"/>
      <c r="EQ190" s="418"/>
      <c r="ER190" s="418"/>
      <c r="ES190" s="418"/>
      <c r="ET190" s="418"/>
      <c r="EU190" s="418"/>
      <c r="EV190" s="418"/>
      <c r="EW190" s="418"/>
      <c r="EX190" s="418"/>
      <c r="EY190" s="418"/>
      <c r="EZ190" s="418"/>
      <c r="FA190" s="418"/>
      <c r="FB190" s="418"/>
      <c r="FC190" s="418"/>
      <c r="FD190" s="418"/>
      <c r="FE190" s="418"/>
      <c r="FF190" s="418"/>
      <c r="FG190" s="418"/>
      <c r="FH190" s="418"/>
      <c r="FI190" s="418"/>
      <c r="FJ190" s="418"/>
      <c r="FK190" s="418"/>
      <c r="FL190" s="418"/>
      <c r="FM190" s="418"/>
      <c r="FN190" s="418"/>
      <c r="FO190" s="418"/>
      <c r="FP190" s="418"/>
      <c r="FQ190" s="418"/>
      <c r="FR190" s="418"/>
      <c r="FS190" s="418"/>
      <c r="FT190" s="418"/>
      <c r="FU190" s="418"/>
      <c r="FV190" s="418"/>
      <c r="FW190" s="418"/>
      <c r="FX190" s="418"/>
      <c r="FY190" s="418"/>
      <c r="FZ190" s="418"/>
      <c r="GA190" s="418"/>
      <c r="GB190" s="418"/>
      <c r="GC190" s="418"/>
      <c r="GD190" s="418"/>
      <c r="GE190" s="418"/>
      <c r="GF190" s="418"/>
      <c r="GG190" s="418"/>
      <c r="GH190" s="418"/>
      <c r="GI190" s="418"/>
      <c r="GJ190" s="418"/>
      <c r="GK190" s="418"/>
      <c r="GL190" s="418"/>
      <c r="GM190" s="418"/>
      <c r="GN190" s="418"/>
      <c r="GO190" s="418"/>
      <c r="GP190" s="418"/>
      <c r="GQ190" s="418"/>
      <c r="GR190" s="418"/>
      <c r="GS190" s="418"/>
      <c r="GT190" s="418"/>
      <c r="GU190" s="418"/>
      <c r="GV190" s="418"/>
      <c r="GW190" s="418"/>
      <c r="GX190" s="418"/>
      <c r="GY190" s="418"/>
      <c r="GZ190" s="418"/>
      <c r="HA190" s="418"/>
      <c r="HB190" s="418"/>
      <c r="HC190" s="418"/>
      <c r="HD190" s="418"/>
      <c r="HE190" s="418"/>
      <c r="HF190" s="418"/>
      <c r="HG190" s="418"/>
      <c r="HH190" s="418"/>
      <c r="HI190" s="418"/>
      <c r="HJ190" s="418"/>
      <c r="HK190" s="418"/>
      <c r="HL190" s="418"/>
      <c r="HM190" s="418"/>
      <c r="HN190" s="418"/>
      <c r="HO190" s="418"/>
      <c r="HP190" s="418"/>
      <c r="HQ190" s="418"/>
      <c r="HR190" s="418"/>
      <c r="HS190" s="418"/>
      <c r="HT190" s="418"/>
      <c r="HU190" s="418"/>
      <c r="HV190" s="418"/>
      <c r="HW190" s="418"/>
      <c r="HX190" s="418"/>
      <c r="HY190" s="418"/>
      <c r="HZ190" s="418"/>
      <c r="IA190" s="418"/>
      <c r="IB190" s="418"/>
      <c r="IC190" s="418"/>
      <c r="ID190" s="418"/>
      <c r="IE190" s="418"/>
      <c r="IF190" s="418"/>
      <c r="IG190" s="418"/>
      <c r="IH190" s="418"/>
      <c r="II190" s="418"/>
      <c r="IJ190" s="418"/>
      <c r="IK190" s="418"/>
      <c r="IL190" s="418"/>
      <c r="IM190" s="418"/>
      <c r="IN190" s="418"/>
      <c r="IO190" s="418"/>
      <c r="IP190" s="418"/>
      <c r="IQ190" s="418"/>
      <c r="IR190" s="418"/>
      <c r="IS190" s="418"/>
      <c r="IT190" s="418"/>
      <c r="IU190" s="418"/>
      <c r="IV190" s="418"/>
      <c r="IW190" s="418"/>
      <c r="IX190" s="418"/>
      <c r="IY190" s="418"/>
      <c r="IZ190" s="418"/>
      <c r="JA190" s="418"/>
      <c r="JB190" s="418"/>
    </row>
    <row r="191" spans="1:262" s="758" customFormat="1" ht="21.95" customHeight="1" x14ac:dyDescent="0.35">
      <c r="A191" s="773">
        <v>181</v>
      </c>
      <c r="B191" s="2012"/>
      <c r="C191" s="420"/>
      <c r="D191" s="440" t="s">
        <v>1223</v>
      </c>
      <c r="E191" s="427"/>
      <c r="F191" s="430"/>
      <c r="G191" s="2006"/>
      <c r="H191" s="999"/>
      <c r="I191" s="2007"/>
      <c r="J191" s="2007"/>
      <c r="K191" s="1773">
        <v>1620</v>
      </c>
      <c r="L191" s="2007"/>
      <c r="M191" s="2007"/>
      <c r="N191" s="2007"/>
      <c r="O191" s="2007"/>
      <c r="P191" s="2039">
        <f t="shared" si="25"/>
        <v>1620</v>
      </c>
      <c r="Q191" s="1552"/>
      <c r="R191" s="418"/>
      <c r="S191" s="418"/>
      <c r="T191" s="418"/>
      <c r="U191" s="418"/>
      <c r="V191" s="418"/>
      <c r="W191" s="418"/>
      <c r="X191" s="418"/>
      <c r="Y191" s="418"/>
      <c r="Z191" s="418"/>
      <c r="AA191" s="418"/>
      <c r="AB191" s="418"/>
      <c r="AC191" s="418"/>
      <c r="AD191" s="418"/>
      <c r="AE191" s="418"/>
      <c r="AF191" s="418"/>
      <c r="AG191" s="418"/>
      <c r="AH191" s="418"/>
      <c r="AI191" s="418"/>
      <c r="AJ191" s="418"/>
      <c r="AK191" s="418"/>
      <c r="AL191" s="418"/>
      <c r="AM191" s="418"/>
      <c r="AN191" s="418"/>
      <c r="AO191" s="418"/>
      <c r="AP191" s="418"/>
      <c r="AQ191" s="418"/>
      <c r="AR191" s="418"/>
      <c r="AS191" s="418"/>
      <c r="AT191" s="418"/>
      <c r="AU191" s="418"/>
      <c r="AV191" s="418"/>
      <c r="AW191" s="418"/>
      <c r="AX191" s="418"/>
      <c r="AY191" s="418"/>
      <c r="AZ191" s="418"/>
      <c r="BA191" s="418"/>
      <c r="BB191" s="418"/>
      <c r="BC191" s="418"/>
      <c r="BD191" s="418"/>
      <c r="BE191" s="418"/>
      <c r="BF191" s="418"/>
      <c r="BG191" s="418"/>
      <c r="BH191" s="418"/>
      <c r="BI191" s="418"/>
      <c r="BJ191" s="418"/>
      <c r="BK191" s="418"/>
      <c r="BL191" s="418"/>
      <c r="BM191" s="418"/>
      <c r="BN191" s="418"/>
      <c r="BO191" s="418"/>
      <c r="BP191" s="418"/>
      <c r="BQ191" s="418"/>
      <c r="BR191" s="418"/>
      <c r="BS191" s="418"/>
      <c r="BT191" s="418"/>
      <c r="BU191" s="418"/>
      <c r="BV191" s="418"/>
      <c r="BW191" s="418"/>
      <c r="BX191" s="418"/>
      <c r="BY191" s="418"/>
      <c r="BZ191" s="418"/>
      <c r="CA191" s="418"/>
      <c r="CB191" s="418"/>
      <c r="CC191" s="418"/>
      <c r="CD191" s="418"/>
      <c r="CE191" s="418"/>
      <c r="CF191" s="418"/>
      <c r="CG191" s="418"/>
      <c r="CH191" s="418"/>
      <c r="CI191" s="418"/>
      <c r="CJ191" s="418"/>
      <c r="CK191" s="418"/>
      <c r="CL191" s="418"/>
      <c r="CM191" s="418"/>
      <c r="CN191" s="418"/>
      <c r="CO191" s="418"/>
      <c r="CP191" s="418"/>
      <c r="CQ191" s="418"/>
      <c r="CR191" s="418"/>
      <c r="CS191" s="418"/>
      <c r="CT191" s="418"/>
      <c r="CU191" s="418"/>
      <c r="CV191" s="418"/>
      <c r="CW191" s="418"/>
      <c r="CX191" s="418"/>
      <c r="CY191" s="418"/>
      <c r="CZ191" s="418"/>
      <c r="DA191" s="418"/>
      <c r="DB191" s="418"/>
      <c r="DC191" s="418"/>
      <c r="DD191" s="418"/>
      <c r="DE191" s="418"/>
      <c r="DF191" s="418"/>
      <c r="DG191" s="418"/>
      <c r="DH191" s="418"/>
      <c r="DI191" s="418"/>
      <c r="DJ191" s="418"/>
      <c r="DK191" s="418"/>
      <c r="DL191" s="418"/>
      <c r="DM191" s="418"/>
      <c r="DN191" s="418"/>
      <c r="DO191" s="418"/>
      <c r="DP191" s="418"/>
      <c r="DQ191" s="418"/>
      <c r="DR191" s="418"/>
      <c r="DS191" s="418"/>
      <c r="DT191" s="418"/>
      <c r="DU191" s="418"/>
      <c r="DV191" s="418"/>
      <c r="DW191" s="418"/>
      <c r="DX191" s="418"/>
      <c r="DY191" s="418"/>
      <c r="DZ191" s="418"/>
      <c r="EA191" s="418"/>
      <c r="EB191" s="418"/>
      <c r="EC191" s="418"/>
      <c r="ED191" s="418"/>
      <c r="EE191" s="418"/>
      <c r="EF191" s="418"/>
      <c r="EG191" s="418"/>
      <c r="EH191" s="418"/>
      <c r="EI191" s="418"/>
      <c r="EJ191" s="418"/>
      <c r="EK191" s="418"/>
      <c r="EL191" s="418"/>
      <c r="EM191" s="418"/>
      <c r="EN191" s="418"/>
      <c r="EO191" s="418"/>
      <c r="EP191" s="418"/>
      <c r="EQ191" s="418"/>
      <c r="ER191" s="418"/>
      <c r="ES191" s="418"/>
      <c r="ET191" s="418"/>
      <c r="EU191" s="418"/>
      <c r="EV191" s="418"/>
      <c r="EW191" s="418"/>
      <c r="EX191" s="418"/>
      <c r="EY191" s="418"/>
      <c r="EZ191" s="418"/>
      <c r="FA191" s="418"/>
      <c r="FB191" s="418"/>
      <c r="FC191" s="418"/>
      <c r="FD191" s="418"/>
      <c r="FE191" s="418"/>
      <c r="FF191" s="418"/>
      <c r="FG191" s="418"/>
      <c r="FH191" s="418"/>
      <c r="FI191" s="418"/>
      <c r="FJ191" s="418"/>
      <c r="FK191" s="418"/>
      <c r="FL191" s="418"/>
      <c r="FM191" s="418"/>
      <c r="FN191" s="418"/>
      <c r="FO191" s="418"/>
      <c r="FP191" s="418"/>
      <c r="FQ191" s="418"/>
      <c r="FR191" s="418"/>
      <c r="FS191" s="418"/>
      <c r="FT191" s="418"/>
      <c r="FU191" s="418"/>
      <c r="FV191" s="418"/>
      <c r="FW191" s="418"/>
      <c r="FX191" s="418"/>
      <c r="FY191" s="418"/>
      <c r="FZ191" s="418"/>
      <c r="GA191" s="418"/>
      <c r="GB191" s="418"/>
      <c r="GC191" s="418"/>
      <c r="GD191" s="418"/>
      <c r="GE191" s="418"/>
      <c r="GF191" s="418"/>
      <c r="GG191" s="418"/>
      <c r="GH191" s="418"/>
      <c r="GI191" s="418"/>
      <c r="GJ191" s="418"/>
      <c r="GK191" s="418"/>
      <c r="GL191" s="418"/>
      <c r="GM191" s="418"/>
      <c r="GN191" s="418"/>
      <c r="GO191" s="418"/>
      <c r="GP191" s="418"/>
      <c r="GQ191" s="418"/>
      <c r="GR191" s="418"/>
      <c r="GS191" s="418"/>
      <c r="GT191" s="418"/>
      <c r="GU191" s="418"/>
      <c r="GV191" s="418"/>
      <c r="GW191" s="418"/>
      <c r="GX191" s="418"/>
      <c r="GY191" s="418"/>
      <c r="GZ191" s="418"/>
      <c r="HA191" s="418"/>
      <c r="HB191" s="418"/>
      <c r="HC191" s="418"/>
      <c r="HD191" s="418"/>
      <c r="HE191" s="418"/>
      <c r="HF191" s="418"/>
      <c r="HG191" s="418"/>
      <c r="HH191" s="418"/>
      <c r="HI191" s="418"/>
      <c r="HJ191" s="418"/>
      <c r="HK191" s="418"/>
      <c r="HL191" s="418"/>
      <c r="HM191" s="418"/>
      <c r="HN191" s="418"/>
      <c r="HO191" s="418"/>
      <c r="HP191" s="418"/>
      <c r="HQ191" s="418"/>
      <c r="HR191" s="418"/>
      <c r="HS191" s="418"/>
      <c r="HT191" s="418"/>
      <c r="HU191" s="418"/>
      <c r="HV191" s="418"/>
      <c r="HW191" s="418"/>
      <c r="HX191" s="418"/>
      <c r="HY191" s="418"/>
      <c r="HZ191" s="418"/>
      <c r="IA191" s="418"/>
      <c r="IB191" s="418"/>
      <c r="IC191" s="418"/>
      <c r="ID191" s="418"/>
      <c r="IE191" s="418"/>
      <c r="IF191" s="418"/>
      <c r="IG191" s="418"/>
      <c r="IH191" s="418"/>
      <c r="II191" s="418"/>
      <c r="IJ191" s="418"/>
      <c r="IK191" s="418"/>
      <c r="IL191" s="418"/>
      <c r="IM191" s="418"/>
      <c r="IN191" s="418"/>
      <c r="IO191" s="418"/>
      <c r="IP191" s="418"/>
      <c r="IQ191" s="418"/>
      <c r="IR191" s="418"/>
      <c r="IS191" s="418"/>
      <c r="IT191" s="418"/>
      <c r="IU191" s="418"/>
      <c r="IV191" s="418"/>
      <c r="IW191" s="418"/>
      <c r="IX191" s="418"/>
      <c r="IY191" s="418"/>
      <c r="IZ191" s="418"/>
      <c r="JA191" s="418"/>
      <c r="JB191" s="418"/>
    </row>
    <row r="192" spans="1:262" s="758" customFormat="1" ht="21.95" customHeight="1" x14ac:dyDescent="0.35">
      <c r="A192" s="773">
        <v>182</v>
      </c>
      <c r="B192" s="2012"/>
      <c r="C192" s="420"/>
      <c r="D192" s="440" t="s">
        <v>1217</v>
      </c>
      <c r="E192" s="427"/>
      <c r="F192" s="430"/>
      <c r="G192" s="2006"/>
      <c r="H192" s="999"/>
      <c r="I192" s="2007"/>
      <c r="J192" s="2007"/>
      <c r="K192" s="1773">
        <v>200</v>
      </c>
      <c r="L192" s="2007"/>
      <c r="M192" s="2007"/>
      <c r="N192" s="2007"/>
      <c r="O192" s="2007"/>
      <c r="P192" s="2039">
        <f t="shared" si="25"/>
        <v>200</v>
      </c>
      <c r="Q192" s="1552"/>
      <c r="R192" s="418"/>
      <c r="S192" s="418"/>
      <c r="T192" s="418"/>
      <c r="U192" s="418"/>
      <c r="V192" s="418"/>
      <c r="W192" s="418"/>
      <c r="X192" s="418"/>
      <c r="Y192" s="418"/>
      <c r="Z192" s="418"/>
      <c r="AA192" s="418"/>
      <c r="AB192" s="418"/>
      <c r="AC192" s="418"/>
      <c r="AD192" s="418"/>
      <c r="AE192" s="418"/>
      <c r="AF192" s="418"/>
      <c r="AG192" s="418"/>
      <c r="AH192" s="418"/>
      <c r="AI192" s="418"/>
      <c r="AJ192" s="418"/>
      <c r="AK192" s="418"/>
      <c r="AL192" s="418"/>
      <c r="AM192" s="418"/>
      <c r="AN192" s="418"/>
      <c r="AO192" s="418"/>
      <c r="AP192" s="418"/>
      <c r="AQ192" s="418"/>
      <c r="AR192" s="418"/>
      <c r="AS192" s="418"/>
      <c r="AT192" s="418"/>
      <c r="AU192" s="418"/>
      <c r="AV192" s="418"/>
      <c r="AW192" s="418"/>
      <c r="AX192" s="418"/>
      <c r="AY192" s="418"/>
      <c r="AZ192" s="418"/>
      <c r="BA192" s="418"/>
      <c r="BB192" s="418"/>
      <c r="BC192" s="418"/>
      <c r="BD192" s="418"/>
      <c r="BE192" s="418"/>
      <c r="BF192" s="418"/>
      <c r="BG192" s="418"/>
      <c r="BH192" s="418"/>
      <c r="BI192" s="418"/>
      <c r="BJ192" s="418"/>
      <c r="BK192" s="418"/>
      <c r="BL192" s="418"/>
      <c r="BM192" s="418"/>
      <c r="BN192" s="418"/>
      <c r="BO192" s="418"/>
      <c r="BP192" s="418"/>
      <c r="BQ192" s="418"/>
      <c r="BR192" s="418"/>
      <c r="BS192" s="418"/>
      <c r="BT192" s="418"/>
      <c r="BU192" s="418"/>
      <c r="BV192" s="418"/>
      <c r="BW192" s="418"/>
      <c r="BX192" s="418"/>
      <c r="BY192" s="418"/>
      <c r="BZ192" s="418"/>
      <c r="CA192" s="418"/>
      <c r="CB192" s="418"/>
      <c r="CC192" s="418"/>
      <c r="CD192" s="418"/>
      <c r="CE192" s="418"/>
      <c r="CF192" s="418"/>
      <c r="CG192" s="418"/>
      <c r="CH192" s="418"/>
      <c r="CI192" s="418"/>
      <c r="CJ192" s="418"/>
      <c r="CK192" s="418"/>
      <c r="CL192" s="418"/>
      <c r="CM192" s="418"/>
      <c r="CN192" s="418"/>
      <c r="CO192" s="418"/>
      <c r="CP192" s="418"/>
      <c r="CQ192" s="418"/>
      <c r="CR192" s="418"/>
      <c r="CS192" s="418"/>
      <c r="CT192" s="418"/>
      <c r="CU192" s="418"/>
      <c r="CV192" s="418"/>
      <c r="CW192" s="418"/>
      <c r="CX192" s="418"/>
      <c r="CY192" s="418"/>
      <c r="CZ192" s="418"/>
      <c r="DA192" s="418"/>
      <c r="DB192" s="418"/>
      <c r="DC192" s="418"/>
      <c r="DD192" s="418"/>
      <c r="DE192" s="418"/>
      <c r="DF192" s="418"/>
      <c r="DG192" s="418"/>
      <c r="DH192" s="418"/>
      <c r="DI192" s="418"/>
      <c r="DJ192" s="418"/>
      <c r="DK192" s="418"/>
      <c r="DL192" s="418"/>
      <c r="DM192" s="418"/>
      <c r="DN192" s="418"/>
      <c r="DO192" s="418"/>
      <c r="DP192" s="418"/>
      <c r="DQ192" s="418"/>
      <c r="DR192" s="418"/>
      <c r="DS192" s="418"/>
      <c r="DT192" s="418"/>
      <c r="DU192" s="418"/>
      <c r="DV192" s="418"/>
      <c r="DW192" s="418"/>
      <c r="DX192" s="418"/>
      <c r="DY192" s="418"/>
      <c r="DZ192" s="418"/>
      <c r="EA192" s="418"/>
      <c r="EB192" s="418"/>
      <c r="EC192" s="418"/>
      <c r="ED192" s="418"/>
      <c r="EE192" s="418"/>
      <c r="EF192" s="418"/>
      <c r="EG192" s="418"/>
      <c r="EH192" s="418"/>
      <c r="EI192" s="418"/>
      <c r="EJ192" s="418"/>
      <c r="EK192" s="418"/>
      <c r="EL192" s="418"/>
      <c r="EM192" s="418"/>
      <c r="EN192" s="418"/>
      <c r="EO192" s="418"/>
      <c r="EP192" s="418"/>
      <c r="EQ192" s="418"/>
      <c r="ER192" s="418"/>
      <c r="ES192" s="418"/>
      <c r="ET192" s="418"/>
      <c r="EU192" s="418"/>
      <c r="EV192" s="418"/>
      <c r="EW192" s="418"/>
      <c r="EX192" s="418"/>
      <c r="EY192" s="418"/>
      <c r="EZ192" s="418"/>
      <c r="FA192" s="418"/>
      <c r="FB192" s="418"/>
      <c r="FC192" s="418"/>
      <c r="FD192" s="418"/>
      <c r="FE192" s="418"/>
      <c r="FF192" s="418"/>
      <c r="FG192" s="418"/>
      <c r="FH192" s="418"/>
      <c r="FI192" s="418"/>
      <c r="FJ192" s="418"/>
      <c r="FK192" s="418"/>
      <c r="FL192" s="418"/>
      <c r="FM192" s="418"/>
      <c r="FN192" s="418"/>
      <c r="FO192" s="418"/>
      <c r="FP192" s="418"/>
      <c r="FQ192" s="418"/>
      <c r="FR192" s="418"/>
      <c r="FS192" s="418"/>
      <c r="FT192" s="418"/>
      <c r="FU192" s="418"/>
      <c r="FV192" s="418"/>
      <c r="FW192" s="418"/>
      <c r="FX192" s="418"/>
      <c r="FY192" s="418"/>
      <c r="FZ192" s="418"/>
      <c r="GA192" s="418"/>
      <c r="GB192" s="418"/>
      <c r="GC192" s="418"/>
      <c r="GD192" s="418"/>
      <c r="GE192" s="418"/>
      <c r="GF192" s="418"/>
      <c r="GG192" s="418"/>
      <c r="GH192" s="418"/>
      <c r="GI192" s="418"/>
      <c r="GJ192" s="418"/>
      <c r="GK192" s="418"/>
      <c r="GL192" s="418"/>
      <c r="GM192" s="418"/>
      <c r="GN192" s="418"/>
      <c r="GO192" s="418"/>
      <c r="GP192" s="418"/>
      <c r="GQ192" s="418"/>
      <c r="GR192" s="418"/>
      <c r="GS192" s="418"/>
      <c r="GT192" s="418"/>
      <c r="GU192" s="418"/>
      <c r="GV192" s="418"/>
      <c r="GW192" s="418"/>
      <c r="GX192" s="418"/>
      <c r="GY192" s="418"/>
      <c r="GZ192" s="418"/>
      <c r="HA192" s="418"/>
      <c r="HB192" s="418"/>
      <c r="HC192" s="418"/>
      <c r="HD192" s="418"/>
      <c r="HE192" s="418"/>
      <c r="HF192" s="418"/>
      <c r="HG192" s="418"/>
      <c r="HH192" s="418"/>
      <c r="HI192" s="418"/>
      <c r="HJ192" s="418"/>
      <c r="HK192" s="418"/>
      <c r="HL192" s="418"/>
      <c r="HM192" s="418"/>
      <c r="HN192" s="418"/>
      <c r="HO192" s="418"/>
      <c r="HP192" s="418"/>
      <c r="HQ192" s="418"/>
      <c r="HR192" s="418"/>
      <c r="HS192" s="418"/>
      <c r="HT192" s="418"/>
      <c r="HU192" s="418"/>
      <c r="HV192" s="418"/>
      <c r="HW192" s="418"/>
      <c r="HX192" s="418"/>
      <c r="HY192" s="418"/>
      <c r="HZ192" s="418"/>
      <c r="IA192" s="418"/>
      <c r="IB192" s="418"/>
      <c r="IC192" s="418"/>
      <c r="ID192" s="418"/>
      <c r="IE192" s="418"/>
      <c r="IF192" s="418"/>
      <c r="IG192" s="418"/>
      <c r="IH192" s="418"/>
      <c r="II192" s="418"/>
      <c r="IJ192" s="418"/>
      <c r="IK192" s="418"/>
      <c r="IL192" s="418"/>
      <c r="IM192" s="418"/>
      <c r="IN192" s="418"/>
      <c r="IO192" s="418"/>
      <c r="IP192" s="418"/>
      <c r="IQ192" s="418"/>
      <c r="IR192" s="418"/>
      <c r="IS192" s="418"/>
      <c r="IT192" s="418"/>
      <c r="IU192" s="418"/>
      <c r="IV192" s="418"/>
      <c r="IW192" s="418"/>
      <c r="IX192" s="418"/>
      <c r="IY192" s="418"/>
      <c r="IZ192" s="418"/>
      <c r="JA192" s="418"/>
      <c r="JB192" s="418"/>
    </row>
    <row r="193" spans="1:262" s="758" customFormat="1" ht="21.95" customHeight="1" x14ac:dyDescent="0.35">
      <c r="A193" s="773">
        <v>183</v>
      </c>
      <c r="B193" s="2012"/>
      <c r="C193" s="420"/>
      <c r="D193" s="440" t="s">
        <v>1218</v>
      </c>
      <c r="E193" s="427"/>
      <c r="F193" s="430"/>
      <c r="G193" s="2006"/>
      <c r="H193" s="999"/>
      <c r="I193" s="2007"/>
      <c r="J193" s="2007"/>
      <c r="K193" s="1773">
        <v>2209</v>
      </c>
      <c r="L193" s="2007"/>
      <c r="M193" s="2007"/>
      <c r="N193" s="2007"/>
      <c r="O193" s="2007"/>
      <c r="P193" s="2039">
        <f t="shared" si="25"/>
        <v>2209</v>
      </c>
      <c r="Q193" s="1552"/>
      <c r="R193" s="418"/>
      <c r="S193" s="418"/>
      <c r="T193" s="418"/>
      <c r="U193" s="418"/>
      <c r="V193" s="418"/>
      <c r="W193" s="418"/>
      <c r="X193" s="418"/>
      <c r="Y193" s="418"/>
      <c r="Z193" s="418"/>
      <c r="AA193" s="418"/>
      <c r="AB193" s="418"/>
      <c r="AC193" s="418"/>
      <c r="AD193" s="418"/>
      <c r="AE193" s="418"/>
      <c r="AF193" s="418"/>
      <c r="AG193" s="418"/>
      <c r="AH193" s="418"/>
      <c r="AI193" s="418"/>
      <c r="AJ193" s="418"/>
      <c r="AK193" s="418"/>
      <c r="AL193" s="418"/>
      <c r="AM193" s="418"/>
      <c r="AN193" s="418"/>
      <c r="AO193" s="418"/>
      <c r="AP193" s="418"/>
      <c r="AQ193" s="418"/>
      <c r="AR193" s="418"/>
      <c r="AS193" s="418"/>
      <c r="AT193" s="418"/>
      <c r="AU193" s="418"/>
      <c r="AV193" s="418"/>
      <c r="AW193" s="418"/>
      <c r="AX193" s="418"/>
      <c r="AY193" s="418"/>
      <c r="AZ193" s="418"/>
      <c r="BA193" s="418"/>
      <c r="BB193" s="418"/>
      <c r="BC193" s="418"/>
      <c r="BD193" s="418"/>
      <c r="BE193" s="418"/>
      <c r="BF193" s="418"/>
      <c r="BG193" s="418"/>
      <c r="BH193" s="418"/>
      <c r="BI193" s="418"/>
      <c r="BJ193" s="418"/>
      <c r="BK193" s="418"/>
      <c r="BL193" s="418"/>
      <c r="BM193" s="418"/>
      <c r="BN193" s="418"/>
      <c r="BO193" s="418"/>
      <c r="BP193" s="418"/>
      <c r="BQ193" s="418"/>
      <c r="BR193" s="418"/>
      <c r="BS193" s="418"/>
      <c r="BT193" s="418"/>
      <c r="BU193" s="418"/>
      <c r="BV193" s="418"/>
      <c r="BW193" s="418"/>
      <c r="BX193" s="418"/>
      <c r="BY193" s="418"/>
      <c r="BZ193" s="418"/>
      <c r="CA193" s="418"/>
      <c r="CB193" s="418"/>
      <c r="CC193" s="418"/>
      <c r="CD193" s="418"/>
      <c r="CE193" s="418"/>
      <c r="CF193" s="418"/>
      <c r="CG193" s="418"/>
      <c r="CH193" s="418"/>
      <c r="CI193" s="418"/>
      <c r="CJ193" s="418"/>
      <c r="CK193" s="418"/>
      <c r="CL193" s="418"/>
      <c r="CM193" s="418"/>
      <c r="CN193" s="418"/>
      <c r="CO193" s="418"/>
      <c r="CP193" s="418"/>
      <c r="CQ193" s="418"/>
      <c r="CR193" s="418"/>
      <c r="CS193" s="418"/>
      <c r="CT193" s="418"/>
      <c r="CU193" s="418"/>
      <c r="CV193" s="418"/>
      <c r="CW193" s="418"/>
      <c r="CX193" s="418"/>
      <c r="CY193" s="418"/>
      <c r="CZ193" s="418"/>
      <c r="DA193" s="418"/>
      <c r="DB193" s="418"/>
      <c r="DC193" s="418"/>
      <c r="DD193" s="418"/>
      <c r="DE193" s="418"/>
      <c r="DF193" s="418"/>
      <c r="DG193" s="418"/>
      <c r="DH193" s="418"/>
      <c r="DI193" s="418"/>
      <c r="DJ193" s="418"/>
      <c r="DK193" s="418"/>
      <c r="DL193" s="418"/>
      <c r="DM193" s="418"/>
      <c r="DN193" s="418"/>
      <c r="DO193" s="418"/>
      <c r="DP193" s="418"/>
      <c r="DQ193" s="418"/>
      <c r="DR193" s="418"/>
      <c r="DS193" s="418"/>
      <c r="DT193" s="418"/>
      <c r="DU193" s="418"/>
      <c r="DV193" s="418"/>
      <c r="DW193" s="418"/>
      <c r="DX193" s="418"/>
      <c r="DY193" s="418"/>
      <c r="DZ193" s="418"/>
      <c r="EA193" s="418"/>
      <c r="EB193" s="418"/>
      <c r="EC193" s="418"/>
      <c r="ED193" s="418"/>
      <c r="EE193" s="418"/>
      <c r="EF193" s="418"/>
      <c r="EG193" s="418"/>
      <c r="EH193" s="418"/>
      <c r="EI193" s="418"/>
      <c r="EJ193" s="418"/>
      <c r="EK193" s="418"/>
      <c r="EL193" s="418"/>
      <c r="EM193" s="418"/>
      <c r="EN193" s="418"/>
      <c r="EO193" s="418"/>
      <c r="EP193" s="418"/>
      <c r="EQ193" s="418"/>
      <c r="ER193" s="418"/>
      <c r="ES193" s="418"/>
      <c r="ET193" s="418"/>
      <c r="EU193" s="418"/>
      <c r="EV193" s="418"/>
      <c r="EW193" s="418"/>
      <c r="EX193" s="418"/>
      <c r="EY193" s="418"/>
      <c r="EZ193" s="418"/>
      <c r="FA193" s="418"/>
      <c r="FB193" s="418"/>
      <c r="FC193" s="418"/>
      <c r="FD193" s="418"/>
      <c r="FE193" s="418"/>
      <c r="FF193" s="418"/>
      <c r="FG193" s="418"/>
      <c r="FH193" s="418"/>
      <c r="FI193" s="418"/>
      <c r="FJ193" s="418"/>
      <c r="FK193" s="418"/>
      <c r="FL193" s="418"/>
      <c r="FM193" s="418"/>
      <c r="FN193" s="418"/>
      <c r="FO193" s="418"/>
      <c r="FP193" s="418"/>
      <c r="FQ193" s="418"/>
      <c r="FR193" s="418"/>
      <c r="FS193" s="418"/>
      <c r="FT193" s="418"/>
      <c r="FU193" s="418"/>
      <c r="FV193" s="418"/>
      <c r="FW193" s="418"/>
      <c r="FX193" s="418"/>
      <c r="FY193" s="418"/>
      <c r="FZ193" s="418"/>
      <c r="GA193" s="418"/>
      <c r="GB193" s="418"/>
      <c r="GC193" s="418"/>
      <c r="GD193" s="418"/>
      <c r="GE193" s="418"/>
      <c r="GF193" s="418"/>
      <c r="GG193" s="418"/>
      <c r="GH193" s="418"/>
      <c r="GI193" s="418"/>
      <c r="GJ193" s="418"/>
      <c r="GK193" s="418"/>
      <c r="GL193" s="418"/>
      <c r="GM193" s="418"/>
      <c r="GN193" s="418"/>
      <c r="GO193" s="418"/>
      <c r="GP193" s="418"/>
      <c r="GQ193" s="418"/>
      <c r="GR193" s="418"/>
      <c r="GS193" s="418"/>
      <c r="GT193" s="418"/>
      <c r="GU193" s="418"/>
      <c r="GV193" s="418"/>
      <c r="GW193" s="418"/>
      <c r="GX193" s="418"/>
      <c r="GY193" s="418"/>
      <c r="GZ193" s="418"/>
      <c r="HA193" s="418"/>
      <c r="HB193" s="418"/>
      <c r="HC193" s="418"/>
      <c r="HD193" s="418"/>
      <c r="HE193" s="418"/>
      <c r="HF193" s="418"/>
      <c r="HG193" s="418"/>
      <c r="HH193" s="418"/>
      <c r="HI193" s="418"/>
      <c r="HJ193" s="418"/>
      <c r="HK193" s="418"/>
      <c r="HL193" s="418"/>
      <c r="HM193" s="418"/>
      <c r="HN193" s="418"/>
      <c r="HO193" s="418"/>
      <c r="HP193" s="418"/>
      <c r="HQ193" s="418"/>
      <c r="HR193" s="418"/>
      <c r="HS193" s="418"/>
      <c r="HT193" s="418"/>
      <c r="HU193" s="418"/>
      <c r="HV193" s="418"/>
      <c r="HW193" s="418"/>
      <c r="HX193" s="418"/>
      <c r="HY193" s="418"/>
      <c r="HZ193" s="418"/>
      <c r="IA193" s="418"/>
      <c r="IB193" s="418"/>
      <c r="IC193" s="418"/>
      <c r="ID193" s="418"/>
      <c r="IE193" s="418"/>
      <c r="IF193" s="418"/>
      <c r="IG193" s="418"/>
      <c r="IH193" s="418"/>
      <c r="II193" s="418"/>
      <c r="IJ193" s="418"/>
      <c r="IK193" s="418"/>
      <c r="IL193" s="418"/>
      <c r="IM193" s="418"/>
      <c r="IN193" s="418"/>
      <c r="IO193" s="418"/>
      <c r="IP193" s="418"/>
      <c r="IQ193" s="418"/>
      <c r="IR193" s="418"/>
      <c r="IS193" s="418"/>
      <c r="IT193" s="418"/>
      <c r="IU193" s="418"/>
      <c r="IV193" s="418"/>
      <c r="IW193" s="418"/>
      <c r="IX193" s="418"/>
      <c r="IY193" s="418"/>
      <c r="IZ193" s="418"/>
      <c r="JA193" s="418"/>
      <c r="JB193" s="418"/>
    </row>
    <row r="194" spans="1:262" s="758" customFormat="1" ht="21.95" customHeight="1" x14ac:dyDescent="0.35">
      <c r="A194" s="773">
        <v>184</v>
      </c>
      <c r="B194" s="2012"/>
      <c r="C194" s="420"/>
      <c r="D194" s="440" t="s">
        <v>1224</v>
      </c>
      <c r="E194" s="427"/>
      <c r="F194" s="430"/>
      <c r="G194" s="2006"/>
      <c r="H194" s="999"/>
      <c r="I194" s="2007"/>
      <c r="J194" s="2007"/>
      <c r="K194" s="1773">
        <v>2000</v>
      </c>
      <c r="L194" s="2007"/>
      <c r="M194" s="2007"/>
      <c r="N194" s="2007"/>
      <c r="O194" s="2007"/>
      <c r="P194" s="772">
        <f t="shared" si="25"/>
        <v>2000</v>
      </c>
      <c r="Q194" s="1552"/>
      <c r="R194" s="418"/>
      <c r="S194" s="418"/>
      <c r="T194" s="418"/>
      <c r="U194" s="418"/>
      <c r="V194" s="418"/>
      <c r="W194" s="418"/>
      <c r="X194" s="418"/>
      <c r="Y194" s="418"/>
      <c r="Z194" s="418"/>
      <c r="AA194" s="418"/>
      <c r="AB194" s="418"/>
      <c r="AC194" s="418"/>
      <c r="AD194" s="418"/>
      <c r="AE194" s="418"/>
      <c r="AF194" s="418"/>
      <c r="AG194" s="418"/>
      <c r="AH194" s="418"/>
      <c r="AI194" s="418"/>
      <c r="AJ194" s="418"/>
      <c r="AK194" s="418"/>
      <c r="AL194" s="418"/>
      <c r="AM194" s="418"/>
      <c r="AN194" s="418"/>
      <c r="AO194" s="418"/>
      <c r="AP194" s="418"/>
      <c r="AQ194" s="418"/>
      <c r="AR194" s="418"/>
      <c r="AS194" s="418"/>
      <c r="AT194" s="418"/>
      <c r="AU194" s="418"/>
      <c r="AV194" s="418"/>
      <c r="AW194" s="418"/>
      <c r="AX194" s="418"/>
      <c r="AY194" s="418"/>
      <c r="AZ194" s="418"/>
      <c r="BA194" s="418"/>
      <c r="BB194" s="418"/>
      <c r="BC194" s="418"/>
      <c r="BD194" s="418"/>
      <c r="BE194" s="418"/>
      <c r="BF194" s="418"/>
      <c r="BG194" s="418"/>
      <c r="BH194" s="418"/>
      <c r="BI194" s="418"/>
      <c r="BJ194" s="418"/>
      <c r="BK194" s="418"/>
      <c r="BL194" s="418"/>
      <c r="BM194" s="418"/>
      <c r="BN194" s="418"/>
      <c r="BO194" s="418"/>
      <c r="BP194" s="418"/>
      <c r="BQ194" s="418"/>
      <c r="BR194" s="418"/>
      <c r="BS194" s="418"/>
      <c r="BT194" s="418"/>
      <c r="BU194" s="418"/>
      <c r="BV194" s="418"/>
      <c r="BW194" s="418"/>
      <c r="BX194" s="418"/>
      <c r="BY194" s="418"/>
      <c r="BZ194" s="418"/>
      <c r="CA194" s="418"/>
      <c r="CB194" s="418"/>
      <c r="CC194" s="418"/>
      <c r="CD194" s="418"/>
      <c r="CE194" s="418"/>
      <c r="CF194" s="418"/>
      <c r="CG194" s="418"/>
      <c r="CH194" s="418"/>
      <c r="CI194" s="418"/>
      <c r="CJ194" s="418"/>
      <c r="CK194" s="418"/>
      <c r="CL194" s="418"/>
      <c r="CM194" s="418"/>
      <c r="CN194" s="418"/>
      <c r="CO194" s="418"/>
      <c r="CP194" s="418"/>
      <c r="CQ194" s="418"/>
      <c r="CR194" s="418"/>
      <c r="CS194" s="418"/>
      <c r="CT194" s="418"/>
      <c r="CU194" s="418"/>
      <c r="CV194" s="418"/>
      <c r="CW194" s="418"/>
      <c r="CX194" s="418"/>
      <c r="CY194" s="418"/>
      <c r="CZ194" s="418"/>
      <c r="DA194" s="418"/>
      <c r="DB194" s="418"/>
      <c r="DC194" s="418"/>
      <c r="DD194" s="418"/>
      <c r="DE194" s="418"/>
      <c r="DF194" s="418"/>
      <c r="DG194" s="418"/>
      <c r="DH194" s="418"/>
      <c r="DI194" s="418"/>
      <c r="DJ194" s="418"/>
      <c r="DK194" s="418"/>
      <c r="DL194" s="418"/>
      <c r="DM194" s="418"/>
      <c r="DN194" s="418"/>
      <c r="DO194" s="418"/>
      <c r="DP194" s="418"/>
      <c r="DQ194" s="418"/>
      <c r="DR194" s="418"/>
      <c r="DS194" s="418"/>
      <c r="DT194" s="418"/>
      <c r="DU194" s="418"/>
      <c r="DV194" s="418"/>
      <c r="DW194" s="418"/>
      <c r="DX194" s="418"/>
      <c r="DY194" s="418"/>
      <c r="DZ194" s="418"/>
      <c r="EA194" s="418"/>
      <c r="EB194" s="418"/>
      <c r="EC194" s="418"/>
      <c r="ED194" s="418"/>
      <c r="EE194" s="418"/>
      <c r="EF194" s="418"/>
      <c r="EG194" s="418"/>
      <c r="EH194" s="418"/>
      <c r="EI194" s="418"/>
      <c r="EJ194" s="418"/>
      <c r="EK194" s="418"/>
      <c r="EL194" s="418"/>
      <c r="EM194" s="418"/>
      <c r="EN194" s="418"/>
      <c r="EO194" s="418"/>
      <c r="EP194" s="418"/>
      <c r="EQ194" s="418"/>
      <c r="ER194" s="418"/>
      <c r="ES194" s="418"/>
      <c r="ET194" s="418"/>
      <c r="EU194" s="418"/>
      <c r="EV194" s="418"/>
      <c r="EW194" s="418"/>
      <c r="EX194" s="418"/>
      <c r="EY194" s="418"/>
      <c r="EZ194" s="418"/>
      <c r="FA194" s="418"/>
      <c r="FB194" s="418"/>
      <c r="FC194" s="418"/>
      <c r="FD194" s="418"/>
      <c r="FE194" s="418"/>
      <c r="FF194" s="418"/>
      <c r="FG194" s="418"/>
      <c r="FH194" s="418"/>
      <c r="FI194" s="418"/>
      <c r="FJ194" s="418"/>
      <c r="FK194" s="418"/>
      <c r="FL194" s="418"/>
      <c r="FM194" s="418"/>
      <c r="FN194" s="418"/>
      <c r="FO194" s="418"/>
      <c r="FP194" s="418"/>
      <c r="FQ194" s="418"/>
      <c r="FR194" s="418"/>
      <c r="FS194" s="418"/>
      <c r="FT194" s="418"/>
      <c r="FU194" s="418"/>
      <c r="FV194" s="418"/>
      <c r="FW194" s="418"/>
      <c r="FX194" s="418"/>
      <c r="FY194" s="418"/>
      <c r="FZ194" s="418"/>
      <c r="GA194" s="418"/>
      <c r="GB194" s="418"/>
      <c r="GC194" s="418"/>
      <c r="GD194" s="418"/>
      <c r="GE194" s="418"/>
      <c r="GF194" s="418"/>
      <c r="GG194" s="418"/>
      <c r="GH194" s="418"/>
      <c r="GI194" s="418"/>
      <c r="GJ194" s="418"/>
      <c r="GK194" s="418"/>
      <c r="GL194" s="418"/>
      <c r="GM194" s="418"/>
      <c r="GN194" s="418"/>
      <c r="GO194" s="418"/>
      <c r="GP194" s="418"/>
      <c r="GQ194" s="418"/>
      <c r="GR194" s="418"/>
      <c r="GS194" s="418"/>
      <c r="GT194" s="418"/>
      <c r="GU194" s="418"/>
      <c r="GV194" s="418"/>
      <c r="GW194" s="418"/>
      <c r="GX194" s="418"/>
      <c r="GY194" s="418"/>
      <c r="GZ194" s="418"/>
      <c r="HA194" s="418"/>
      <c r="HB194" s="418"/>
      <c r="HC194" s="418"/>
      <c r="HD194" s="418"/>
      <c r="HE194" s="418"/>
      <c r="HF194" s="418"/>
      <c r="HG194" s="418"/>
      <c r="HH194" s="418"/>
      <c r="HI194" s="418"/>
      <c r="HJ194" s="418"/>
      <c r="HK194" s="418"/>
      <c r="HL194" s="418"/>
      <c r="HM194" s="418"/>
      <c r="HN194" s="418"/>
      <c r="HO194" s="418"/>
      <c r="HP194" s="418"/>
      <c r="HQ194" s="418"/>
      <c r="HR194" s="418"/>
      <c r="HS194" s="418"/>
      <c r="HT194" s="418"/>
      <c r="HU194" s="418"/>
      <c r="HV194" s="418"/>
      <c r="HW194" s="418"/>
      <c r="HX194" s="418"/>
      <c r="HY194" s="418"/>
      <c r="HZ194" s="418"/>
      <c r="IA194" s="418"/>
      <c r="IB194" s="418"/>
      <c r="IC194" s="418"/>
      <c r="ID194" s="418"/>
      <c r="IE194" s="418"/>
      <c r="IF194" s="418"/>
      <c r="IG194" s="418"/>
      <c r="IH194" s="418"/>
      <c r="II194" s="418"/>
      <c r="IJ194" s="418"/>
      <c r="IK194" s="418"/>
      <c r="IL194" s="418"/>
      <c r="IM194" s="418"/>
      <c r="IN194" s="418"/>
      <c r="IO194" s="418"/>
      <c r="IP194" s="418"/>
      <c r="IQ194" s="418"/>
      <c r="IR194" s="418"/>
      <c r="IS194" s="418"/>
      <c r="IT194" s="418"/>
      <c r="IU194" s="418"/>
      <c r="IV194" s="418"/>
      <c r="IW194" s="418"/>
      <c r="IX194" s="418"/>
      <c r="IY194" s="418"/>
      <c r="IZ194" s="418"/>
      <c r="JA194" s="418"/>
      <c r="JB194" s="418"/>
    </row>
    <row r="195" spans="1:262" s="758" customFormat="1" ht="21.95" customHeight="1" x14ac:dyDescent="0.35">
      <c r="A195" s="773">
        <v>185</v>
      </c>
      <c r="B195" s="2012"/>
      <c r="C195" s="420"/>
      <c r="D195" s="440" t="s">
        <v>1227</v>
      </c>
      <c r="E195" s="427"/>
      <c r="F195" s="430"/>
      <c r="G195" s="2006"/>
      <c r="H195" s="999"/>
      <c r="I195" s="2007"/>
      <c r="J195" s="2007"/>
      <c r="K195" s="1773">
        <v>2000</v>
      </c>
      <c r="L195" s="2007"/>
      <c r="M195" s="2007"/>
      <c r="N195" s="2007"/>
      <c r="O195" s="2007"/>
      <c r="P195" s="772">
        <f t="shared" si="25"/>
        <v>2000</v>
      </c>
      <c r="Q195" s="1552"/>
      <c r="R195" s="418"/>
      <c r="S195" s="418"/>
      <c r="T195" s="418"/>
      <c r="U195" s="418"/>
      <c r="V195" s="418"/>
      <c r="W195" s="418"/>
      <c r="X195" s="418"/>
      <c r="Y195" s="418"/>
      <c r="Z195" s="418"/>
      <c r="AA195" s="418"/>
      <c r="AB195" s="418"/>
      <c r="AC195" s="418"/>
      <c r="AD195" s="418"/>
      <c r="AE195" s="418"/>
      <c r="AF195" s="418"/>
      <c r="AG195" s="418"/>
      <c r="AH195" s="418"/>
      <c r="AI195" s="418"/>
      <c r="AJ195" s="418"/>
      <c r="AK195" s="418"/>
      <c r="AL195" s="418"/>
      <c r="AM195" s="418"/>
      <c r="AN195" s="418"/>
      <c r="AO195" s="418"/>
      <c r="AP195" s="418"/>
      <c r="AQ195" s="418"/>
      <c r="AR195" s="418"/>
      <c r="AS195" s="418"/>
      <c r="AT195" s="418"/>
      <c r="AU195" s="418"/>
      <c r="AV195" s="418"/>
      <c r="AW195" s="418"/>
      <c r="AX195" s="418"/>
      <c r="AY195" s="418"/>
      <c r="AZ195" s="418"/>
      <c r="BA195" s="418"/>
      <c r="BB195" s="418"/>
      <c r="BC195" s="418"/>
      <c r="BD195" s="418"/>
      <c r="BE195" s="418"/>
      <c r="BF195" s="418"/>
      <c r="BG195" s="418"/>
      <c r="BH195" s="418"/>
      <c r="BI195" s="418"/>
      <c r="BJ195" s="418"/>
      <c r="BK195" s="418"/>
      <c r="BL195" s="418"/>
      <c r="BM195" s="418"/>
      <c r="BN195" s="418"/>
      <c r="BO195" s="418"/>
      <c r="BP195" s="418"/>
      <c r="BQ195" s="418"/>
      <c r="BR195" s="418"/>
      <c r="BS195" s="418"/>
      <c r="BT195" s="418"/>
      <c r="BU195" s="418"/>
      <c r="BV195" s="418"/>
      <c r="BW195" s="418"/>
      <c r="BX195" s="418"/>
      <c r="BY195" s="418"/>
      <c r="BZ195" s="418"/>
      <c r="CA195" s="418"/>
      <c r="CB195" s="418"/>
      <c r="CC195" s="418"/>
      <c r="CD195" s="418"/>
      <c r="CE195" s="418"/>
      <c r="CF195" s="418"/>
      <c r="CG195" s="418"/>
      <c r="CH195" s="418"/>
      <c r="CI195" s="418"/>
      <c r="CJ195" s="418"/>
      <c r="CK195" s="418"/>
      <c r="CL195" s="418"/>
      <c r="CM195" s="418"/>
      <c r="CN195" s="418"/>
      <c r="CO195" s="418"/>
      <c r="CP195" s="418"/>
      <c r="CQ195" s="418"/>
      <c r="CR195" s="418"/>
      <c r="CS195" s="418"/>
      <c r="CT195" s="418"/>
      <c r="CU195" s="418"/>
      <c r="CV195" s="418"/>
      <c r="CW195" s="418"/>
      <c r="CX195" s="418"/>
      <c r="CY195" s="418"/>
      <c r="CZ195" s="418"/>
      <c r="DA195" s="418"/>
      <c r="DB195" s="418"/>
      <c r="DC195" s="418"/>
      <c r="DD195" s="418"/>
      <c r="DE195" s="418"/>
      <c r="DF195" s="418"/>
      <c r="DG195" s="418"/>
      <c r="DH195" s="418"/>
      <c r="DI195" s="418"/>
      <c r="DJ195" s="418"/>
      <c r="DK195" s="418"/>
      <c r="DL195" s="418"/>
      <c r="DM195" s="418"/>
      <c r="DN195" s="418"/>
      <c r="DO195" s="418"/>
      <c r="DP195" s="418"/>
      <c r="DQ195" s="418"/>
      <c r="DR195" s="418"/>
      <c r="DS195" s="418"/>
      <c r="DT195" s="418"/>
      <c r="DU195" s="418"/>
      <c r="DV195" s="418"/>
      <c r="DW195" s="418"/>
      <c r="DX195" s="418"/>
      <c r="DY195" s="418"/>
      <c r="DZ195" s="418"/>
      <c r="EA195" s="418"/>
      <c r="EB195" s="418"/>
      <c r="EC195" s="418"/>
      <c r="ED195" s="418"/>
      <c r="EE195" s="418"/>
      <c r="EF195" s="418"/>
      <c r="EG195" s="418"/>
      <c r="EH195" s="418"/>
      <c r="EI195" s="418"/>
      <c r="EJ195" s="418"/>
      <c r="EK195" s="418"/>
      <c r="EL195" s="418"/>
      <c r="EM195" s="418"/>
      <c r="EN195" s="418"/>
      <c r="EO195" s="418"/>
      <c r="EP195" s="418"/>
      <c r="EQ195" s="418"/>
      <c r="ER195" s="418"/>
      <c r="ES195" s="418"/>
      <c r="ET195" s="418"/>
      <c r="EU195" s="418"/>
      <c r="EV195" s="418"/>
      <c r="EW195" s="418"/>
      <c r="EX195" s="418"/>
      <c r="EY195" s="418"/>
      <c r="EZ195" s="418"/>
      <c r="FA195" s="418"/>
      <c r="FB195" s="418"/>
      <c r="FC195" s="418"/>
      <c r="FD195" s="418"/>
      <c r="FE195" s="418"/>
      <c r="FF195" s="418"/>
      <c r="FG195" s="418"/>
      <c r="FH195" s="418"/>
      <c r="FI195" s="418"/>
      <c r="FJ195" s="418"/>
      <c r="FK195" s="418"/>
      <c r="FL195" s="418"/>
      <c r="FM195" s="418"/>
      <c r="FN195" s="418"/>
      <c r="FO195" s="418"/>
      <c r="FP195" s="418"/>
      <c r="FQ195" s="418"/>
      <c r="FR195" s="418"/>
      <c r="FS195" s="418"/>
      <c r="FT195" s="418"/>
      <c r="FU195" s="418"/>
      <c r="FV195" s="418"/>
      <c r="FW195" s="418"/>
      <c r="FX195" s="418"/>
      <c r="FY195" s="418"/>
      <c r="FZ195" s="418"/>
      <c r="GA195" s="418"/>
      <c r="GB195" s="418"/>
      <c r="GC195" s="418"/>
      <c r="GD195" s="418"/>
      <c r="GE195" s="418"/>
      <c r="GF195" s="418"/>
      <c r="GG195" s="418"/>
      <c r="GH195" s="418"/>
      <c r="GI195" s="418"/>
      <c r="GJ195" s="418"/>
      <c r="GK195" s="418"/>
      <c r="GL195" s="418"/>
      <c r="GM195" s="418"/>
      <c r="GN195" s="418"/>
      <c r="GO195" s="418"/>
      <c r="GP195" s="418"/>
      <c r="GQ195" s="418"/>
      <c r="GR195" s="418"/>
      <c r="GS195" s="418"/>
      <c r="GT195" s="418"/>
      <c r="GU195" s="418"/>
      <c r="GV195" s="418"/>
      <c r="GW195" s="418"/>
      <c r="GX195" s="418"/>
      <c r="GY195" s="418"/>
      <c r="GZ195" s="418"/>
      <c r="HA195" s="418"/>
      <c r="HB195" s="418"/>
      <c r="HC195" s="418"/>
      <c r="HD195" s="418"/>
      <c r="HE195" s="418"/>
      <c r="HF195" s="418"/>
      <c r="HG195" s="418"/>
      <c r="HH195" s="418"/>
      <c r="HI195" s="418"/>
      <c r="HJ195" s="418"/>
      <c r="HK195" s="418"/>
      <c r="HL195" s="418"/>
      <c r="HM195" s="418"/>
      <c r="HN195" s="418"/>
      <c r="HO195" s="418"/>
      <c r="HP195" s="418"/>
      <c r="HQ195" s="418"/>
      <c r="HR195" s="418"/>
      <c r="HS195" s="418"/>
      <c r="HT195" s="418"/>
      <c r="HU195" s="418"/>
      <c r="HV195" s="418"/>
      <c r="HW195" s="418"/>
      <c r="HX195" s="418"/>
      <c r="HY195" s="418"/>
      <c r="HZ195" s="418"/>
      <c r="IA195" s="418"/>
      <c r="IB195" s="418"/>
      <c r="IC195" s="418"/>
      <c r="ID195" s="418"/>
      <c r="IE195" s="418"/>
      <c r="IF195" s="418"/>
      <c r="IG195" s="418"/>
      <c r="IH195" s="418"/>
      <c r="II195" s="418"/>
      <c r="IJ195" s="418"/>
      <c r="IK195" s="418"/>
      <c r="IL195" s="418"/>
      <c r="IM195" s="418"/>
      <c r="IN195" s="418"/>
      <c r="IO195" s="418"/>
      <c r="IP195" s="418"/>
      <c r="IQ195" s="418"/>
      <c r="IR195" s="418"/>
      <c r="IS195" s="418"/>
      <c r="IT195" s="418"/>
      <c r="IU195" s="418"/>
      <c r="IV195" s="418"/>
      <c r="IW195" s="418"/>
      <c r="IX195" s="418"/>
      <c r="IY195" s="418"/>
      <c r="IZ195" s="418"/>
      <c r="JA195" s="418"/>
      <c r="JB195" s="418"/>
    </row>
    <row r="196" spans="1:262" s="758" customFormat="1" ht="21.95" customHeight="1" x14ac:dyDescent="0.35">
      <c r="A196" s="773">
        <v>186</v>
      </c>
      <c r="B196" s="2012"/>
      <c r="C196" s="420"/>
      <c r="D196" s="1318" t="s">
        <v>1219</v>
      </c>
      <c r="E196" s="427"/>
      <c r="F196" s="430"/>
      <c r="G196" s="2006"/>
      <c r="H196" s="999"/>
      <c r="I196" s="2007"/>
      <c r="J196" s="2007"/>
      <c r="K196" s="1773">
        <f>491-185</f>
        <v>306</v>
      </c>
      <c r="L196" s="2007"/>
      <c r="M196" s="2007"/>
      <c r="N196" s="2007"/>
      <c r="O196" s="2007"/>
      <c r="P196" s="772">
        <f t="shared" si="25"/>
        <v>306</v>
      </c>
      <c r="Q196" s="1552"/>
      <c r="R196" s="418"/>
      <c r="S196" s="418"/>
      <c r="T196" s="418"/>
      <c r="U196" s="418"/>
      <c r="V196" s="418"/>
      <c r="W196" s="418"/>
      <c r="X196" s="418"/>
      <c r="Y196" s="418"/>
      <c r="Z196" s="418"/>
      <c r="AA196" s="418"/>
      <c r="AB196" s="418"/>
      <c r="AC196" s="418"/>
      <c r="AD196" s="418"/>
      <c r="AE196" s="418"/>
      <c r="AF196" s="418"/>
      <c r="AG196" s="418"/>
      <c r="AH196" s="418"/>
      <c r="AI196" s="418"/>
      <c r="AJ196" s="418"/>
      <c r="AK196" s="418"/>
      <c r="AL196" s="418"/>
      <c r="AM196" s="418"/>
      <c r="AN196" s="418"/>
      <c r="AO196" s="418"/>
      <c r="AP196" s="418"/>
      <c r="AQ196" s="418"/>
      <c r="AR196" s="418"/>
      <c r="AS196" s="418"/>
      <c r="AT196" s="418"/>
      <c r="AU196" s="418"/>
      <c r="AV196" s="418"/>
      <c r="AW196" s="418"/>
      <c r="AX196" s="418"/>
      <c r="AY196" s="418"/>
      <c r="AZ196" s="418"/>
      <c r="BA196" s="418"/>
      <c r="BB196" s="418"/>
      <c r="BC196" s="418"/>
      <c r="BD196" s="418"/>
      <c r="BE196" s="418"/>
      <c r="BF196" s="418"/>
      <c r="BG196" s="418"/>
      <c r="BH196" s="418"/>
      <c r="BI196" s="418"/>
      <c r="BJ196" s="418"/>
      <c r="BK196" s="418"/>
      <c r="BL196" s="418"/>
      <c r="BM196" s="418"/>
      <c r="BN196" s="418"/>
      <c r="BO196" s="418"/>
      <c r="BP196" s="418"/>
      <c r="BQ196" s="418"/>
      <c r="BR196" s="418"/>
      <c r="BS196" s="418"/>
      <c r="BT196" s="418"/>
      <c r="BU196" s="418"/>
      <c r="BV196" s="418"/>
      <c r="BW196" s="418"/>
      <c r="BX196" s="418"/>
      <c r="BY196" s="418"/>
      <c r="BZ196" s="418"/>
      <c r="CA196" s="418"/>
      <c r="CB196" s="418"/>
      <c r="CC196" s="418"/>
      <c r="CD196" s="418"/>
      <c r="CE196" s="418"/>
      <c r="CF196" s="418"/>
      <c r="CG196" s="418"/>
      <c r="CH196" s="418"/>
      <c r="CI196" s="418"/>
      <c r="CJ196" s="418"/>
      <c r="CK196" s="418"/>
      <c r="CL196" s="418"/>
      <c r="CM196" s="418"/>
      <c r="CN196" s="418"/>
      <c r="CO196" s="418"/>
      <c r="CP196" s="418"/>
      <c r="CQ196" s="418"/>
      <c r="CR196" s="418"/>
      <c r="CS196" s="418"/>
      <c r="CT196" s="418"/>
      <c r="CU196" s="418"/>
      <c r="CV196" s="418"/>
      <c r="CW196" s="418"/>
      <c r="CX196" s="418"/>
      <c r="CY196" s="418"/>
      <c r="CZ196" s="418"/>
      <c r="DA196" s="418"/>
      <c r="DB196" s="418"/>
      <c r="DC196" s="418"/>
      <c r="DD196" s="418"/>
      <c r="DE196" s="418"/>
      <c r="DF196" s="418"/>
      <c r="DG196" s="418"/>
      <c r="DH196" s="418"/>
      <c r="DI196" s="418"/>
      <c r="DJ196" s="418"/>
      <c r="DK196" s="418"/>
      <c r="DL196" s="418"/>
      <c r="DM196" s="418"/>
      <c r="DN196" s="418"/>
      <c r="DO196" s="418"/>
      <c r="DP196" s="418"/>
      <c r="DQ196" s="418"/>
      <c r="DR196" s="418"/>
      <c r="DS196" s="418"/>
      <c r="DT196" s="418"/>
      <c r="DU196" s="418"/>
      <c r="DV196" s="418"/>
      <c r="DW196" s="418"/>
      <c r="DX196" s="418"/>
      <c r="DY196" s="418"/>
      <c r="DZ196" s="418"/>
      <c r="EA196" s="418"/>
      <c r="EB196" s="418"/>
      <c r="EC196" s="418"/>
      <c r="ED196" s="418"/>
      <c r="EE196" s="418"/>
      <c r="EF196" s="418"/>
      <c r="EG196" s="418"/>
      <c r="EH196" s="418"/>
      <c r="EI196" s="418"/>
      <c r="EJ196" s="418"/>
      <c r="EK196" s="418"/>
      <c r="EL196" s="418"/>
      <c r="EM196" s="418"/>
      <c r="EN196" s="418"/>
      <c r="EO196" s="418"/>
      <c r="EP196" s="418"/>
      <c r="EQ196" s="418"/>
      <c r="ER196" s="418"/>
      <c r="ES196" s="418"/>
      <c r="ET196" s="418"/>
      <c r="EU196" s="418"/>
      <c r="EV196" s="418"/>
      <c r="EW196" s="418"/>
      <c r="EX196" s="418"/>
      <c r="EY196" s="418"/>
      <c r="EZ196" s="418"/>
      <c r="FA196" s="418"/>
      <c r="FB196" s="418"/>
      <c r="FC196" s="418"/>
      <c r="FD196" s="418"/>
      <c r="FE196" s="418"/>
      <c r="FF196" s="418"/>
      <c r="FG196" s="418"/>
      <c r="FH196" s="418"/>
      <c r="FI196" s="418"/>
      <c r="FJ196" s="418"/>
      <c r="FK196" s="418"/>
      <c r="FL196" s="418"/>
      <c r="FM196" s="418"/>
      <c r="FN196" s="418"/>
      <c r="FO196" s="418"/>
      <c r="FP196" s="418"/>
      <c r="FQ196" s="418"/>
      <c r="FR196" s="418"/>
      <c r="FS196" s="418"/>
      <c r="FT196" s="418"/>
      <c r="FU196" s="418"/>
      <c r="FV196" s="418"/>
      <c r="FW196" s="418"/>
      <c r="FX196" s="418"/>
      <c r="FY196" s="418"/>
      <c r="FZ196" s="418"/>
      <c r="GA196" s="418"/>
      <c r="GB196" s="418"/>
      <c r="GC196" s="418"/>
      <c r="GD196" s="418"/>
      <c r="GE196" s="418"/>
      <c r="GF196" s="418"/>
      <c r="GG196" s="418"/>
      <c r="GH196" s="418"/>
      <c r="GI196" s="418"/>
      <c r="GJ196" s="418"/>
      <c r="GK196" s="418"/>
      <c r="GL196" s="418"/>
      <c r="GM196" s="418"/>
      <c r="GN196" s="418"/>
      <c r="GO196" s="418"/>
      <c r="GP196" s="418"/>
      <c r="GQ196" s="418"/>
      <c r="GR196" s="418"/>
      <c r="GS196" s="418"/>
      <c r="GT196" s="418"/>
      <c r="GU196" s="418"/>
      <c r="GV196" s="418"/>
      <c r="GW196" s="418"/>
      <c r="GX196" s="418"/>
      <c r="GY196" s="418"/>
      <c r="GZ196" s="418"/>
      <c r="HA196" s="418"/>
      <c r="HB196" s="418"/>
      <c r="HC196" s="418"/>
      <c r="HD196" s="418"/>
      <c r="HE196" s="418"/>
      <c r="HF196" s="418"/>
      <c r="HG196" s="418"/>
      <c r="HH196" s="418"/>
      <c r="HI196" s="418"/>
      <c r="HJ196" s="418"/>
      <c r="HK196" s="418"/>
      <c r="HL196" s="418"/>
      <c r="HM196" s="418"/>
      <c r="HN196" s="418"/>
      <c r="HO196" s="418"/>
      <c r="HP196" s="418"/>
      <c r="HQ196" s="418"/>
      <c r="HR196" s="418"/>
      <c r="HS196" s="418"/>
      <c r="HT196" s="418"/>
      <c r="HU196" s="418"/>
      <c r="HV196" s="418"/>
      <c r="HW196" s="418"/>
      <c r="HX196" s="418"/>
      <c r="HY196" s="418"/>
      <c r="HZ196" s="418"/>
      <c r="IA196" s="418"/>
      <c r="IB196" s="418"/>
      <c r="IC196" s="418"/>
      <c r="ID196" s="418"/>
      <c r="IE196" s="418"/>
      <c r="IF196" s="418"/>
      <c r="IG196" s="418"/>
      <c r="IH196" s="418"/>
      <c r="II196" s="418"/>
      <c r="IJ196" s="418"/>
      <c r="IK196" s="418"/>
      <c r="IL196" s="418"/>
      <c r="IM196" s="418"/>
      <c r="IN196" s="418"/>
      <c r="IO196" s="418"/>
      <c r="IP196" s="418"/>
      <c r="IQ196" s="418"/>
      <c r="IR196" s="418"/>
      <c r="IS196" s="418"/>
      <c r="IT196" s="418"/>
      <c r="IU196" s="418"/>
      <c r="IV196" s="418"/>
      <c r="IW196" s="418"/>
      <c r="IX196" s="418"/>
      <c r="IY196" s="418"/>
      <c r="IZ196" s="418"/>
      <c r="JA196" s="418"/>
      <c r="JB196" s="418"/>
    </row>
    <row r="197" spans="1:262" s="758" customFormat="1" ht="21.95" customHeight="1" x14ac:dyDescent="0.35">
      <c r="A197" s="773">
        <v>187</v>
      </c>
      <c r="B197" s="2012"/>
      <c r="C197" s="420"/>
      <c r="D197" s="1318" t="s">
        <v>1220</v>
      </c>
      <c r="E197" s="427"/>
      <c r="F197" s="430"/>
      <c r="G197" s="2006"/>
      <c r="H197" s="999"/>
      <c r="I197" s="2007"/>
      <c r="J197" s="2007"/>
      <c r="K197" s="1773">
        <v>252</v>
      </c>
      <c r="L197" s="2007"/>
      <c r="M197" s="2007"/>
      <c r="N197" s="2007"/>
      <c r="O197" s="2007"/>
      <c r="P197" s="772">
        <f t="shared" si="25"/>
        <v>252</v>
      </c>
      <c r="Q197" s="1552"/>
      <c r="R197" s="418"/>
      <c r="S197" s="418"/>
      <c r="T197" s="418"/>
      <c r="U197" s="418"/>
      <c r="V197" s="418"/>
      <c r="W197" s="418"/>
      <c r="X197" s="418"/>
      <c r="Y197" s="418"/>
      <c r="Z197" s="418"/>
      <c r="AA197" s="418"/>
      <c r="AB197" s="418"/>
      <c r="AC197" s="418"/>
      <c r="AD197" s="418"/>
      <c r="AE197" s="418"/>
      <c r="AF197" s="418"/>
      <c r="AG197" s="418"/>
      <c r="AH197" s="418"/>
      <c r="AI197" s="418"/>
      <c r="AJ197" s="418"/>
      <c r="AK197" s="418"/>
      <c r="AL197" s="418"/>
      <c r="AM197" s="418"/>
      <c r="AN197" s="418"/>
      <c r="AO197" s="418"/>
      <c r="AP197" s="418"/>
      <c r="AQ197" s="418"/>
      <c r="AR197" s="418"/>
      <c r="AS197" s="418"/>
      <c r="AT197" s="418"/>
      <c r="AU197" s="418"/>
      <c r="AV197" s="418"/>
      <c r="AW197" s="418"/>
      <c r="AX197" s="418"/>
      <c r="AY197" s="418"/>
      <c r="AZ197" s="418"/>
      <c r="BA197" s="418"/>
      <c r="BB197" s="418"/>
      <c r="BC197" s="418"/>
      <c r="BD197" s="418"/>
      <c r="BE197" s="418"/>
      <c r="BF197" s="418"/>
      <c r="BG197" s="418"/>
      <c r="BH197" s="418"/>
      <c r="BI197" s="418"/>
      <c r="BJ197" s="418"/>
      <c r="BK197" s="418"/>
      <c r="BL197" s="418"/>
      <c r="BM197" s="418"/>
      <c r="BN197" s="418"/>
      <c r="BO197" s="418"/>
      <c r="BP197" s="418"/>
      <c r="BQ197" s="418"/>
      <c r="BR197" s="418"/>
      <c r="BS197" s="418"/>
      <c r="BT197" s="418"/>
      <c r="BU197" s="418"/>
      <c r="BV197" s="418"/>
      <c r="BW197" s="418"/>
      <c r="BX197" s="418"/>
      <c r="BY197" s="418"/>
      <c r="BZ197" s="418"/>
      <c r="CA197" s="418"/>
      <c r="CB197" s="418"/>
      <c r="CC197" s="418"/>
      <c r="CD197" s="418"/>
      <c r="CE197" s="418"/>
      <c r="CF197" s="418"/>
      <c r="CG197" s="418"/>
      <c r="CH197" s="418"/>
      <c r="CI197" s="418"/>
      <c r="CJ197" s="418"/>
      <c r="CK197" s="418"/>
      <c r="CL197" s="418"/>
      <c r="CM197" s="418"/>
      <c r="CN197" s="418"/>
      <c r="CO197" s="418"/>
      <c r="CP197" s="418"/>
      <c r="CQ197" s="418"/>
      <c r="CR197" s="418"/>
      <c r="CS197" s="418"/>
      <c r="CT197" s="418"/>
      <c r="CU197" s="418"/>
      <c r="CV197" s="418"/>
      <c r="CW197" s="418"/>
      <c r="CX197" s="418"/>
      <c r="CY197" s="418"/>
      <c r="CZ197" s="418"/>
      <c r="DA197" s="418"/>
      <c r="DB197" s="418"/>
      <c r="DC197" s="418"/>
      <c r="DD197" s="418"/>
      <c r="DE197" s="418"/>
      <c r="DF197" s="418"/>
      <c r="DG197" s="418"/>
      <c r="DH197" s="418"/>
      <c r="DI197" s="418"/>
      <c r="DJ197" s="418"/>
      <c r="DK197" s="418"/>
      <c r="DL197" s="418"/>
      <c r="DM197" s="418"/>
      <c r="DN197" s="418"/>
      <c r="DO197" s="418"/>
      <c r="DP197" s="418"/>
      <c r="DQ197" s="418"/>
      <c r="DR197" s="418"/>
      <c r="DS197" s="418"/>
      <c r="DT197" s="418"/>
      <c r="DU197" s="418"/>
      <c r="DV197" s="418"/>
      <c r="DW197" s="418"/>
      <c r="DX197" s="418"/>
      <c r="DY197" s="418"/>
      <c r="DZ197" s="418"/>
      <c r="EA197" s="418"/>
      <c r="EB197" s="418"/>
      <c r="EC197" s="418"/>
      <c r="ED197" s="418"/>
      <c r="EE197" s="418"/>
      <c r="EF197" s="418"/>
      <c r="EG197" s="418"/>
      <c r="EH197" s="418"/>
      <c r="EI197" s="418"/>
      <c r="EJ197" s="418"/>
      <c r="EK197" s="418"/>
      <c r="EL197" s="418"/>
      <c r="EM197" s="418"/>
      <c r="EN197" s="418"/>
      <c r="EO197" s="418"/>
      <c r="EP197" s="418"/>
      <c r="EQ197" s="418"/>
      <c r="ER197" s="418"/>
      <c r="ES197" s="418"/>
      <c r="ET197" s="418"/>
      <c r="EU197" s="418"/>
      <c r="EV197" s="418"/>
      <c r="EW197" s="418"/>
      <c r="EX197" s="418"/>
      <c r="EY197" s="418"/>
      <c r="EZ197" s="418"/>
      <c r="FA197" s="418"/>
      <c r="FB197" s="418"/>
      <c r="FC197" s="418"/>
      <c r="FD197" s="418"/>
      <c r="FE197" s="418"/>
      <c r="FF197" s="418"/>
      <c r="FG197" s="418"/>
      <c r="FH197" s="418"/>
      <c r="FI197" s="418"/>
      <c r="FJ197" s="418"/>
      <c r="FK197" s="418"/>
      <c r="FL197" s="418"/>
      <c r="FM197" s="418"/>
      <c r="FN197" s="418"/>
      <c r="FO197" s="418"/>
      <c r="FP197" s="418"/>
      <c r="FQ197" s="418"/>
      <c r="FR197" s="418"/>
      <c r="FS197" s="418"/>
      <c r="FT197" s="418"/>
      <c r="FU197" s="418"/>
      <c r="FV197" s="418"/>
      <c r="FW197" s="418"/>
      <c r="FX197" s="418"/>
      <c r="FY197" s="418"/>
      <c r="FZ197" s="418"/>
      <c r="GA197" s="418"/>
      <c r="GB197" s="418"/>
      <c r="GC197" s="418"/>
      <c r="GD197" s="418"/>
      <c r="GE197" s="418"/>
      <c r="GF197" s="418"/>
      <c r="GG197" s="418"/>
      <c r="GH197" s="418"/>
      <c r="GI197" s="418"/>
      <c r="GJ197" s="418"/>
      <c r="GK197" s="418"/>
      <c r="GL197" s="418"/>
      <c r="GM197" s="418"/>
      <c r="GN197" s="418"/>
      <c r="GO197" s="418"/>
      <c r="GP197" s="418"/>
      <c r="GQ197" s="418"/>
      <c r="GR197" s="418"/>
      <c r="GS197" s="418"/>
      <c r="GT197" s="418"/>
      <c r="GU197" s="418"/>
      <c r="GV197" s="418"/>
      <c r="GW197" s="418"/>
      <c r="GX197" s="418"/>
      <c r="GY197" s="418"/>
      <c r="GZ197" s="418"/>
      <c r="HA197" s="418"/>
      <c r="HB197" s="418"/>
      <c r="HC197" s="418"/>
      <c r="HD197" s="418"/>
      <c r="HE197" s="418"/>
      <c r="HF197" s="418"/>
      <c r="HG197" s="418"/>
      <c r="HH197" s="418"/>
      <c r="HI197" s="418"/>
      <c r="HJ197" s="418"/>
      <c r="HK197" s="418"/>
      <c r="HL197" s="418"/>
      <c r="HM197" s="418"/>
      <c r="HN197" s="418"/>
      <c r="HO197" s="418"/>
      <c r="HP197" s="418"/>
      <c r="HQ197" s="418"/>
      <c r="HR197" s="418"/>
      <c r="HS197" s="418"/>
      <c r="HT197" s="418"/>
      <c r="HU197" s="418"/>
      <c r="HV197" s="418"/>
      <c r="HW197" s="418"/>
      <c r="HX197" s="418"/>
      <c r="HY197" s="418"/>
      <c r="HZ197" s="418"/>
      <c r="IA197" s="418"/>
      <c r="IB197" s="418"/>
      <c r="IC197" s="418"/>
      <c r="ID197" s="418"/>
      <c r="IE197" s="418"/>
      <c r="IF197" s="418"/>
      <c r="IG197" s="418"/>
      <c r="IH197" s="418"/>
      <c r="II197" s="418"/>
      <c r="IJ197" s="418"/>
      <c r="IK197" s="418"/>
      <c r="IL197" s="418"/>
      <c r="IM197" s="418"/>
      <c r="IN197" s="418"/>
      <c r="IO197" s="418"/>
      <c r="IP197" s="418"/>
      <c r="IQ197" s="418"/>
      <c r="IR197" s="418"/>
      <c r="IS197" s="418"/>
      <c r="IT197" s="418"/>
      <c r="IU197" s="418"/>
      <c r="IV197" s="418"/>
      <c r="IW197" s="418"/>
      <c r="IX197" s="418"/>
      <c r="IY197" s="418"/>
      <c r="IZ197" s="418"/>
      <c r="JA197" s="418"/>
      <c r="JB197" s="418"/>
    </row>
    <row r="198" spans="1:262" s="758" customFormat="1" ht="21.95" customHeight="1" x14ac:dyDescent="0.35">
      <c r="A198" s="773">
        <v>188</v>
      </c>
      <c r="B198" s="2012"/>
      <c r="C198" s="420"/>
      <c r="D198" s="1318" t="s">
        <v>1221</v>
      </c>
      <c r="E198" s="427"/>
      <c r="F198" s="430"/>
      <c r="G198" s="2006"/>
      <c r="H198" s="999"/>
      <c r="I198" s="2007"/>
      <c r="J198" s="2007"/>
      <c r="K198" s="1773">
        <v>800</v>
      </c>
      <c r="L198" s="2007"/>
      <c r="M198" s="2007"/>
      <c r="N198" s="2007"/>
      <c r="O198" s="2007"/>
      <c r="P198" s="772">
        <f t="shared" si="25"/>
        <v>800</v>
      </c>
      <c r="Q198" s="1552"/>
      <c r="R198" s="418"/>
      <c r="S198" s="418"/>
      <c r="T198" s="418"/>
      <c r="U198" s="418"/>
      <c r="V198" s="418"/>
      <c r="W198" s="418"/>
      <c r="X198" s="418"/>
      <c r="Y198" s="418"/>
      <c r="Z198" s="418"/>
      <c r="AA198" s="418"/>
      <c r="AB198" s="418"/>
      <c r="AC198" s="418"/>
      <c r="AD198" s="418"/>
      <c r="AE198" s="418"/>
      <c r="AF198" s="418"/>
      <c r="AG198" s="418"/>
      <c r="AH198" s="418"/>
      <c r="AI198" s="418"/>
      <c r="AJ198" s="418"/>
      <c r="AK198" s="418"/>
      <c r="AL198" s="418"/>
      <c r="AM198" s="418"/>
      <c r="AN198" s="418"/>
      <c r="AO198" s="418"/>
      <c r="AP198" s="418"/>
      <c r="AQ198" s="418"/>
      <c r="AR198" s="418"/>
      <c r="AS198" s="418"/>
      <c r="AT198" s="418"/>
      <c r="AU198" s="418"/>
      <c r="AV198" s="418"/>
      <c r="AW198" s="418"/>
      <c r="AX198" s="418"/>
      <c r="AY198" s="418"/>
      <c r="AZ198" s="418"/>
      <c r="BA198" s="418"/>
      <c r="BB198" s="418"/>
      <c r="BC198" s="418"/>
      <c r="BD198" s="418"/>
      <c r="BE198" s="418"/>
      <c r="BF198" s="418"/>
      <c r="BG198" s="418"/>
      <c r="BH198" s="418"/>
      <c r="BI198" s="418"/>
      <c r="BJ198" s="418"/>
      <c r="BK198" s="418"/>
      <c r="BL198" s="418"/>
      <c r="BM198" s="418"/>
      <c r="BN198" s="418"/>
      <c r="BO198" s="418"/>
      <c r="BP198" s="418"/>
      <c r="BQ198" s="418"/>
      <c r="BR198" s="418"/>
      <c r="BS198" s="418"/>
      <c r="BT198" s="418"/>
      <c r="BU198" s="418"/>
      <c r="BV198" s="418"/>
      <c r="BW198" s="418"/>
      <c r="BX198" s="418"/>
      <c r="BY198" s="418"/>
      <c r="BZ198" s="418"/>
      <c r="CA198" s="418"/>
      <c r="CB198" s="418"/>
      <c r="CC198" s="418"/>
      <c r="CD198" s="418"/>
      <c r="CE198" s="418"/>
      <c r="CF198" s="418"/>
      <c r="CG198" s="418"/>
      <c r="CH198" s="418"/>
      <c r="CI198" s="418"/>
      <c r="CJ198" s="418"/>
      <c r="CK198" s="418"/>
      <c r="CL198" s="418"/>
      <c r="CM198" s="418"/>
      <c r="CN198" s="418"/>
      <c r="CO198" s="418"/>
      <c r="CP198" s="418"/>
      <c r="CQ198" s="418"/>
      <c r="CR198" s="418"/>
      <c r="CS198" s="418"/>
      <c r="CT198" s="418"/>
      <c r="CU198" s="418"/>
      <c r="CV198" s="418"/>
      <c r="CW198" s="418"/>
      <c r="CX198" s="418"/>
      <c r="CY198" s="418"/>
      <c r="CZ198" s="418"/>
      <c r="DA198" s="418"/>
      <c r="DB198" s="418"/>
      <c r="DC198" s="418"/>
      <c r="DD198" s="418"/>
      <c r="DE198" s="418"/>
      <c r="DF198" s="418"/>
      <c r="DG198" s="418"/>
      <c r="DH198" s="418"/>
      <c r="DI198" s="418"/>
      <c r="DJ198" s="418"/>
      <c r="DK198" s="418"/>
      <c r="DL198" s="418"/>
      <c r="DM198" s="418"/>
      <c r="DN198" s="418"/>
      <c r="DO198" s="418"/>
      <c r="DP198" s="418"/>
      <c r="DQ198" s="418"/>
      <c r="DR198" s="418"/>
      <c r="DS198" s="418"/>
      <c r="DT198" s="418"/>
      <c r="DU198" s="418"/>
      <c r="DV198" s="418"/>
      <c r="DW198" s="418"/>
      <c r="DX198" s="418"/>
      <c r="DY198" s="418"/>
      <c r="DZ198" s="418"/>
      <c r="EA198" s="418"/>
      <c r="EB198" s="418"/>
      <c r="EC198" s="418"/>
      <c r="ED198" s="418"/>
      <c r="EE198" s="418"/>
      <c r="EF198" s="418"/>
      <c r="EG198" s="418"/>
      <c r="EH198" s="418"/>
      <c r="EI198" s="418"/>
      <c r="EJ198" s="418"/>
      <c r="EK198" s="418"/>
      <c r="EL198" s="418"/>
      <c r="EM198" s="418"/>
      <c r="EN198" s="418"/>
      <c r="EO198" s="418"/>
      <c r="EP198" s="418"/>
      <c r="EQ198" s="418"/>
      <c r="ER198" s="418"/>
      <c r="ES198" s="418"/>
      <c r="ET198" s="418"/>
      <c r="EU198" s="418"/>
      <c r="EV198" s="418"/>
      <c r="EW198" s="418"/>
      <c r="EX198" s="418"/>
      <c r="EY198" s="418"/>
      <c r="EZ198" s="418"/>
      <c r="FA198" s="418"/>
      <c r="FB198" s="418"/>
      <c r="FC198" s="418"/>
      <c r="FD198" s="418"/>
      <c r="FE198" s="418"/>
      <c r="FF198" s="418"/>
      <c r="FG198" s="418"/>
      <c r="FH198" s="418"/>
      <c r="FI198" s="418"/>
      <c r="FJ198" s="418"/>
      <c r="FK198" s="418"/>
      <c r="FL198" s="418"/>
      <c r="FM198" s="418"/>
      <c r="FN198" s="418"/>
      <c r="FO198" s="418"/>
      <c r="FP198" s="418"/>
      <c r="FQ198" s="418"/>
      <c r="FR198" s="418"/>
      <c r="FS198" s="418"/>
      <c r="FT198" s="418"/>
      <c r="FU198" s="418"/>
      <c r="FV198" s="418"/>
      <c r="FW198" s="418"/>
      <c r="FX198" s="418"/>
      <c r="FY198" s="418"/>
      <c r="FZ198" s="418"/>
      <c r="GA198" s="418"/>
      <c r="GB198" s="418"/>
      <c r="GC198" s="418"/>
      <c r="GD198" s="418"/>
      <c r="GE198" s="418"/>
      <c r="GF198" s="418"/>
      <c r="GG198" s="418"/>
      <c r="GH198" s="418"/>
      <c r="GI198" s="418"/>
      <c r="GJ198" s="418"/>
      <c r="GK198" s="418"/>
      <c r="GL198" s="418"/>
      <c r="GM198" s="418"/>
      <c r="GN198" s="418"/>
      <c r="GO198" s="418"/>
      <c r="GP198" s="418"/>
      <c r="GQ198" s="418"/>
      <c r="GR198" s="418"/>
      <c r="GS198" s="418"/>
      <c r="GT198" s="418"/>
      <c r="GU198" s="418"/>
      <c r="GV198" s="418"/>
      <c r="GW198" s="418"/>
      <c r="GX198" s="418"/>
      <c r="GY198" s="418"/>
      <c r="GZ198" s="418"/>
      <c r="HA198" s="418"/>
      <c r="HB198" s="418"/>
      <c r="HC198" s="418"/>
      <c r="HD198" s="418"/>
      <c r="HE198" s="418"/>
      <c r="HF198" s="418"/>
      <c r="HG198" s="418"/>
      <c r="HH198" s="418"/>
      <c r="HI198" s="418"/>
      <c r="HJ198" s="418"/>
      <c r="HK198" s="418"/>
      <c r="HL198" s="418"/>
      <c r="HM198" s="418"/>
      <c r="HN198" s="418"/>
      <c r="HO198" s="418"/>
      <c r="HP198" s="418"/>
      <c r="HQ198" s="418"/>
      <c r="HR198" s="418"/>
      <c r="HS198" s="418"/>
      <c r="HT198" s="418"/>
      <c r="HU198" s="418"/>
      <c r="HV198" s="418"/>
      <c r="HW198" s="418"/>
      <c r="HX198" s="418"/>
      <c r="HY198" s="418"/>
      <c r="HZ198" s="418"/>
      <c r="IA198" s="418"/>
      <c r="IB198" s="418"/>
      <c r="IC198" s="418"/>
      <c r="ID198" s="418"/>
      <c r="IE198" s="418"/>
      <c r="IF198" s="418"/>
      <c r="IG198" s="418"/>
      <c r="IH198" s="418"/>
      <c r="II198" s="418"/>
      <c r="IJ198" s="418"/>
      <c r="IK198" s="418"/>
      <c r="IL198" s="418"/>
      <c r="IM198" s="418"/>
      <c r="IN198" s="418"/>
      <c r="IO198" s="418"/>
      <c r="IP198" s="418"/>
      <c r="IQ198" s="418"/>
      <c r="IR198" s="418"/>
      <c r="IS198" s="418"/>
      <c r="IT198" s="418"/>
      <c r="IU198" s="418"/>
      <c r="IV198" s="418"/>
      <c r="IW198" s="418"/>
      <c r="IX198" s="418"/>
      <c r="IY198" s="418"/>
      <c r="IZ198" s="418"/>
      <c r="JA198" s="418"/>
      <c r="JB198" s="418"/>
    </row>
    <row r="199" spans="1:262" s="758" customFormat="1" ht="21.95" customHeight="1" x14ac:dyDescent="0.35">
      <c r="A199" s="773">
        <v>189</v>
      </c>
      <c r="B199" s="2012"/>
      <c r="C199" s="420"/>
      <c r="D199" s="1318" t="s">
        <v>1222</v>
      </c>
      <c r="E199" s="427"/>
      <c r="F199" s="430"/>
      <c r="G199" s="2006"/>
      <c r="H199" s="999"/>
      <c r="I199" s="2007"/>
      <c r="J199" s="2007"/>
      <c r="K199" s="1773">
        <v>19050</v>
      </c>
      <c r="L199" s="2007"/>
      <c r="M199" s="2007"/>
      <c r="N199" s="2007"/>
      <c r="O199" s="2007"/>
      <c r="P199" s="772">
        <f t="shared" si="25"/>
        <v>19050</v>
      </c>
      <c r="Q199" s="1552"/>
      <c r="R199" s="418"/>
      <c r="S199" s="418"/>
      <c r="T199" s="418"/>
      <c r="U199" s="418"/>
      <c r="V199" s="418"/>
      <c r="W199" s="418"/>
      <c r="X199" s="418"/>
      <c r="Y199" s="418"/>
      <c r="Z199" s="418"/>
      <c r="AA199" s="418"/>
      <c r="AB199" s="418"/>
      <c r="AC199" s="418"/>
      <c r="AD199" s="418"/>
      <c r="AE199" s="418"/>
      <c r="AF199" s="418"/>
      <c r="AG199" s="418"/>
      <c r="AH199" s="418"/>
      <c r="AI199" s="418"/>
      <c r="AJ199" s="418"/>
      <c r="AK199" s="418"/>
      <c r="AL199" s="418"/>
      <c r="AM199" s="418"/>
      <c r="AN199" s="418"/>
      <c r="AO199" s="418"/>
      <c r="AP199" s="418"/>
      <c r="AQ199" s="418"/>
      <c r="AR199" s="418"/>
      <c r="AS199" s="418"/>
      <c r="AT199" s="418"/>
      <c r="AU199" s="418"/>
      <c r="AV199" s="418"/>
      <c r="AW199" s="418"/>
      <c r="AX199" s="418"/>
      <c r="AY199" s="418"/>
      <c r="AZ199" s="418"/>
      <c r="BA199" s="418"/>
      <c r="BB199" s="418"/>
      <c r="BC199" s="418"/>
      <c r="BD199" s="418"/>
      <c r="BE199" s="418"/>
      <c r="BF199" s="418"/>
      <c r="BG199" s="418"/>
      <c r="BH199" s="418"/>
      <c r="BI199" s="418"/>
      <c r="BJ199" s="418"/>
      <c r="BK199" s="418"/>
      <c r="BL199" s="418"/>
      <c r="BM199" s="418"/>
      <c r="BN199" s="418"/>
      <c r="BO199" s="418"/>
      <c r="BP199" s="418"/>
      <c r="BQ199" s="418"/>
      <c r="BR199" s="418"/>
      <c r="BS199" s="418"/>
      <c r="BT199" s="418"/>
      <c r="BU199" s="418"/>
      <c r="BV199" s="418"/>
      <c r="BW199" s="418"/>
      <c r="BX199" s="418"/>
      <c r="BY199" s="418"/>
      <c r="BZ199" s="418"/>
      <c r="CA199" s="418"/>
      <c r="CB199" s="418"/>
      <c r="CC199" s="418"/>
      <c r="CD199" s="418"/>
      <c r="CE199" s="418"/>
      <c r="CF199" s="418"/>
      <c r="CG199" s="418"/>
      <c r="CH199" s="418"/>
      <c r="CI199" s="418"/>
      <c r="CJ199" s="418"/>
      <c r="CK199" s="418"/>
      <c r="CL199" s="418"/>
      <c r="CM199" s="418"/>
      <c r="CN199" s="418"/>
      <c r="CO199" s="418"/>
      <c r="CP199" s="418"/>
      <c r="CQ199" s="418"/>
      <c r="CR199" s="418"/>
      <c r="CS199" s="418"/>
      <c r="CT199" s="418"/>
      <c r="CU199" s="418"/>
      <c r="CV199" s="418"/>
      <c r="CW199" s="418"/>
      <c r="CX199" s="418"/>
      <c r="CY199" s="418"/>
      <c r="CZ199" s="418"/>
      <c r="DA199" s="418"/>
      <c r="DB199" s="418"/>
      <c r="DC199" s="418"/>
      <c r="DD199" s="418"/>
      <c r="DE199" s="418"/>
      <c r="DF199" s="418"/>
      <c r="DG199" s="418"/>
      <c r="DH199" s="418"/>
      <c r="DI199" s="418"/>
      <c r="DJ199" s="418"/>
      <c r="DK199" s="418"/>
      <c r="DL199" s="418"/>
      <c r="DM199" s="418"/>
      <c r="DN199" s="418"/>
      <c r="DO199" s="418"/>
      <c r="DP199" s="418"/>
      <c r="DQ199" s="418"/>
      <c r="DR199" s="418"/>
      <c r="DS199" s="418"/>
      <c r="DT199" s="418"/>
      <c r="DU199" s="418"/>
      <c r="DV199" s="418"/>
      <c r="DW199" s="418"/>
      <c r="DX199" s="418"/>
      <c r="DY199" s="418"/>
      <c r="DZ199" s="418"/>
      <c r="EA199" s="418"/>
      <c r="EB199" s="418"/>
      <c r="EC199" s="418"/>
      <c r="ED199" s="418"/>
      <c r="EE199" s="418"/>
      <c r="EF199" s="418"/>
      <c r="EG199" s="418"/>
      <c r="EH199" s="418"/>
      <c r="EI199" s="418"/>
      <c r="EJ199" s="418"/>
      <c r="EK199" s="418"/>
      <c r="EL199" s="418"/>
      <c r="EM199" s="418"/>
      <c r="EN199" s="418"/>
      <c r="EO199" s="418"/>
      <c r="EP199" s="418"/>
      <c r="EQ199" s="418"/>
      <c r="ER199" s="418"/>
      <c r="ES199" s="418"/>
      <c r="ET199" s="418"/>
      <c r="EU199" s="418"/>
      <c r="EV199" s="418"/>
      <c r="EW199" s="418"/>
      <c r="EX199" s="418"/>
      <c r="EY199" s="418"/>
      <c r="EZ199" s="418"/>
      <c r="FA199" s="418"/>
      <c r="FB199" s="418"/>
      <c r="FC199" s="418"/>
      <c r="FD199" s="418"/>
      <c r="FE199" s="418"/>
      <c r="FF199" s="418"/>
      <c r="FG199" s="418"/>
      <c r="FH199" s="418"/>
      <c r="FI199" s="418"/>
      <c r="FJ199" s="418"/>
      <c r="FK199" s="418"/>
      <c r="FL199" s="418"/>
      <c r="FM199" s="418"/>
      <c r="FN199" s="418"/>
      <c r="FO199" s="418"/>
      <c r="FP199" s="418"/>
      <c r="FQ199" s="418"/>
      <c r="FR199" s="418"/>
      <c r="FS199" s="418"/>
      <c r="FT199" s="418"/>
      <c r="FU199" s="418"/>
      <c r="FV199" s="418"/>
      <c r="FW199" s="418"/>
      <c r="FX199" s="418"/>
      <c r="FY199" s="418"/>
      <c r="FZ199" s="418"/>
      <c r="GA199" s="418"/>
      <c r="GB199" s="418"/>
      <c r="GC199" s="418"/>
      <c r="GD199" s="418"/>
      <c r="GE199" s="418"/>
      <c r="GF199" s="418"/>
      <c r="GG199" s="418"/>
      <c r="GH199" s="418"/>
      <c r="GI199" s="418"/>
      <c r="GJ199" s="418"/>
      <c r="GK199" s="418"/>
      <c r="GL199" s="418"/>
      <c r="GM199" s="418"/>
      <c r="GN199" s="418"/>
      <c r="GO199" s="418"/>
      <c r="GP199" s="418"/>
      <c r="GQ199" s="418"/>
      <c r="GR199" s="418"/>
      <c r="GS199" s="418"/>
      <c r="GT199" s="418"/>
      <c r="GU199" s="418"/>
      <c r="GV199" s="418"/>
      <c r="GW199" s="418"/>
      <c r="GX199" s="418"/>
      <c r="GY199" s="418"/>
      <c r="GZ199" s="418"/>
      <c r="HA199" s="418"/>
      <c r="HB199" s="418"/>
      <c r="HC199" s="418"/>
      <c r="HD199" s="418"/>
      <c r="HE199" s="418"/>
      <c r="HF199" s="418"/>
      <c r="HG199" s="418"/>
      <c r="HH199" s="418"/>
      <c r="HI199" s="418"/>
      <c r="HJ199" s="418"/>
      <c r="HK199" s="418"/>
      <c r="HL199" s="418"/>
      <c r="HM199" s="418"/>
      <c r="HN199" s="418"/>
      <c r="HO199" s="418"/>
      <c r="HP199" s="418"/>
      <c r="HQ199" s="418"/>
      <c r="HR199" s="418"/>
      <c r="HS199" s="418"/>
      <c r="HT199" s="418"/>
      <c r="HU199" s="418"/>
      <c r="HV199" s="418"/>
      <c r="HW199" s="418"/>
      <c r="HX199" s="418"/>
      <c r="HY199" s="418"/>
      <c r="HZ199" s="418"/>
      <c r="IA199" s="418"/>
      <c r="IB199" s="418"/>
      <c r="IC199" s="418"/>
      <c r="ID199" s="418"/>
      <c r="IE199" s="418"/>
      <c r="IF199" s="418"/>
      <c r="IG199" s="418"/>
      <c r="IH199" s="418"/>
      <c r="II199" s="418"/>
      <c r="IJ199" s="418"/>
      <c r="IK199" s="418"/>
      <c r="IL199" s="418"/>
      <c r="IM199" s="418"/>
      <c r="IN199" s="418"/>
      <c r="IO199" s="418"/>
      <c r="IP199" s="418"/>
      <c r="IQ199" s="418"/>
      <c r="IR199" s="418"/>
      <c r="IS199" s="418"/>
      <c r="IT199" s="418"/>
      <c r="IU199" s="418"/>
      <c r="IV199" s="418"/>
      <c r="IW199" s="418"/>
      <c r="IX199" s="418"/>
      <c r="IY199" s="418"/>
      <c r="IZ199" s="418"/>
      <c r="JA199" s="418"/>
      <c r="JB199" s="418"/>
    </row>
    <row r="200" spans="1:262" s="758" customFormat="1" ht="21.95" customHeight="1" x14ac:dyDescent="0.35">
      <c r="A200" s="773">
        <v>190</v>
      </c>
      <c r="B200" s="2012"/>
      <c r="C200" s="420"/>
      <c r="D200" s="1318" t="s">
        <v>1352</v>
      </c>
      <c r="E200" s="427"/>
      <c r="F200" s="430"/>
      <c r="G200" s="2006"/>
      <c r="H200" s="999"/>
      <c r="I200" s="2007"/>
      <c r="J200" s="2007"/>
      <c r="K200" s="1773">
        <v>15000</v>
      </c>
      <c r="L200" s="2007"/>
      <c r="M200" s="2007"/>
      <c r="N200" s="2007"/>
      <c r="O200" s="2007"/>
      <c r="P200" s="772">
        <f t="shared" si="25"/>
        <v>15000</v>
      </c>
      <c r="Q200" s="1552"/>
      <c r="R200" s="418"/>
      <c r="S200" s="418"/>
      <c r="T200" s="418"/>
      <c r="U200" s="418"/>
      <c r="V200" s="418"/>
      <c r="W200" s="418"/>
      <c r="X200" s="418"/>
      <c r="Y200" s="418"/>
      <c r="Z200" s="418"/>
      <c r="AA200" s="418"/>
      <c r="AB200" s="418"/>
      <c r="AC200" s="418"/>
      <c r="AD200" s="418"/>
      <c r="AE200" s="418"/>
      <c r="AF200" s="418"/>
      <c r="AG200" s="418"/>
      <c r="AH200" s="418"/>
      <c r="AI200" s="418"/>
      <c r="AJ200" s="418"/>
      <c r="AK200" s="418"/>
      <c r="AL200" s="418"/>
      <c r="AM200" s="418"/>
      <c r="AN200" s="418"/>
      <c r="AO200" s="418"/>
      <c r="AP200" s="418"/>
      <c r="AQ200" s="418"/>
      <c r="AR200" s="418"/>
      <c r="AS200" s="418"/>
      <c r="AT200" s="418"/>
      <c r="AU200" s="418"/>
      <c r="AV200" s="418"/>
      <c r="AW200" s="418"/>
      <c r="AX200" s="418"/>
      <c r="AY200" s="418"/>
      <c r="AZ200" s="418"/>
      <c r="BA200" s="418"/>
      <c r="BB200" s="418"/>
      <c r="BC200" s="418"/>
      <c r="BD200" s="418"/>
      <c r="BE200" s="418"/>
      <c r="BF200" s="418"/>
      <c r="BG200" s="418"/>
      <c r="BH200" s="418"/>
      <c r="BI200" s="418"/>
      <c r="BJ200" s="418"/>
      <c r="BK200" s="418"/>
      <c r="BL200" s="418"/>
      <c r="BM200" s="418"/>
      <c r="BN200" s="418"/>
      <c r="BO200" s="418"/>
      <c r="BP200" s="418"/>
      <c r="BQ200" s="418"/>
      <c r="BR200" s="418"/>
      <c r="BS200" s="418"/>
      <c r="BT200" s="418"/>
      <c r="BU200" s="418"/>
      <c r="BV200" s="418"/>
      <c r="BW200" s="418"/>
      <c r="BX200" s="418"/>
      <c r="BY200" s="418"/>
      <c r="BZ200" s="418"/>
      <c r="CA200" s="418"/>
      <c r="CB200" s="418"/>
      <c r="CC200" s="418"/>
      <c r="CD200" s="418"/>
      <c r="CE200" s="418"/>
      <c r="CF200" s="418"/>
      <c r="CG200" s="418"/>
      <c r="CH200" s="418"/>
      <c r="CI200" s="418"/>
      <c r="CJ200" s="418"/>
      <c r="CK200" s="418"/>
      <c r="CL200" s="418"/>
      <c r="CM200" s="418"/>
      <c r="CN200" s="418"/>
      <c r="CO200" s="418"/>
      <c r="CP200" s="418"/>
      <c r="CQ200" s="418"/>
      <c r="CR200" s="418"/>
      <c r="CS200" s="418"/>
      <c r="CT200" s="418"/>
      <c r="CU200" s="418"/>
      <c r="CV200" s="418"/>
      <c r="CW200" s="418"/>
      <c r="CX200" s="418"/>
      <c r="CY200" s="418"/>
      <c r="CZ200" s="418"/>
      <c r="DA200" s="418"/>
      <c r="DB200" s="418"/>
      <c r="DC200" s="418"/>
      <c r="DD200" s="418"/>
      <c r="DE200" s="418"/>
      <c r="DF200" s="418"/>
      <c r="DG200" s="418"/>
      <c r="DH200" s="418"/>
      <c r="DI200" s="418"/>
      <c r="DJ200" s="418"/>
      <c r="DK200" s="418"/>
      <c r="DL200" s="418"/>
      <c r="DM200" s="418"/>
      <c r="DN200" s="418"/>
      <c r="DO200" s="418"/>
      <c r="DP200" s="418"/>
      <c r="DQ200" s="418"/>
      <c r="DR200" s="418"/>
      <c r="DS200" s="418"/>
      <c r="DT200" s="418"/>
      <c r="DU200" s="418"/>
      <c r="DV200" s="418"/>
      <c r="DW200" s="418"/>
      <c r="DX200" s="418"/>
      <c r="DY200" s="418"/>
      <c r="DZ200" s="418"/>
      <c r="EA200" s="418"/>
      <c r="EB200" s="418"/>
      <c r="EC200" s="418"/>
      <c r="ED200" s="418"/>
      <c r="EE200" s="418"/>
      <c r="EF200" s="418"/>
      <c r="EG200" s="418"/>
      <c r="EH200" s="418"/>
      <c r="EI200" s="418"/>
      <c r="EJ200" s="418"/>
      <c r="EK200" s="418"/>
      <c r="EL200" s="418"/>
      <c r="EM200" s="418"/>
      <c r="EN200" s="418"/>
      <c r="EO200" s="418"/>
      <c r="EP200" s="418"/>
      <c r="EQ200" s="418"/>
      <c r="ER200" s="418"/>
      <c r="ES200" s="418"/>
      <c r="ET200" s="418"/>
      <c r="EU200" s="418"/>
      <c r="EV200" s="418"/>
      <c r="EW200" s="418"/>
      <c r="EX200" s="418"/>
      <c r="EY200" s="418"/>
      <c r="EZ200" s="418"/>
      <c r="FA200" s="418"/>
      <c r="FB200" s="418"/>
      <c r="FC200" s="418"/>
      <c r="FD200" s="418"/>
      <c r="FE200" s="418"/>
      <c r="FF200" s="418"/>
      <c r="FG200" s="418"/>
      <c r="FH200" s="418"/>
      <c r="FI200" s="418"/>
      <c r="FJ200" s="418"/>
      <c r="FK200" s="418"/>
      <c r="FL200" s="418"/>
      <c r="FM200" s="418"/>
      <c r="FN200" s="418"/>
      <c r="FO200" s="418"/>
      <c r="FP200" s="418"/>
      <c r="FQ200" s="418"/>
      <c r="FR200" s="418"/>
      <c r="FS200" s="418"/>
      <c r="FT200" s="418"/>
      <c r="FU200" s="418"/>
      <c r="FV200" s="418"/>
      <c r="FW200" s="418"/>
      <c r="FX200" s="418"/>
      <c r="FY200" s="418"/>
      <c r="FZ200" s="418"/>
      <c r="GA200" s="418"/>
      <c r="GB200" s="418"/>
      <c r="GC200" s="418"/>
      <c r="GD200" s="418"/>
      <c r="GE200" s="418"/>
      <c r="GF200" s="418"/>
      <c r="GG200" s="418"/>
      <c r="GH200" s="418"/>
      <c r="GI200" s="418"/>
      <c r="GJ200" s="418"/>
      <c r="GK200" s="418"/>
      <c r="GL200" s="418"/>
      <c r="GM200" s="418"/>
      <c r="GN200" s="418"/>
      <c r="GO200" s="418"/>
      <c r="GP200" s="418"/>
      <c r="GQ200" s="418"/>
      <c r="GR200" s="418"/>
      <c r="GS200" s="418"/>
      <c r="GT200" s="418"/>
      <c r="GU200" s="418"/>
      <c r="GV200" s="418"/>
      <c r="GW200" s="418"/>
      <c r="GX200" s="418"/>
      <c r="GY200" s="418"/>
      <c r="GZ200" s="418"/>
      <c r="HA200" s="418"/>
      <c r="HB200" s="418"/>
      <c r="HC200" s="418"/>
      <c r="HD200" s="418"/>
      <c r="HE200" s="418"/>
      <c r="HF200" s="418"/>
      <c r="HG200" s="418"/>
      <c r="HH200" s="418"/>
      <c r="HI200" s="418"/>
      <c r="HJ200" s="418"/>
      <c r="HK200" s="418"/>
      <c r="HL200" s="418"/>
      <c r="HM200" s="418"/>
      <c r="HN200" s="418"/>
      <c r="HO200" s="418"/>
      <c r="HP200" s="418"/>
      <c r="HQ200" s="418"/>
      <c r="HR200" s="418"/>
      <c r="HS200" s="418"/>
      <c r="HT200" s="418"/>
      <c r="HU200" s="418"/>
      <c r="HV200" s="418"/>
      <c r="HW200" s="418"/>
      <c r="HX200" s="418"/>
      <c r="HY200" s="418"/>
      <c r="HZ200" s="418"/>
      <c r="IA200" s="418"/>
      <c r="IB200" s="418"/>
      <c r="IC200" s="418"/>
      <c r="ID200" s="418"/>
      <c r="IE200" s="418"/>
      <c r="IF200" s="418"/>
      <c r="IG200" s="418"/>
      <c r="IH200" s="418"/>
      <c r="II200" s="418"/>
      <c r="IJ200" s="418"/>
      <c r="IK200" s="418"/>
      <c r="IL200" s="418"/>
      <c r="IM200" s="418"/>
      <c r="IN200" s="418"/>
      <c r="IO200" s="418"/>
      <c r="IP200" s="418"/>
      <c r="IQ200" s="418"/>
      <c r="IR200" s="418"/>
      <c r="IS200" s="418"/>
      <c r="IT200" s="418"/>
      <c r="IU200" s="418"/>
      <c r="IV200" s="418"/>
      <c r="IW200" s="418"/>
      <c r="IX200" s="418"/>
      <c r="IY200" s="418"/>
      <c r="IZ200" s="418"/>
      <c r="JA200" s="418"/>
      <c r="JB200" s="418"/>
    </row>
    <row r="201" spans="1:262" s="758" customFormat="1" ht="21.95" customHeight="1" x14ac:dyDescent="0.35">
      <c r="A201" s="773">
        <v>191</v>
      </c>
      <c r="B201" s="2012"/>
      <c r="C201" s="420"/>
      <c r="D201" s="2036" t="s">
        <v>1211</v>
      </c>
      <c r="E201" s="427">
        <f>F201+G201+P204</f>
        <v>2500</v>
      </c>
      <c r="F201" s="430"/>
      <c r="G201" s="2006"/>
      <c r="H201" s="999"/>
      <c r="I201" s="2007"/>
      <c r="J201" s="2007"/>
      <c r="K201" s="2007"/>
      <c r="L201" s="2007"/>
      <c r="M201" s="2007"/>
      <c r="N201" s="2007"/>
      <c r="O201" s="2007"/>
      <c r="P201" s="772"/>
      <c r="Q201" s="1552"/>
      <c r="R201" s="418"/>
      <c r="S201" s="418"/>
      <c r="T201" s="418"/>
      <c r="U201" s="418"/>
      <c r="V201" s="418"/>
      <c r="W201" s="418"/>
      <c r="X201" s="418"/>
      <c r="Y201" s="418"/>
      <c r="Z201" s="418"/>
      <c r="AA201" s="418"/>
      <c r="AB201" s="418"/>
      <c r="AC201" s="418"/>
      <c r="AD201" s="418"/>
      <c r="AE201" s="418"/>
      <c r="AF201" s="418"/>
      <c r="AG201" s="418"/>
      <c r="AH201" s="418"/>
      <c r="AI201" s="418"/>
      <c r="AJ201" s="418"/>
      <c r="AK201" s="418"/>
      <c r="AL201" s="418"/>
      <c r="AM201" s="418"/>
      <c r="AN201" s="418"/>
      <c r="AO201" s="418"/>
      <c r="AP201" s="418"/>
      <c r="AQ201" s="418"/>
      <c r="AR201" s="418"/>
      <c r="AS201" s="418"/>
      <c r="AT201" s="418"/>
      <c r="AU201" s="418"/>
      <c r="AV201" s="418"/>
      <c r="AW201" s="418"/>
      <c r="AX201" s="418"/>
      <c r="AY201" s="418"/>
      <c r="AZ201" s="418"/>
      <c r="BA201" s="418"/>
      <c r="BB201" s="418"/>
      <c r="BC201" s="418"/>
      <c r="BD201" s="418"/>
      <c r="BE201" s="418"/>
      <c r="BF201" s="418"/>
      <c r="BG201" s="418"/>
      <c r="BH201" s="418"/>
      <c r="BI201" s="418"/>
      <c r="BJ201" s="418"/>
      <c r="BK201" s="418"/>
      <c r="BL201" s="418"/>
      <c r="BM201" s="418"/>
      <c r="BN201" s="418"/>
      <c r="BO201" s="418"/>
      <c r="BP201" s="418"/>
      <c r="BQ201" s="418"/>
      <c r="BR201" s="418"/>
      <c r="BS201" s="418"/>
      <c r="BT201" s="418"/>
      <c r="BU201" s="418"/>
      <c r="BV201" s="418"/>
      <c r="BW201" s="418"/>
      <c r="BX201" s="418"/>
      <c r="BY201" s="418"/>
      <c r="BZ201" s="418"/>
      <c r="CA201" s="418"/>
      <c r="CB201" s="418"/>
      <c r="CC201" s="418"/>
      <c r="CD201" s="418"/>
      <c r="CE201" s="418"/>
      <c r="CF201" s="418"/>
      <c r="CG201" s="418"/>
      <c r="CH201" s="418"/>
      <c r="CI201" s="418"/>
      <c r="CJ201" s="418"/>
      <c r="CK201" s="418"/>
      <c r="CL201" s="418"/>
      <c r="CM201" s="418"/>
      <c r="CN201" s="418"/>
      <c r="CO201" s="418"/>
      <c r="CP201" s="418"/>
      <c r="CQ201" s="418"/>
      <c r="CR201" s="418"/>
      <c r="CS201" s="418"/>
      <c r="CT201" s="418"/>
      <c r="CU201" s="418"/>
      <c r="CV201" s="418"/>
      <c r="CW201" s="418"/>
      <c r="CX201" s="418"/>
      <c r="CY201" s="418"/>
      <c r="CZ201" s="418"/>
      <c r="DA201" s="418"/>
      <c r="DB201" s="418"/>
      <c r="DC201" s="418"/>
      <c r="DD201" s="418"/>
      <c r="DE201" s="418"/>
      <c r="DF201" s="418"/>
      <c r="DG201" s="418"/>
      <c r="DH201" s="418"/>
      <c r="DI201" s="418"/>
      <c r="DJ201" s="418"/>
      <c r="DK201" s="418"/>
      <c r="DL201" s="418"/>
      <c r="DM201" s="418"/>
      <c r="DN201" s="418"/>
      <c r="DO201" s="418"/>
      <c r="DP201" s="418"/>
      <c r="DQ201" s="418"/>
      <c r="DR201" s="418"/>
      <c r="DS201" s="418"/>
      <c r="DT201" s="418"/>
      <c r="DU201" s="418"/>
      <c r="DV201" s="418"/>
      <c r="DW201" s="418"/>
      <c r="DX201" s="418"/>
      <c r="DY201" s="418"/>
      <c r="DZ201" s="418"/>
      <c r="EA201" s="418"/>
      <c r="EB201" s="418"/>
      <c r="EC201" s="418"/>
      <c r="ED201" s="418"/>
      <c r="EE201" s="418"/>
      <c r="EF201" s="418"/>
      <c r="EG201" s="418"/>
      <c r="EH201" s="418"/>
      <c r="EI201" s="418"/>
      <c r="EJ201" s="418"/>
      <c r="EK201" s="418"/>
      <c r="EL201" s="418"/>
      <c r="EM201" s="418"/>
      <c r="EN201" s="418"/>
      <c r="EO201" s="418"/>
      <c r="EP201" s="418"/>
      <c r="EQ201" s="418"/>
      <c r="ER201" s="418"/>
      <c r="ES201" s="418"/>
      <c r="ET201" s="418"/>
      <c r="EU201" s="418"/>
      <c r="EV201" s="418"/>
      <c r="EW201" s="418"/>
      <c r="EX201" s="418"/>
      <c r="EY201" s="418"/>
      <c r="EZ201" s="418"/>
      <c r="FA201" s="418"/>
      <c r="FB201" s="418"/>
      <c r="FC201" s="418"/>
      <c r="FD201" s="418"/>
      <c r="FE201" s="418"/>
      <c r="FF201" s="418"/>
      <c r="FG201" s="418"/>
      <c r="FH201" s="418"/>
      <c r="FI201" s="418"/>
      <c r="FJ201" s="418"/>
      <c r="FK201" s="418"/>
      <c r="FL201" s="418"/>
      <c r="FM201" s="418"/>
      <c r="FN201" s="418"/>
      <c r="FO201" s="418"/>
      <c r="FP201" s="418"/>
      <c r="FQ201" s="418"/>
      <c r="FR201" s="418"/>
      <c r="FS201" s="418"/>
      <c r="FT201" s="418"/>
      <c r="FU201" s="418"/>
      <c r="FV201" s="418"/>
      <c r="FW201" s="418"/>
      <c r="FX201" s="418"/>
      <c r="FY201" s="418"/>
      <c r="FZ201" s="418"/>
      <c r="GA201" s="418"/>
      <c r="GB201" s="418"/>
      <c r="GC201" s="418"/>
      <c r="GD201" s="418"/>
      <c r="GE201" s="418"/>
      <c r="GF201" s="418"/>
      <c r="GG201" s="418"/>
      <c r="GH201" s="418"/>
      <c r="GI201" s="418"/>
      <c r="GJ201" s="418"/>
      <c r="GK201" s="418"/>
      <c r="GL201" s="418"/>
      <c r="GM201" s="418"/>
      <c r="GN201" s="418"/>
      <c r="GO201" s="418"/>
      <c r="GP201" s="418"/>
      <c r="GQ201" s="418"/>
      <c r="GR201" s="418"/>
      <c r="GS201" s="418"/>
      <c r="GT201" s="418"/>
      <c r="GU201" s="418"/>
      <c r="GV201" s="418"/>
      <c r="GW201" s="418"/>
      <c r="GX201" s="418"/>
      <c r="GY201" s="418"/>
      <c r="GZ201" s="418"/>
      <c r="HA201" s="418"/>
      <c r="HB201" s="418"/>
      <c r="HC201" s="418"/>
      <c r="HD201" s="418"/>
      <c r="HE201" s="418"/>
      <c r="HF201" s="418"/>
      <c r="HG201" s="418"/>
      <c r="HH201" s="418"/>
      <c r="HI201" s="418"/>
      <c r="HJ201" s="418"/>
      <c r="HK201" s="418"/>
      <c r="HL201" s="418"/>
      <c r="HM201" s="418"/>
      <c r="HN201" s="418"/>
      <c r="HO201" s="418"/>
      <c r="HP201" s="418"/>
      <c r="HQ201" s="418"/>
      <c r="HR201" s="418"/>
      <c r="HS201" s="418"/>
      <c r="HT201" s="418"/>
      <c r="HU201" s="418"/>
      <c r="HV201" s="418"/>
      <c r="HW201" s="418"/>
      <c r="HX201" s="418"/>
      <c r="HY201" s="418"/>
      <c r="HZ201" s="418"/>
      <c r="IA201" s="418"/>
      <c r="IB201" s="418"/>
      <c r="IC201" s="418"/>
      <c r="ID201" s="418"/>
      <c r="IE201" s="418"/>
      <c r="IF201" s="418"/>
      <c r="IG201" s="418"/>
      <c r="IH201" s="418"/>
      <c r="II201" s="418"/>
      <c r="IJ201" s="418"/>
      <c r="IK201" s="418"/>
      <c r="IL201" s="418"/>
      <c r="IM201" s="418"/>
      <c r="IN201" s="418"/>
      <c r="IO201" s="418"/>
      <c r="IP201" s="418"/>
      <c r="IQ201" s="418"/>
      <c r="IR201" s="418"/>
      <c r="IS201" s="418"/>
      <c r="IT201" s="418"/>
      <c r="IU201" s="418"/>
      <c r="IV201" s="418"/>
      <c r="IW201" s="418"/>
      <c r="IX201" s="418"/>
      <c r="IY201" s="418"/>
      <c r="IZ201" s="418"/>
      <c r="JA201" s="418"/>
      <c r="JB201" s="418"/>
    </row>
    <row r="202" spans="1:262" s="758" customFormat="1" ht="20.100000000000001" customHeight="1" x14ac:dyDescent="0.35">
      <c r="A202" s="773">
        <v>192</v>
      </c>
      <c r="B202" s="2012"/>
      <c r="C202" s="420"/>
      <c r="D202" s="576" t="s">
        <v>1158</v>
      </c>
      <c r="E202" s="427"/>
      <c r="F202" s="430"/>
      <c r="G202" s="2006"/>
      <c r="H202" s="999"/>
      <c r="I202" s="2007"/>
      <c r="J202" s="2007"/>
      <c r="K202" s="2007"/>
      <c r="L202" s="2007"/>
      <c r="M202" s="2007"/>
      <c r="N202" s="2007">
        <v>2500</v>
      </c>
      <c r="O202" s="2007"/>
      <c r="P202" s="772">
        <f>SUM(I202:O202)</f>
        <v>2500</v>
      </c>
      <c r="Q202" s="1552"/>
      <c r="R202" s="418"/>
      <c r="S202" s="418"/>
      <c r="T202" s="418"/>
      <c r="U202" s="418"/>
      <c r="V202" s="418"/>
      <c r="W202" s="418"/>
      <c r="X202" s="418"/>
      <c r="Y202" s="418"/>
      <c r="Z202" s="418"/>
      <c r="AA202" s="418"/>
      <c r="AB202" s="418"/>
      <c r="AC202" s="418"/>
      <c r="AD202" s="418"/>
      <c r="AE202" s="418"/>
      <c r="AF202" s="418"/>
      <c r="AG202" s="418"/>
      <c r="AH202" s="418"/>
      <c r="AI202" s="418"/>
      <c r="AJ202" s="418"/>
      <c r="AK202" s="418"/>
      <c r="AL202" s="418"/>
      <c r="AM202" s="418"/>
      <c r="AN202" s="418"/>
      <c r="AO202" s="418"/>
      <c r="AP202" s="418"/>
      <c r="AQ202" s="418"/>
      <c r="AR202" s="418"/>
      <c r="AS202" s="418"/>
      <c r="AT202" s="418"/>
      <c r="AU202" s="418"/>
      <c r="AV202" s="418"/>
      <c r="AW202" s="418"/>
      <c r="AX202" s="418"/>
      <c r="AY202" s="418"/>
      <c r="AZ202" s="418"/>
      <c r="BA202" s="418"/>
      <c r="BB202" s="418"/>
      <c r="BC202" s="418"/>
      <c r="BD202" s="418"/>
      <c r="BE202" s="418"/>
      <c r="BF202" s="418"/>
      <c r="BG202" s="418"/>
      <c r="BH202" s="418"/>
      <c r="BI202" s="418"/>
      <c r="BJ202" s="418"/>
      <c r="BK202" s="418"/>
      <c r="BL202" s="418"/>
      <c r="BM202" s="418"/>
      <c r="BN202" s="418"/>
      <c r="BO202" s="418"/>
      <c r="BP202" s="418"/>
      <c r="BQ202" s="418"/>
      <c r="BR202" s="418"/>
      <c r="BS202" s="418"/>
      <c r="BT202" s="418"/>
      <c r="BU202" s="418"/>
      <c r="BV202" s="418"/>
      <c r="BW202" s="418"/>
      <c r="BX202" s="418"/>
      <c r="BY202" s="418"/>
      <c r="BZ202" s="418"/>
      <c r="CA202" s="418"/>
      <c r="CB202" s="418"/>
      <c r="CC202" s="418"/>
      <c r="CD202" s="418"/>
      <c r="CE202" s="418"/>
      <c r="CF202" s="418"/>
      <c r="CG202" s="418"/>
      <c r="CH202" s="418"/>
      <c r="CI202" s="418"/>
      <c r="CJ202" s="418"/>
      <c r="CK202" s="418"/>
      <c r="CL202" s="418"/>
      <c r="CM202" s="418"/>
      <c r="CN202" s="418"/>
      <c r="CO202" s="418"/>
      <c r="CP202" s="418"/>
      <c r="CQ202" s="418"/>
      <c r="CR202" s="418"/>
      <c r="CS202" s="418"/>
      <c r="CT202" s="418"/>
      <c r="CU202" s="418"/>
      <c r="CV202" s="418"/>
      <c r="CW202" s="418"/>
      <c r="CX202" s="418"/>
      <c r="CY202" s="418"/>
      <c r="CZ202" s="418"/>
      <c r="DA202" s="418"/>
      <c r="DB202" s="418"/>
      <c r="DC202" s="418"/>
      <c r="DD202" s="418"/>
      <c r="DE202" s="418"/>
      <c r="DF202" s="418"/>
      <c r="DG202" s="418"/>
      <c r="DH202" s="418"/>
      <c r="DI202" s="418"/>
      <c r="DJ202" s="418"/>
      <c r="DK202" s="418"/>
      <c r="DL202" s="418"/>
      <c r="DM202" s="418"/>
      <c r="DN202" s="418"/>
      <c r="DO202" s="418"/>
      <c r="DP202" s="418"/>
      <c r="DQ202" s="418"/>
      <c r="DR202" s="418"/>
      <c r="DS202" s="418"/>
      <c r="DT202" s="418"/>
      <c r="DU202" s="418"/>
      <c r="DV202" s="418"/>
      <c r="DW202" s="418"/>
      <c r="DX202" s="418"/>
      <c r="DY202" s="418"/>
      <c r="DZ202" s="418"/>
      <c r="EA202" s="418"/>
      <c r="EB202" s="418"/>
      <c r="EC202" s="418"/>
      <c r="ED202" s="418"/>
      <c r="EE202" s="418"/>
      <c r="EF202" s="418"/>
      <c r="EG202" s="418"/>
      <c r="EH202" s="418"/>
      <c r="EI202" s="418"/>
      <c r="EJ202" s="418"/>
      <c r="EK202" s="418"/>
      <c r="EL202" s="418"/>
      <c r="EM202" s="418"/>
      <c r="EN202" s="418"/>
      <c r="EO202" s="418"/>
      <c r="EP202" s="418"/>
      <c r="EQ202" s="418"/>
      <c r="ER202" s="418"/>
      <c r="ES202" s="418"/>
      <c r="ET202" s="418"/>
      <c r="EU202" s="418"/>
      <c r="EV202" s="418"/>
      <c r="EW202" s="418"/>
      <c r="EX202" s="418"/>
      <c r="EY202" s="418"/>
      <c r="EZ202" s="418"/>
      <c r="FA202" s="418"/>
      <c r="FB202" s="418"/>
      <c r="FC202" s="418"/>
      <c r="FD202" s="418"/>
      <c r="FE202" s="418"/>
      <c r="FF202" s="418"/>
      <c r="FG202" s="418"/>
      <c r="FH202" s="418"/>
      <c r="FI202" s="418"/>
      <c r="FJ202" s="418"/>
      <c r="FK202" s="418"/>
      <c r="FL202" s="418"/>
      <c r="FM202" s="418"/>
      <c r="FN202" s="418"/>
      <c r="FO202" s="418"/>
      <c r="FP202" s="418"/>
      <c r="FQ202" s="418"/>
      <c r="FR202" s="418"/>
      <c r="FS202" s="418"/>
      <c r="FT202" s="418"/>
      <c r="FU202" s="418"/>
      <c r="FV202" s="418"/>
      <c r="FW202" s="418"/>
      <c r="FX202" s="418"/>
      <c r="FY202" s="418"/>
      <c r="FZ202" s="418"/>
      <c r="GA202" s="418"/>
      <c r="GB202" s="418"/>
      <c r="GC202" s="418"/>
      <c r="GD202" s="418"/>
      <c r="GE202" s="418"/>
      <c r="GF202" s="418"/>
      <c r="GG202" s="418"/>
      <c r="GH202" s="418"/>
      <c r="GI202" s="418"/>
      <c r="GJ202" s="418"/>
      <c r="GK202" s="418"/>
      <c r="GL202" s="418"/>
      <c r="GM202" s="418"/>
      <c r="GN202" s="418"/>
      <c r="GO202" s="418"/>
      <c r="GP202" s="418"/>
      <c r="GQ202" s="418"/>
      <c r="GR202" s="418"/>
      <c r="GS202" s="418"/>
      <c r="GT202" s="418"/>
      <c r="GU202" s="418"/>
      <c r="GV202" s="418"/>
      <c r="GW202" s="418"/>
      <c r="GX202" s="418"/>
      <c r="GY202" s="418"/>
      <c r="GZ202" s="418"/>
      <c r="HA202" s="418"/>
      <c r="HB202" s="418"/>
      <c r="HC202" s="418"/>
      <c r="HD202" s="418"/>
      <c r="HE202" s="418"/>
      <c r="HF202" s="418"/>
      <c r="HG202" s="418"/>
      <c r="HH202" s="418"/>
      <c r="HI202" s="418"/>
      <c r="HJ202" s="418"/>
      <c r="HK202" s="418"/>
      <c r="HL202" s="418"/>
      <c r="HM202" s="418"/>
      <c r="HN202" s="418"/>
      <c r="HO202" s="418"/>
      <c r="HP202" s="418"/>
      <c r="HQ202" s="418"/>
      <c r="HR202" s="418"/>
      <c r="HS202" s="418"/>
      <c r="HT202" s="418"/>
      <c r="HU202" s="418"/>
      <c r="HV202" s="418"/>
      <c r="HW202" s="418"/>
      <c r="HX202" s="418"/>
      <c r="HY202" s="418"/>
      <c r="HZ202" s="418"/>
      <c r="IA202" s="418"/>
      <c r="IB202" s="418"/>
      <c r="IC202" s="418"/>
      <c r="ID202" s="418"/>
      <c r="IE202" s="418"/>
      <c r="IF202" s="418"/>
      <c r="IG202" s="418"/>
      <c r="IH202" s="418"/>
      <c r="II202" s="418"/>
      <c r="IJ202" s="418"/>
      <c r="IK202" s="418"/>
      <c r="IL202" s="418"/>
      <c r="IM202" s="418"/>
      <c r="IN202" s="418"/>
      <c r="IO202" s="418"/>
      <c r="IP202" s="418"/>
      <c r="IQ202" s="418"/>
      <c r="IR202" s="418"/>
      <c r="IS202" s="418"/>
      <c r="IT202" s="418"/>
      <c r="IU202" s="418"/>
      <c r="IV202" s="418"/>
      <c r="IW202" s="418"/>
      <c r="IX202" s="418"/>
      <c r="IY202" s="418"/>
      <c r="IZ202" s="418"/>
      <c r="JA202" s="418"/>
      <c r="JB202" s="418"/>
    </row>
    <row r="203" spans="1:262" s="758" customFormat="1" ht="20.100000000000001" customHeight="1" x14ac:dyDescent="0.35">
      <c r="A203" s="773">
        <v>193</v>
      </c>
      <c r="B203" s="2012"/>
      <c r="C203" s="420"/>
      <c r="D203" s="440" t="s">
        <v>969</v>
      </c>
      <c r="E203" s="430"/>
      <c r="F203" s="430"/>
      <c r="G203" s="2006"/>
      <c r="H203" s="999"/>
      <c r="I203" s="2007"/>
      <c r="J203" s="2007"/>
      <c r="K203" s="2007"/>
      <c r="L203" s="2007"/>
      <c r="M203" s="2007"/>
      <c r="N203" s="1773"/>
      <c r="O203" s="2007"/>
      <c r="P203" s="2039">
        <f>SUM(I203:O203)</f>
        <v>0</v>
      </c>
      <c r="Q203" s="1552"/>
      <c r="R203" s="418"/>
      <c r="S203" s="418"/>
      <c r="T203" s="418"/>
      <c r="U203" s="418"/>
      <c r="V203" s="418"/>
      <c r="W203" s="418"/>
      <c r="X203" s="418"/>
      <c r="Y203" s="418"/>
      <c r="Z203" s="418"/>
      <c r="AA203" s="418"/>
      <c r="AB203" s="418"/>
      <c r="AC203" s="418"/>
      <c r="AD203" s="418"/>
      <c r="AE203" s="418"/>
      <c r="AF203" s="418"/>
      <c r="AG203" s="418"/>
      <c r="AH203" s="418"/>
      <c r="AI203" s="418"/>
      <c r="AJ203" s="418"/>
      <c r="AK203" s="418"/>
      <c r="AL203" s="418"/>
      <c r="AM203" s="418"/>
      <c r="AN203" s="418"/>
      <c r="AO203" s="418"/>
      <c r="AP203" s="418"/>
      <c r="AQ203" s="418"/>
      <c r="AR203" s="418"/>
      <c r="AS203" s="418"/>
      <c r="AT203" s="418"/>
      <c r="AU203" s="418"/>
      <c r="AV203" s="418"/>
      <c r="AW203" s="418"/>
      <c r="AX203" s="418"/>
      <c r="AY203" s="418"/>
      <c r="AZ203" s="418"/>
      <c r="BA203" s="418"/>
      <c r="BB203" s="418"/>
      <c r="BC203" s="418"/>
      <c r="BD203" s="418"/>
      <c r="BE203" s="418"/>
      <c r="BF203" s="418"/>
      <c r="BG203" s="418"/>
      <c r="BH203" s="418"/>
      <c r="BI203" s="418"/>
      <c r="BJ203" s="418"/>
      <c r="BK203" s="418"/>
      <c r="BL203" s="418"/>
      <c r="BM203" s="418"/>
      <c r="BN203" s="418"/>
      <c r="BO203" s="418"/>
      <c r="BP203" s="418"/>
      <c r="BQ203" s="418"/>
      <c r="BR203" s="418"/>
      <c r="BS203" s="418"/>
      <c r="BT203" s="418"/>
      <c r="BU203" s="418"/>
      <c r="BV203" s="418"/>
      <c r="BW203" s="418"/>
      <c r="BX203" s="418"/>
      <c r="BY203" s="418"/>
      <c r="BZ203" s="418"/>
      <c r="CA203" s="418"/>
      <c r="CB203" s="418"/>
      <c r="CC203" s="418"/>
      <c r="CD203" s="418"/>
      <c r="CE203" s="418"/>
      <c r="CF203" s="418"/>
      <c r="CG203" s="418"/>
      <c r="CH203" s="418"/>
      <c r="CI203" s="418"/>
      <c r="CJ203" s="418"/>
      <c r="CK203" s="418"/>
      <c r="CL203" s="418"/>
      <c r="CM203" s="418"/>
      <c r="CN203" s="418"/>
      <c r="CO203" s="418"/>
      <c r="CP203" s="418"/>
      <c r="CQ203" s="418"/>
      <c r="CR203" s="418"/>
      <c r="CS203" s="418"/>
      <c r="CT203" s="418"/>
      <c r="CU203" s="418"/>
      <c r="CV203" s="418"/>
      <c r="CW203" s="418"/>
      <c r="CX203" s="418"/>
      <c r="CY203" s="418"/>
      <c r="CZ203" s="418"/>
      <c r="DA203" s="418"/>
      <c r="DB203" s="418"/>
      <c r="DC203" s="418"/>
      <c r="DD203" s="418"/>
      <c r="DE203" s="418"/>
      <c r="DF203" s="418"/>
      <c r="DG203" s="418"/>
      <c r="DH203" s="418"/>
      <c r="DI203" s="418"/>
      <c r="DJ203" s="418"/>
      <c r="DK203" s="418"/>
      <c r="DL203" s="418"/>
      <c r="DM203" s="418"/>
      <c r="DN203" s="418"/>
      <c r="DO203" s="418"/>
      <c r="DP203" s="418"/>
      <c r="DQ203" s="418"/>
      <c r="DR203" s="418"/>
      <c r="DS203" s="418"/>
      <c r="DT203" s="418"/>
      <c r="DU203" s="418"/>
      <c r="DV203" s="418"/>
      <c r="DW203" s="418"/>
      <c r="DX203" s="418"/>
      <c r="DY203" s="418"/>
      <c r="DZ203" s="418"/>
      <c r="EA203" s="418"/>
      <c r="EB203" s="418"/>
      <c r="EC203" s="418"/>
      <c r="ED203" s="418"/>
      <c r="EE203" s="418"/>
      <c r="EF203" s="418"/>
      <c r="EG203" s="418"/>
      <c r="EH203" s="418"/>
      <c r="EI203" s="418"/>
      <c r="EJ203" s="418"/>
      <c r="EK203" s="418"/>
      <c r="EL203" s="418"/>
      <c r="EM203" s="418"/>
      <c r="EN203" s="418"/>
      <c r="EO203" s="418"/>
      <c r="EP203" s="418"/>
      <c r="EQ203" s="418"/>
      <c r="ER203" s="418"/>
      <c r="ES203" s="418"/>
      <c r="ET203" s="418"/>
      <c r="EU203" s="418"/>
      <c r="EV203" s="418"/>
      <c r="EW203" s="418"/>
      <c r="EX203" s="418"/>
      <c r="EY203" s="418"/>
      <c r="EZ203" s="418"/>
      <c r="FA203" s="418"/>
      <c r="FB203" s="418"/>
      <c r="FC203" s="418"/>
      <c r="FD203" s="418"/>
      <c r="FE203" s="418"/>
      <c r="FF203" s="418"/>
      <c r="FG203" s="418"/>
      <c r="FH203" s="418"/>
      <c r="FI203" s="418"/>
      <c r="FJ203" s="418"/>
      <c r="FK203" s="418"/>
      <c r="FL203" s="418"/>
      <c r="FM203" s="418"/>
      <c r="FN203" s="418"/>
      <c r="FO203" s="418"/>
      <c r="FP203" s="418"/>
      <c r="FQ203" s="418"/>
      <c r="FR203" s="418"/>
      <c r="FS203" s="418"/>
      <c r="FT203" s="418"/>
      <c r="FU203" s="418"/>
      <c r="FV203" s="418"/>
      <c r="FW203" s="418"/>
      <c r="FX203" s="418"/>
      <c r="FY203" s="418"/>
      <c r="FZ203" s="418"/>
      <c r="GA203" s="418"/>
      <c r="GB203" s="418"/>
      <c r="GC203" s="418"/>
      <c r="GD203" s="418"/>
      <c r="GE203" s="418"/>
      <c r="GF203" s="418"/>
      <c r="GG203" s="418"/>
      <c r="GH203" s="418"/>
      <c r="GI203" s="418"/>
      <c r="GJ203" s="418"/>
      <c r="GK203" s="418"/>
      <c r="GL203" s="418"/>
      <c r="GM203" s="418"/>
      <c r="GN203" s="418"/>
      <c r="GO203" s="418"/>
      <c r="GP203" s="418"/>
      <c r="GQ203" s="418"/>
      <c r="GR203" s="418"/>
      <c r="GS203" s="418"/>
      <c r="GT203" s="418"/>
      <c r="GU203" s="418"/>
      <c r="GV203" s="418"/>
      <c r="GW203" s="418"/>
      <c r="GX203" s="418"/>
      <c r="GY203" s="418"/>
      <c r="GZ203" s="418"/>
      <c r="HA203" s="418"/>
      <c r="HB203" s="418"/>
      <c r="HC203" s="418"/>
      <c r="HD203" s="418"/>
      <c r="HE203" s="418"/>
      <c r="HF203" s="418"/>
      <c r="HG203" s="418"/>
      <c r="HH203" s="418"/>
      <c r="HI203" s="418"/>
      <c r="HJ203" s="418"/>
      <c r="HK203" s="418"/>
      <c r="HL203" s="418"/>
      <c r="HM203" s="418"/>
      <c r="HN203" s="418"/>
      <c r="HO203" s="418"/>
      <c r="HP203" s="418"/>
      <c r="HQ203" s="418"/>
      <c r="HR203" s="418"/>
      <c r="HS203" s="418"/>
      <c r="HT203" s="418"/>
      <c r="HU203" s="418"/>
      <c r="HV203" s="418"/>
      <c r="HW203" s="418"/>
      <c r="HX203" s="418"/>
      <c r="HY203" s="418"/>
      <c r="HZ203" s="418"/>
      <c r="IA203" s="418"/>
      <c r="IB203" s="418"/>
      <c r="IC203" s="418"/>
      <c r="ID203" s="418"/>
      <c r="IE203" s="418"/>
      <c r="IF203" s="418"/>
      <c r="IG203" s="418"/>
      <c r="IH203" s="418"/>
      <c r="II203" s="418"/>
      <c r="IJ203" s="418"/>
      <c r="IK203" s="418"/>
      <c r="IL203" s="418"/>
      <c r="IM203" s="418"/>
      <c r="IN203" s="418"/>
      <c r="IO203" s="418"/>
      <c r="IP203" s="418"/>
      <c r="IQ203" s="418"/>
      <c r="IR203" s="418"/>
      <c r="IS203" s="418"/>
      <c r="IT203" s="418"/>
      <c r="IU203" s="418"/>
      <c r="IV203" s="418"/>
      <c r="IW203" s="418"/>
      <c r="IX203" s="418"/>
      <c r="IY203" s="418"/>
      <c r="IZ203" s="418"/>
      <c r="JA203" s="418"/>
      <c r="JB203" s="418"/>
    </row>
    <row r="204" spans="1:262" s="758" customFormat="1" ht="20.100000000000001" customHeight="1" thickBot="1" x14ac:dyDescent="0.4">
      <c r="A204" s="773">
        <v>194</v>
      </c>
      <c r="B204" s="2012"/>
      <c r="C204" s="420"/>
      <c r="D204" s="576" t="s">
        <v>1250</v>
      </c>
      <c r="E204" s="1076"/>
      <c r="F204" s="1076"/>
      <c r="G204" s="2041"/>
      <c r="H204" s="1079"/>
      <c r="I204" s="2042"/>
      <c r="J204" s="2042"/>
      <c r="K204" s="2042"/>
      <c r="L204" s="2042"/>
      <c r="M204" s="2042"/>
      <c r="N204" s="2042">
        <f>SUM(N202:N203)</f>
        <v>2500</v>
      </c>
      <c r="O204" s="2042"/>
      <c r="P204" s="2043">
        <f>SUM(P202:P203)</f>
        <v>2500</v>
      </c>
      <c r="Q204" s="2044"/>
      <c r="R204" s="418"/>
      <c r="S204" s="418"/>
      <c r="T204" s="418"/>
      <c r="U204" s="418"/>
      <c r="V204" s="418"/>
      <c r="W204" s="418"/>
      <c r="X204" s="418"/>
      <c r="Y204" s="418"/>
      <c r="Z204" s="418"/>
      <c r="AA204" s="418"/>
      <c r="AB204" s="418"/>
      <c r="AC204" s="418"/>
      <c r="AD204" s="418"/>
      <c r="AE204" s="418"/>
      <c r="AF204" s="418"/>
      <c r="AG204" s="418"/>
      <c r="AH204" s="418"/>
      <c r="AI204" s="418"/>
      <c r="AJ204" s="418"/>
      <c r="AK204" s="418"/>
      <c r="AL204" s="418"/>
      <c r="AM204" s="418"/>
      <c r="AN204" s="418"/>
      <c r="AO204" s="418"/>
      <c r="AP204" s="418"/>
      <c r="AQ204" s="418"/>
      <c r="AR204" s="418"/>
      <c r="AS204" s="418"/>
      <c r="AT204" s="418"/>
      <c r="AU204" s="418"/>
      <c r="AV204" s="418"/>
      <c r="AW204" s="418"/>
      <c r="AX204" s="418"/>
      <c r="AY204" s="418"/>
      <c r="AZ204" s="418"/>
      <c r="BA204" s="418"/>
      <c r="BB204" s="418"/>
      <c r="BC204" s="418"/>
      <c r="BD204" s="418"/>
      <c r="BE204" s="418"/>
      <c r="BF204" s="418"/>
      <c r="BG204" s="418"/>
      <c r="BH204" s="418"/>
      <c r="BI204" s="418"/>
      <c r="BJ204" s="418"/>
      <c r="BK204" s="418"/>
      <c r="BL204" s="418"/>
      <c r="BM204" s="418"/>
      <c r="BN204" s="418"/>
      <c r="BO204" s="418"/>
      <c r="BP204" s="418"/>
      <c r="BQ204" s="418"/>
      <c r="BR204" s="418"/>
      <c r="BS204" s="418"/>
      <c r="BT204" s="418"/>
      <c r="BU204" s="418"/>
      <c r="BV204" s="418"/>
      <c r="BW204" s="418"/>
      <c r="BX204" s="418"/>
      <c r="BY204" s="418"/>
      <c r="BZ204" s="418"/>
      <c r="CA204" s="418"/>
      <c r="CB204" s="418"/>
      <c r="CC204" s="418"/>
      <c r="CD204" s="418"/>
      <c r="CE204" s="418"/>
      <c r="CF204" s="418"/>
      <c r="CG204" s="418"/>
      <c r="CH204" s="418"/>
      <c r="CI204" s="418"/>
      <c r="CJ204" s="418"/>
      <c r="CK204" s="418"/>
      <c r="CL204" s="418"/>
      <c r="CM204" s="418"/>
      <c r="CN204" s="418"/>
      <c r="CO204" s="418"/>
      <c r="CP204" s="418"/>
      <c r="CQ204" s="418"/>
      <c r="CR204" s="418"/>
      <c r="CS204" s="418"/>
      <c r="CT204" s="418"/>
      <c r="CU204" s="418"/>
      <c r="CV204" s="418"/>
      <c r="CW204" s="418"/>
      <c r="CX204" s="418"/>
      <c r="CY204" s="418"/>
      <c r="CZ204" s="418"/>
      <c r="DA204" s="418"/>
      <c r="DB204" s="418"/>
      <c r="DC204" s="418"/>
      <c r="DD204" s="418"/>
      <c r="DE204" s="418"/>
      <c r="DF204" s="418"/>
      <c r="DG204" s="418"/>
      <c r="DH204" s="418"/>
      <c r="DI204" s="418"/>
      <c r="DJ204" s="418"/>
      <c r="DK204" s="418"/>
      <c r="DL204" s="418"/>
      <c r="DM204" s="418"/>
      <c r="DN204" s="418"/>
      <c r="DO204" s="418"/>
      <c r="DP204" s="418"/>
      <c r="DQ204" s="418"/>
      <c r="DR204" s="418"/>
      <c r="DS204" s="418"/>
      <c r="DT204" s="418"/>
      <c r="DU204" s="418"/>
      <c r="DV204" s="418"/>
      <c r="DW204" s="418"/>
      <c r="DX204" s="418"/>
      <c r="DY204" s="418"/>
      <c r="DZ204" s="418"/>
      <c r="EA204" s="418"/>
      <c r="EB204" s="418"/>
      <c r="EC204" s="418"/>
      <c r="ED204" s="418"/>
      <c r="EE204" s="418"/>
      <c r="EF204" s="418"/>
      <c r="EG204" s="418"/>
      <c r="EH204" s="418"/>
      <c r="EI204" s="418"/>
      <c r="EJ204" s="418"/>
      <c r="EK204" s="418"/>
      <c r="EL204" s="418"/>
      <c r="EM204" s="418"/>
      <c r="EN204" s="418"/>
      <c r="EO204" s="418"/>
      <c r="EP204" s="418"/>
      <c r="EQ204" s="418"/>
      <c r="ER204" s="418"/>
      <c r="ES204" s="418"/>
      <c r="ET204" s="418"/>
      <c r="EU204" s="418"/>
      <c r="EV204" s="418"/>
      <c r="EW204" s="418"/>
      <c r="EX204" s="418"/>
      <c r="EY204" s="418"/>
      <c r="EZ204" s="418"/>
      <c r="FA204" s="418"/>
      <c r="FB204" s="418"/>
      <c r="FC204" s="418"/>
      <c r="FD204" s="418"/>
      <c r="FE204" s="418"/>
      <c r="FF204" s="418"/>
      <c r="FG204" s="418"/>
      <c r="FH204" s="418"/>
      <c r="FI204" s="418"/>
      <c r="FJ204" s="418"/>
      <c r="FK204" s="418"/>
      <c r="FL204" s="418"/>
      <c r="FM204" s="418"/>
      <c r="FN204" s="418"/>
      <c r="FO204" s="418"/>
      <c r="FP204" s="418"/>
      <c r="FQ204" s="418"/>
      <c r="FR204" s="418"/>
      <c r="FS204" s="418"/>
      <c r="FT204" s="418"/>
      <c r="FU204" s="418"/>
      <c r="FV204" s="418"/>
      <c r="FW204" s="418"/>
      <c r="FX204" s="418"/>
      <c r="FY204" s="418"/>
      <c r="FZ204" s="418"/>
      <c r="GA204" s="418"/>
      <c r="GB204" s="418"/>
      <c r="GC204" s="418"/>
      <c r="GD204" s="418"/>
      <c r="GE204" s="418"/>
      <c r="GF204" s="418"/>
      <c r="GG204" s="418"/>
      <c r="GH204" s="418"/>
      <c r="GI204" s="418"/>
      <c r="GJ204" s="418"/>
      <c r="GK204" s="418"/>
      <c r="GL204" s="418"/>
      <c r="GM204" s="418"/>
      <c r="GN204" s="418"/>
      <c r="GO204" s="418"/>
      <c r="GP204" s="418"/>
      <c r="GQ204" s="418"/>
      <c r="GR204" s="418"/>
      <c r="GS204" s="418"/>
      <c r="GT204" s="418"/>
      <c r="GU204" s="418"/>
      <c r="GV204" s="418"/>
      <c r="GW204" s="418"/>
      <c r="GX204" s="418"/>
      <c r="GY204" s="418"/>
      <c r="GZ204" s="418"/>
      <c r="HA204" s="418"/>
      <c r="HB204" s="418"/>
      <c r="HC204" s="418"/>
      <c r="HD204" s="418"/>
      <c r="HE204" s="418"/>
      <c r="HF204" s="418"/>
      <c r="HG204" s="418"/>
      <c r="HH204" s="418"/>
      <c r="HI204" s="418"/>
      <c r="HJ204" s="418"/>
      <c r="HK204" s="418"/>
      <c r="HL204" s="418"/>
      <c r="HM204" s="418"/>
      <c r="HN204" s="418"/>
      <c r="HO204" s="418"/>
      <c r="HP204" s="418"/>
      <c r="HQ204" s="418"/>
      <c r="HR204" s="418"/>
      <c r="HS204" s="418"/>
      <c r="HT204" s="418"/>
      <c r="HU204" s="418"/>
      <c r="HV204" s="418"/>
      <c r="HW204" s="418"/>
      <c r="HX204" s="418"/>
      <c r="HY204" s="418"/>
      <c r="HZ204" s="418"/>
      <c r="IA204" s="418"/>
      <c r="IB204" s="418"/>
      <c r="IC204" s="418"/>
      <c r="ID204" s="418"/>
      <c r="IE204" s="418"/>
      <c r="IF204" s="418"/>
      <c r="IG204" s="418"/>
      <c r="IH204" s="418"/>
      <c r="II204" s="418"/>
      <c r="IJ204" s="418"/>
      <c r="IK204" s="418"/>
      <c r="IL204" s="418"/>
      <c r="IM204" s="418"/>
      <c r="IN204" s="418"/>
      <c r="IO204" s="418"/>
      <c r="IP204" s="418"/>
      <c r="IQ204" s="418"/>
      <c r="IR204" s="418"/>
      <c r="IS204" s="418"/>
      <c r="IT204" s="418"/>
      <c r="IU204" s="418"/>
      <c r="IV204" s="418"/>
      <c r="IW204" s="418"/>
      <c r="IX204" s="418"/>
      <c r="IY204" s="418"/>
      <c r="IZ204" s="418"/>
      <c r="JA204" s="418"/>
      <c r="JB204" s="418"/>
    </row>
    <row r="205" spans="1:262" s="758" customFormat="1" ht="21.95" customHeight="1" thickTop="1" thickBot="1" x14ac:dyDescent="0.4">
      <c r="A205" s="773">
        <v>195</v>
      </c>
      <c r="B205" s="2012"/>
      <c r="C205" s="1082"/>
      <c r="D205" s="1545" t="s">
        <v>1212</v>
      </c>
      <c r="E205" s="1083">
        <f>E201+E183</f>
        <v>97341</v>
      </c>
      <c r="F205" s="1083"/>
      <c r="G205" s="2045"/>
      <c r="H205" s="1084"/>
      <c r="I205" s="1088"/>
      <c r="J205" s="1088"/>
      <c r="K205" s="1088"/>
      <c r="L205" s="1088"/>
      <c r="M205" s="1088"/>
      <c r="N205" s="1088"/>
      <c r="O205" s="1088"/>
      <c r="P205" s="2046"/>
      <c r="Q205" s="2047"/>
      <c r="R205" s="418"/>
      <c r="S205" s="418"/>
      <c r="T205" s="418"/>
      <c r="U205" s="418"/>
      <c r="V205" s="418"/>
      <c r="W205" s="418"/>
      <c r="X205" s="418"/>
      <c r="Y205" s="418"/>
      <c r="Z205" s="418"/>
      <c r="AA205" s="418"/>
      <c r="AB205" s="418"/>
      <c r="AC205" s="418"/>
      <c r="AD205" s="418"/>
      <c r="AE205" s="418"/>
      <c r="AF205" s="418"/>
      <c r="AG205" s="418"/>
      <c r="AH205" s="418"/>
      <c r="AI205" s="418"/>
      <c r="AJ205" s="418"/>
      <c r="AK205" s="418"/>
      <c r="AL205" s="418"/>
      <c r="AM205" s="418"/>
      <c r="AN205" s="418"/>
      <c r="AO205" s="418"/>
      <c r="AP205" s="418"/>
      <c r="AQ205" s="418"/>
      <c r="AR205" s="418"/>
      <c r="AS205" s="418"/>
      <c r="AT205" s="418"/>
      <c r="AU205" s="418"/>
      <c r="AV205" s="418"/>
      <c r="AW205" s="418"/>
      <c r="AX205" s="418"/>
      <c r="AY205" s="418"/>
      <c r="AZ205" s="418"/>
      <c r="BA205" s="418"/>
      <c r="BB205" s="418"/>
      <c r="BC205" s="418"/>
      <c r="BD205" s="418"/>
      <c r="BE205" s="418"/>
      <c r="BF205" s="418"/>
      <c r="BG205" s="418"/>
      <c r="BH205" s="418"/>
      <c r="BI205" s="418"/>
      <c r="BJ205" s="418"/>
      <c r="BK205" s="418"/>
      <c r="BL205" s="418"/>
      <c r="BM205" s="418"/>
      <c r="BN205" s="418"/>
      <c r="BO205" s="418"/>
      <c r="BP205" s="418"/>
      <c r="BQ205" s="418"/>
      <c r="BR205" s="418"/>
      <c r="BS205" s="418"/>
      <c r="BT205" s="418"/>
      <c r="BU205" s="418"/>
      <c r="BV205" s="418"/>
      <c r="BW205" s="418"/>
      <c r="BX205" s="418"/>
      <c r="BY205" s="418"/>
      <c r="BZ205" s="418"/>
      <c r="CA205" s="418"/>
      <c r="CB205" s="418"/>
      <c r="CC205" s="418"/>
      <c r="CD205" s="418"/>
      <c r="CE205" s="418"/>
      <c r="CF205" s="418"/>
      <c r="CG205" s="418"/>
      <c r="CH205" s="418"/>
      <c r="CI205" s="418"/>
      <c r="CJ205" s="418"/>
      <c r="CK205" s="418"/>
      <c r="CL205" s="418"/>
      <c r="CM205" s="418"/>
      <c r="CN205" s="418"/>
      <c r="CO205" s="418"/>
      <c r="CP205" s="418"/>
      <c r="CQ205" s="418"/>
      <c r="CR205" s="418"/>
      <c r="CS205" s="418"/>
      <c r="CT205" s="418"/>
      <c r="CU205" s="418"/>
      <c r="CV205" s="418"/>
      <c r="CW205" s="418"/>
      <c r="CX205" s="418"/>
      <c r="CY205" s="418"/>
      <c r="CZ205" s="418"/>
      <c r="DA205" s="418"/>
      <c r="DB205" s="418"/>
      <c r="DC205" s="418"/>
      <c r="DD205" s="418"/>
      <c r="DE205" s="418"/>
      <c r="DF205" s="418"/>
      <c r="DG205" s="418"/>
      <c r="DH205" s="418"/>
      <c r="DI205" s="418"/>
      <c r="DJ205" s="418"/>
      <c r="DK205" s="418"/>
      <c r="DL205" s="418"/>
      <c r="DM205" s="418"/>
      <c r="DN205" s="418"/>
      <c r="DO205" s="418"/>
      <c r="DP205" s="418"/>
      <c r="DQ205" s="418"/>
      <c r="DR205" s="418"/>
      <c r="DS205" s="418"/>
      <c r="DT205" s="418"/>
      <c r="DU205" s="418"/>
      <c r="DV205" s="418"/>
      <c r="DW205" s="418"/>
      <c r="DX205" s="418"/>
      <c r="DY205" s="418"/>
      <c r="DZ205" s="418"/>
      <c r="EA205" s="418"/>
      <c r="EB205" s="418"/>
      <c r="EC205" s="418"/>
      <c r="ED205" s="418"/>
      <c r="EE205" s="418"/>
      <c r="EF205" s="418"/>
      <c r="EG205" s="418"/>
      <c r="EH205" s="418"/>
      <c r="EI205" s="418"/>
      <c r="EJ205" s="418"/>
      <c r="EK205" s="418"/>
      <c r="EL205" s="418"/>
      <c r="EM205" s="418"/>
      <c r="EN205" s="418"/>
      <c r="EO205" s="418"/>
      <c r="EP205" s="418"/>
      <c r="EQ205" s="418"/>
      <c r="ER205" s="418"/>
      <c r="ES205" s="418"/>
      <c r="ET205" s="418"/>
      <c r="EU205" s="418"/>
      <c r="EV205" s="418"/>
      <c r="EW205" s="418"/>
      <c r="EX205" s="418"/>
      <c r="EY205" s="418"/>
      <c r="EZ205" s="418"/>
      <c r="FA205" s="418"/>
      <c r="FB205" s="418"/>
      <c r="FC205" s="418"/>
      <c r="FD205" s="418"/>
      <c r="FE205" s="418"/>
      <c r="FF205" s="418"/>
      <c r="FG205" s="418"/>
      <c r="FH205" s="418"/>
      <c r="FI205" s="418"/>
      <c r="FJ205" s="418"/>
      <c r="FK205" s="418"/>
      <c r="FL205" s="418"/>
      <c r="FM205" s="418"/>
      <c r="FN205" s="418"/>
      <c r="FO205" s="418"/>
      <c r="FP205" s="418"/>
      <c r="FQ205" s="418"/>
      <c r="FR205" s="418"/>
      <c r="FS205" s="418"/>
      <c r="FT205" s="418"/>
      <c r="FU205" s="418"/>
      <c r="FV205" s="418"/>
      <c r="FW205" s="418"/>
      <c r="FX205" s="418"/>
      <c r="FY205" s="418"/>
      <c r="FZ205" s="418"/>
      <c r="GA205" s="418"/>
      <c r="GB205" s="418"/>
      <c r="GC205" s="418"/>
      <c r="GD205" s="418"/>
      <c r="GE205" s="418"/>
      <c r="GF205" s="418"/>
      <c r="GG205" s="418"/>
      <c r="GH205" s="418"/>
      <c r="GI205" s="418"/>
      <c r="GJ205" s="418"/>
      <c r="GK205" s="418"/>
      <c r="GL205" s="418"/>
      <c r="GM205" s="418"/>
      <c r="GN205" s="418"/>
      <c r="GO205" s="418"/>
      <c r="GP205" s="418"/>
      <c r="GQ205" s="418"/>
      <c r="GR205" s="418"/>
      <c r="GS205" s="418"/>
      <c r="GT205" s="418"/>
      <c r="GU205" s="418"/>
      <c r="GV205" s="418"/>
      <c r="GW205" s="418"/>
      <c r="GX205" s="418"/>
      <c r="GY205" s="418"/>
      <c r="GZ205" s="418"/>
      <c r="HA205" s="418"/>
      <c r="HB205" s="418"/>
      <c r="HC205" s="418"/>
      <c r="HD205" s="418"/>
      <c r="HE205" s="418"/>
      <c r="HF205" s="418"/>
      <c r="HG205" s="418"/>
      <c r="HH205" s="418"/>
      <c r="HI205" s="418"/>
      <c r="HJ205" s="418"/>
      <c r="HK205" s="418"/>
      <c r="HL205" s="418"/>
      <c r="HM205" s="418"/>
      <c r="HN205" s="418"/>
      <c r="HO205" s="418"/>
      <c r="HP205" s="418"/>
      <c r="HQ205" s="418"/>
      <c r="HR205" s="418"/>
      <c r="HS205" s="418"/>
      <c r="HT205" s="418"/>
      <c r="HU205" s="418"/>
      <c r="HV205" s="418"/>
      <c r="HW205" s="418"/>
      <c r="HX205" s="418"/>
      <c r="HY205" s="418"/>
      <c r="HZ205" s="418"/>
      <c r="IA205" s="418"/>
      <c r="IB205" s="418"/>
      <c r="IC205" s="418"/>
      <c r="ID205" s="418"/>
      <c r="IE205" s="418"/>
      <c r="IF205" s="418"/>
      <c r="IG205" s="418"/>
      <c r="IH205" s="418"/>
      <c r="II205" s="418"/>
      <c r="IJ205" s="418"/>
      <c r="IK205" s="418"/>
      <c r="IL205" s="418"/>
      <c r="IM205" s="418"/>
      <c r="IN205" s="418"/>
      <c r="IO205" s="418"/>
      <c r="IP205" s="418"/>
      <c r="IQ205" s="418"/>
      <c r="IR205" s="418"/>
      <c r="IS205" s="418"/>
      <c r="IT205" s="418"/>
      <c r="IU205" s="418"/>
      <c r="IV205" s="418"/>
      <c r="IW205" s="418"/>
      <c r="IX205" s="418"/>
      <c r="IY205" s="418"/>
      <c r="IZ205" s="418"/>
      <c r="JA205" s="418"/>
      <c r="JB205" s="418"/>
    </row>
    <row r="206" spans="1:262" s="758" customFormat="1" ht="21.95" customHeight="1" x14ac:dyDescent="0.35">
      <c r="A206" s="773">
        <v>196</v>
      </c>
      <c r="B206" s="2012"/>
      <c r="C206" s="1548"/>
      <c r="D206" s="576" t="s">
        <v>1158</v>
      </c>
      <c r="E206" s="427"/>
      <c r="F206" s="1519"/>
      <c r="G206" s="1023"/>
      <c r="H206" s="1498"/>
      <c r="I206" s="2003">
        <f>I184</f>
        <v>12374</v>
      </c>
      <c r="J206" s="2003">
        <f t="shared" ref="J206:O206" si="26">J184</f>
        <v>1851</v>
      </c>
      <c r="K206" s="2003">
        <f>K184</f>
        <v>80616</v>
      </c>
      <c r="L206" s="2003">
        <f t="shared" si="26"/>
        <v>0</v>
      </c>
      <c r="M206" s="2003">
        <f t="shared" si="26"/>
        <v>0</v>
      </c>
      <c r="N206" s="2003">
        <f>N184+N202</f>
        <v>2500</v>
      </c>
      <c r="O206" s="2003">
        <f t="shared" si="26"/>
        <v>0</v>
      </c>
      <c r="P206" s="772">
        <f t="shared" ref="P206" si="27">SUM(I206:O206)</f>
        <v>97341</v>
      </c>
      <c r="Q206" s="2004"/>
      <c r="R206" s="418"/>
      <c r="S206" s="418"/>
      <c r="T206" s="418"/>
      <c r="U206" s="418"/>
      <c r="V206" s="418"/>
      <c r="W206" s="418"/>
      <c r="X206" s="418"/>
      <c r="Y206" s="418"/>
      <c r="Z206" s="418"/>
      <c r="AA206" s="418"/>
      <c r="AB206" s="418"/>
      <c r="AC206" s="418"/>
      <c r="AD206" s="418"/>
      <c r="AE206" s="418"/>
      <c r="AF206" s="418"/>
      <c r="AG206" s="418"/>
      <c r="AH206" s="418"/>
      <c r="AI206" s="418"/>
      <c r="AJ206" s="418"/>
      <c r="AK206" s="418"/>
      <c r="AL206" s="418"/>
      <c r="AM206" s="418"/>
      <c r="AN206" s="418"/>
      <c r="AO206" s="418"/>
      <c r="AP206" s="418"/>
      <c r="AQ206" s="418"/>
      <c r="AR206" s="418"/>
      <c r="AS206" s="418"/>
      <c r="AT206" s="418"/>
      <c r="AU206" s="418"/>
      <c r="AV206" s="418"/>
      <c r="AW206" s="418"/>
      <c r="AX206" s="418"/>
      <c r="AY206" s="418"/>
      <c r="AZ206" s="418"/>
      <c r="BA206" s="418"/>
      <c r="BB206" s="418"/>
      <c r="BC206" s="418"/>
      <c r="BD206" s="418"/>
      <c r="BE206" s="418"/>
      <c r="BF206" s="418"/>
      <c r="BG206" s="418"/>
      <c r="BH206" s="418"/>
      <c r="BI206" s="418"/>
      <c r="BJ206" s="418"/>
      <c r="BK206" s="418"/>
      <c r="BL206" s="418"/>
      <c r="BM206" s="418"/>
      <c r="BN206" s="418"/>
      <c r="BO206" s="418"/>
      <c r="BP206" s="418"/>
      <c r="BQ206" s="418"/>
      <c r="BR206" s="418"/>
      <c r="BS206" s="418"/>
      <c r="BT206" s="418"/>
      <c r="BU206" s="418"/>
      <c r="BV206" s="418"/>
      <c r="BW206" s="418"/>
      <c r="BX206" s="418"/>
      <c r="BY206" s="418"/>
      <c r="BZ206" s="418"/>
      <c r="CA206" s="418"/>
      <c r="CB206" s="418"/>
      <c r="CC206" s="418"/>
      <c r="CD206" s="418"/>
      <c r="CE206" s="418"/>
      <c r="CF206" s="418"/>
      <c r="CG206" s="418"/>
      <c r="CH206" s="418"/>
      <c r="CI206" s="418"/>
      <c r="CJ206" s="418"/>
      <c r="CK206" s="418"/>
      <c r="CL206" s="418"/>
      <c r="CM206" s="418"/>
      <c r="CN206" s="418"/>
      <c r="CO206" s="418"/>
      <c r="CP206" s="418"/>
      <c r="CQ206" s="418"/>
      <c r="CR206" s="418"/>
      <c r="CS206" s="418"/>
      <c r="CT206" s="418"/>
      <c r="CU206" s="418"/>
      <c r="CV206" s="418"/>
      <c r="CW206" s="418"/>
      <c r="CX206" s="418"/>
      <c r="CY206" s="418"/>
      <c r="CZ206" s="418"/>
      <c r="DA206" s="418"/>
      <c r="DB206" s="418"/>
      <c r="DC206" s="418"/>
      <c r="DD206" s="418"/>
      <c r="DE206" s="418"/>
      <c r="DF206" s="418"/>
      <c r="DG206" s="418"/>
      <c r="DH206" s="418"/>
      <c r="DI206" s="418"/>
      <c r="DJ206" s="418"/>
      <c r="DK206" s="418"/>
      <c r="DL206" s="418"/>
      <c r="DM206" s="418"/>
      <c r="DN206" s="418"/>
      <c r="DO206" s="418"/>
      <c r="DP206" s="418"/>
      <c r="DQ206" s="418"/>
      <c r="DR206" s="418"/>
      <c r="DS206" s="418"/>
      <c r="DT206" s="418"/>
      <c r="DU206" s="418"/>
      <c r="DV206" s="418"/>
      <c r="DW206" s="418"/>
      <c r="DX206" s="418"/>
      <c r="DY206" s="418"/>
      <c r="DZ206" s="418"/>
      <c r="EA206" s="418"/>
      <c r="EB206" s="418"/>
      <c r="EC206" s="418"/>
      <c r="ED206" s="418"/>
      <c r="EE206" s="418"/>
      <c r="EF206" s="418"/>
      <c r="EG206" s="418"/>
      <c r="EH206" s="418"/>
      <c r="EI206" s="418"/>
      <c r="EJ206" s="418"/>
      <c r="EK206" s="418"/>
      <c r="EL206" s="418"/>
      <c r="EM206" s="418"/>
      <c r="EN206" s="418"/>
      <c r="EO206" s="418"/>
      <c r="EP206" s="418"/>
      <c r="EQ206" s="418"/>
      <c r="ER206" s="418"/>
      <c r="ES206" s="418"/>
      <c r="ET206" s="418"/>
      <c r="EU206" s="418"/>
      <c r="EV206" s="418"/>
      <c r="EW206" s="418"/>
      <c r="EX206" s="418"/>
      <c r="EY206" s="418"/>
      <c r="EZ206" s="418"/>
      <c r="FA206" s="418"/>
      <c r="FB206" s="418"/>
      <c r="FC206" s="418"/>
      <c r="FD206" s="418"/>
      <c r="FE206" s="418"/>
      <c r="FF206" s="418"/>
      <c r="FG206" s="418"/>
      <c r="FH206" s="418"/>
      <c r="FI206" s="418"/>
      <c r="FJ206" s="418"/>
      <c r="FK206" s="418"/>
      <c r="FL206" s="418"/>
      <c r="FM206" s="418"/>
      <c r="FN206" s="418"/>
      <c r="FO206" s="418"/>
      <c r="FP206" s="418"/>
      <c r="FQ206" s="418"/>
      <c r="FR206" s="418"/>
      <c r="FS206" s="418"/>
      <c r="FT206" s="418"/>
      <c r="FU206" s="418"/>
      <c r="FV206" s="418"/>
      <c r="FW206" s="418"/>
      <c r="FX206" s="418"/>
      <c r="FY206" s="418"/>
      <c r="FZ206" s="418"/>
      <c r="GA206" s="418"/>
      <c r="GB206" s="418"/>
      <c r="GC206" s="418"/>
      <c r="GD206" s="418"/>
      <c r="GE206" s="418"/>
      <c r="GF206" s="418"/>
      <c r="GG206" s="418"/>
      <c r="GH206" s="418"/>
      <c r="GI206" s="418"/>
      <c r="GJ206" s="418"/>
      <c r="GK206" s="418"/>
      <c r="GL206" s="418"/>
      <c r="GM206" s="418"/>
      <c r="GN206" s="418"/>
      <c r="GO206" s="418"/>
      <c r="GP206" s="418"/>
      <c r="GQ206" s="418"/>
      <c r="GR206" s="418"/>
      <c r="GS206" s="418"/>
      <c r="GT206" s="418"/>
      <c r="GU206" s="418"/>
      <c r="GV206" s="418"/>
      <c r="GW206" s="418"/>
      <c r="GX206" s="418"/>
      <c r="GY206" s="418"/>
      <c r="GZ206" s="418"/>
      <c r="HA206" s="418"/>
      <c r="HB206" s="418"/>
      <c r="HC206" s="418"/>
      <c r="HD206" s="418"/>
      <c r="HE206" s="418"/>
      <c r="HF206" s="418"/>
      <c r="HG206" s="418"/>
      <c r="HH206" s="418"/>
      <c r="HI206" s="418"/>
      <c r="HJ206" s="418"/>
      <c r="HK206" s="418"/>
      <c r="HL206" s="418"/>
      <c r="HM206" s="418"/>
      <c r="HN206" s="418"/>
      <c r="HO206" s="418"/>
      <c r="HP206" s="418"/>
      <c r="HQ206" s="418"/>
      <c r="HR206" s="418"/>
      <c r="HS206" s="418"/>
      <c r="HT206" s="418"/>
      <c r="HU206" s="418"/>
      <c r="HV206" s="418"/>
      <c r="HW206" s="418"/>
      <c r="HX206" s="418"/>
      <c r="HY206" s="418"/>
      <c r="HZ206" s="418"/>
      <c r="IA206" s="418"/>
      <c r="IB206" s="418"/>
      <c r="IC206" s="418"/>
      <c r="ID206" s="418"/>
      <c r="IE206" s="418"/>
      <c r="IF206" s="418"/>
      <c r="IG206" s="418"/>
      <c r="IH206" s="418"/>
      <c r="II206" s="418"/>
      <c r="IJ206" s="418"/>
      <c r="IK206" s="418"/>
      <c r="IL206" s="418"/>
      <c r="IM206" s="418"/>
      <c r="IN206" s="418"/>
      <c r="IO206" s="418"/>
      <c r="IP206" s="418"/>
      <c r="IQ206" s="418"/>
      <c r="IR206" s="418"/>
      <c r="IS206" s="418"/>
      <c r="IT206" s="418"/>
      <c r="IU206" s="418"/>
      <c r="IV206" s="418"/>
      <c r="IW206" s="418"/>
      <c r="IX206" s="418"/>
      <c r="IY206" s="418"/>
      <c r="IZ206" s="418"/>
      <c r="JA206" s="418"/>
      <c r="JB206" s="418"/>
    </row>
    <row r="207" spans="1:262" s="758" customFormat="1" ht="21.95" customHeight="1" x14ac:dyDescent="0.35">
      <c r="A207" s="773">
        <v>197</v>
      </c>
      <c r="B207" s="2012"/>
      <c r="C207" s="420"/>
      <c r="D207" s="1458" t="s">
        <v>947</v>
      </c>
      <c r="E207" s="427"/>
      <c r="F207" s="430"/>
      <c r="G207" s="2006"/>
      <c r="H207" s="999"/>
      <c r="I207" s="1773">
        <f t="shared" ref="I207:O207" si="28">I185+I203</f>
        <v>0</v>
      </c>
      <c r="J207" s="1773">
        <f t="shared" si="28"/>
        <v>0</v>
      </c>
      <c r="K207" s="1773">
        <f t="shared" si="28"/>
        <v>0</v>
      </c>
      <c r="L207" s="1773">
        <f t="shared" si="28"/>
        <v>0</v>
      </c>
      <c r="M207" s="1773">
        <f t="shared" si="28"/>
        <v>0</v>
      </c>
      <c r="N207" s="1773">
        <f t="shared" si="28"/>
        <v>0</v>
      </c>
      <c r="O207" s="1773">
        <f t="shared" si="28"/>
        <v>0</v>
      </c>
      <c r="P207" s="772">
        <f>SUM(I207:O207)</f>
        <v>0</v>
      </c>
      <c r="Q207" s="1552"/>
      <c r="R207" s="418"/>
      <c r="S207" s="418"/>
      <c r="T207" s="418"/>
      <c r="U207" s="418"/>
      <c r="V207" s="418"/>
      <c r="W207" s="418"/>
      <c r="X207" s="418"/>
      <c r="Y207" s="418"/>
      <c r="Z207" s="418"/>
      <c r="AA207" s="418"/>
      <c r="AB207" s="418"/>
      <c r="AC207" s="418"/>
      <c r="AD207" s="418"/>
      <c r="AE207" s="418"/>
      <c r="AF207" s="418"/>
      <c r="AG207" s="418"/>
      <c r="AH207" s="418"/>
      <c r="AI207" s="418"/>
      <c r="AJ207" s="418"/>
      <c r="AK207" s="418"/>
      <c r="AL207" s="418"/>
      <c r="AM207" s="418"/>
      <c r="AN207" s="418"/>
      <c r="AO207" s="418"/>
      <c r="AP207" s="418"/>
      <c r="AQ207" s="418"/>
      <c r="AR207" s="418"/>
      <c r="AS207" s="418"/>
      <c r="AT207" s="418"/>
      <c r="AU207" s="418"/>
      <c r="AV207" s="418"/>
      <c r="AW207" s="418"/>
      <c r="AX207" s="418"/>
      <c r="AY207" s="418"/>
      <c r="AZ207" s="418"/>
      <c r="BA207" s="418"/>
      <c r="BB207" s="418"/>
      <c r="BC207" s="418"/>
      <c r="BD207" s="418"/>
      <c r="BE207" s="418"/>
      <c r="BF207" s="418"/>
      <c r="BG207" s="418"/>
      <c r="BH207" s="418"/>
      <c r="BI207" s="418"/>
      <c r="BJ207" s="418"/>
      <c r="BK207" s="418"/>
      <c r="BL207" s="418"/>
      <c r="BM207" s="418"/>
      <c r="BN207" s="418"/>
      <c r="BO207" s="418"/>
      <c r="BP207" s="418"/>
      <c r="BQ207" s="418"/>
      <c r="BR207" s="418"/>
      <c r="BS207" s="418"/>
      <c r="BT207" s="418"/>
      <c r="BU207" s="418"/>
      <c r="BV207" s="418"/>
      <c r="BW207" s="418"/>
      <c r="BX207" s="418"/>
      <c r="BY207" s="418"/>
      <c r="BZ207" s="418"/>
      <c r="CA207" s="418"/>
      <c r="CB207" s="418"/>
      <c r="CC207" s="418"/>
      <c r="CD207" s="418"/>
      <c r="CE207" s="418"/>
      <c r="CF207" s="418"/>
      <c r="CG207" s="418"/>
      <c r="CH207" s="418"/>
      <c r="CI207" s="418"/>
      <c r="CJ207" s="418"/>
      <c r="CK207" s="418"/>
      <c r="CL207" s="418"/>
      <c r="CM207" s="418"/>
      <c r="CN207" s="418"/>
      <c r="CO207" s="418"/>
      <c r="CP207" s="418"/>
      <c r="CQ207" s="418"/>
      <c r="CR207" s="418"/>
      <c r="CS207" s="418"/>
      <c r="CT207" s="418"/>
      <c r="CU207" s="418"/>
      <c r="CV207" s="418"/>
      <c r="CW207" s="418"/>
      <c r="CX207" s="418"/>
      <c r="CY207" s="418"/>
      <c r="CZ207" s="418"/>
      <c r="DA207" s="418"/>
      <c r="DB207" s="418"/>
      <c r="DC207" s="418"/>
      <c r="DD207" s="418"/>
      <c r="DE207" s="418"/>
      <c r="DF207" s="418"/>
      <c r="DG207" s="418"/>
      <c r="DH207" s="418"/>
      <c r="DI207" s="418"/>
      <c r="DJ207" s="418"/>
      <c r="DK207" s="418"/>
      <c r="DL207" s="418"/>
      <c r="DM207" s="418"/>
      <c r="DN207" s="418"/>
      <c r="DO207" s="418"/>
      <c r="DP207" s="418"/>
      <c r="DQ207" s="418"/>
      <c r="DR207" s="418"/>
      <c r="DS207" s="418"/>
      <c r="DT207" s="418"/>
      <c r="DU207" s="418"/>
      <c r="DV207" s="418"/>
      <c r="DW207" s="418"/>
      <c r="DX207" s="418"/>
      <c r="DY207" s="418"/>
      <c r="DZ207" s="418"/>
      <c r="EA207" s="418"/>
      <c r="EB207" s="418"/>
      <c r="EC207" s="418"/>
      <c r="ED207" s="418"/>
      <c r="EE207" s="418"/>
      <c r="EF207" s="418"/>
      <c r="EG207" s="418"/>
      <c r="EH207" s="418"/>
      <c r="EI207" s="418"/>
      <c r="EJ207" s="418"/>
      <c r="EK207" s="418"/>
      <c r="EL207" s="418"/>
      <c r="EM207" s="418"/>
      <c r="EN207" s="418"/>
      <c r="EO207" s="418"/>
      <c r="EP207" s="418"/>
      <c r="EQ207" s="418"/>
      <c r="ER207" s="418"/>
      <c r="ES207" s="418"/>
      <c r="ET207" s="418"/>
      <c r="EU207" s="418"/>
      <c r="EV207" s="418"/>
      <c r="EW207" s="418"/>
      <c r="EX207" s="418"/>
      <c r="EY207" s="418"/>
      <c r="EZ207" s="418"/>
      <c r="FA207" s="418"/>
      <c r="FB207" s="418"/>
      <c r="FC207" s="418"/>
      <c r="FD207" s="418"/>
      <c r="FE207" s="418"/>
      <c r="FF207" s="418"/>
      <c r="FG207" s="418"/>
      <c r="FH207" s="418"/>
      <c r="FI207" s="418"/>
      <c r="FJ207" s="418"/>
      <c r="FK207" s="418"/>
      <c r="FL207" s="418"/>
      <c r="FM207" s="418"/>
      <c r="FN207" s="418"/>
      <c r="FO207" s="418"/>
      <c r="FP207" s="418"/>
      <c r="FQ207" s="418"/>
      <c r="FR207" s="418"/>
      <c r="FS207" s="418"/>
      <c r="FT207" s="418"/>
      <c r="FU207" s="418"/>
      <c r="FV207" s="418"/>
      <c r="FW207" s="418"/>
      <c r="FX207" s="418"/>
      <c r="FY207" s="418"/>
      <c r="FZ207" s="418"/>
      <c r="GA207" s="418"/>
      <c r="GB207" s="418"/>
      <c r="GC207" s="418"/>
      <c r="GD207" s="418"/>
      <c r="GE207" s="418"/>
      <c r="GF207" s="418"/>
      <c r="GG207" s="418"/>
      <c r="GH207" s="418"/>
      <c r="GI207" s="418"/>
      <c r="GJ207" s="418"/>
      <c r="GK207" s="418"/>
      <c r="GL207" s="418"/>
      <c r="GM207" s="418"/>
      <c r="GN207" s="418"/>
      <c r="GO207" s="418"/>
      <c r="GP207" s="418"/>
      <c r="GQ207" s="418"/>
      <c r="GR207" s="418"/>
      <c r="GS207" s="418"/>
      <c r="GT207" s="418"/>
      <c r="GU207" s="418"/>
      <c r="GV207" s="418"/>
      <c r="GW207" s="418"/>
      <c r="GX207" s="418"/>
      <c r="GY207" s="418"/>
      <c r="GZ207" s="418"/>
      <c r="HA207" s="418"/>
      <c r="HB207" s="418"/>
      <c r="HC207" s="418"/>
      <c r="HD207" s="418"/>
      <c r="HE207" s="418"/>
      <c r="HF207" s="418"/>
      <c r="HG207" s="418"/>
      <c r="HH207" s="418"/>
      <c r="HI207" s="418"/>
      <c r="HJ207" s="418"/>
      <c r="HK207" s="418"/>
      <c r="HL207" s="418"/>
      <c r="HM207" s="418"/>
      <c r="HN207" s="418"/>
      <c r="HO207" s="418"/>
      <c r="HP207" s="418"/>
      <c r="HQ207" s="418"/>
      <c r="HR207" s="418"/>
      <c r="HS207" s="418"/>
      <c r="HT207" s="418"/>
      <c r="HU207" s="418"/>
      <c r="HV207" s="418"/>
      <c r="HW207" s="418"/>
      <c r="HX207" s="418"/>
      <c r="HY207" s="418"/>
      <c r="HZ207" s="418"/>
      <c r="IA207" s="418"/>
      <c r="IB207" s="418"/>
      <c r="IC207" s="418"/>
      <c r="ID207" s="418"/>
      <c r="IE207" s="418"/>
      <c r="IF207" s="418"/>
      <c r="IG207" s="418"/>
      <c r="IH207" s="418"/>
      <c r="II207" s="418"/>
      <c r="IJ207" s="418"/>
      <c r="IK207" s="418"/>
      <c r="IL207" s="418"/>
      <c r="IM207" s="418"/>
      <c r="IN207" s="418"/>
      <c r="IO207" s="418"/>
      <c r="IP207" s="418"/>
      <c r="IQ207" s="418"/>
      <c r="IR207" s="418"/>
      <c r="IS207" s="418"/>
      <c r="IT207" s="418"/>
      <c r="IU207" s="418"/>
      <c r="IV207" s="418"/>
      <c r="IW207" s="418"/>
      <c r="IX207" s="418"/>
      <c r="IY207" s="418"/>
      <c r="IZ207" s="418"/>
      <c r="JA207" s="418"/>
      <c r="JB207" s="418"/>
    </row>
    <row r="208" spans="1:262" s="758" customFormat="1" ht="21.95" customHeight="1" thickBot="1" x14ac:dyDescent="0.4">
      <c r="A208" s="773">
        <v>198</v>
      </c>
      <c r="B208" s="2012"/>
      <c r="C208" s="1501"/>
      <c r="D208" s="1487" t="s">
        <v>1250</v>
      </c>
      <c r="E208" s="2010"/>
      <c r="F208" s="2010"/>
      <c r="G208" s="2048"/>
      <c r="H208" s="2049"/>
      <c r="I208" s="2050">
        <f>SUM(I206:I207)</f>
        <v>12374</v>
      </c>
      <c r="J208" s="2050">
        <f t="shared" ref="J208:O208" si="29">SUM(J206:J207)</f>
        <v>1851</v>
      </c>
      <c r="K208" s="2050">
        <f t="shared" si="29"/>
        <v>80616</v>
      </c>
      <c r="L208" s="2050">
        <f t="shared" si="29"/>
        <v>0</v>
      </c>
      <c r="M208" s="2050">
        <f t="shared" si="29"/>
        <v>0</v>
      </c>
      <c r="N208" s="2050">
        <f t="shared" si="29"/>
        <v>2500</v>
      </c>
      <c r="O208" s="2050">
        <f t="shared" si="29"/>
        <v>0</v>
      </c>
      <c r="P208" s="2051">
        <f>SUM(I208:O208)</f>
        <v>97341</v>
      </c>
      <c r="Q208" s="2052"/>
      <c r="R208" s="418"/>
      <c r="S208" s="418"/>
      <c r="T208" s="418"/>
      <c r="U208" s="418"/>
      <c r="V208" s="418"/>
      <c r="W208" s="418"/>
      <c r="X208" s="418"/>
      <c r="Y208" s="418"/>
      <c r="Z208" s="418"/>
      <c r="AA208" s="418"/>
      <c r="AB208" s="418"/>
      <c r="AC208" s="418"/>
      <c r="AD208" s="418"/>
      <c r="AE208" s="418"/>
      <c r="AF208" s="418"/>
      <c r="AG208" s="418"/>
      <c r="AH208" s="418"/>
      <c r="AI208" s="418"/>
      <c r="AJ208" s="418"/>
      <c r="AK208" s="418"/>
      <c r="AL208" s="418"/>
      <c r="AM208" s="418"/>
      <c r="AN208" s="418"/>
      <c r="AO208" s="418"/>
      <c r="AP208" s="418"/>
      <c r="AQ208" s="418"/>
      <c r="AR208" s="418"/>
      <c r="AS208" s="418"/>
      <c r="AT208" s="418"/>
      <c r="AU208" s="418"/>
      <c r="AV208" s="418"/>
      <c r="AW208" s="418"/>
      <c r="AX208" s="418"/>
      <c r="AY208" s="418"/>
      <c r="AZ208" s="418"/>
      <c r="BA208" s="418"/>
      <c r="BB208" s="418"/>
      <c r="BC208" s="418"/>
      <c r="BD208" s="418"/>
      <c r="BE208" s="418"/>
      <c r="BF208" s="418"/>
      <c r="BG208" s="418"/>
      <c r="BH208" s="418"/>
      <c r="BI208" s="418"/>
      <c r="BJ208" s="418"/>
      <c r="BK208" s="418"/>
      <c r="BL208" s="418"/>
      <c r="BM208" s="418"/>
      <c r="BN208" s="418"/>
      <c r="BO208" s="418"/>
      <c r="BP208" s="418"/>
      <c r="BQ208" s="418"/>
      <c r="BR208" s="418"/>
      <c r="BS208" s="418"/>
      <c r="BT208" s="418"/>
      <c r="BU208" s="418"/>
      <c r="BV208" s="418"/>
      <c r="BW208" s="418"/>
      <c r="BX208" s="418"/>
      <c r="BY208" s="418"/>
      <c r="BZ208" s="418"/>
      <c r="CA208" s="418"/>
      <c r="CB208" s="418"/>
      <c r="CC208" s="418"/>
      <c r="CD208" s="418"/>
      <c r="CE208" s="418"/>
      <c r="CF208" s="418"/>
      <c r="CG208" s="418"/>
      <c r="CH208" s="418"/>
      <c r="CI208" s="418"/>
      <c r="CJ208" s="418"/>
      <c r="CK208" s="418"/>
      <c r="CL208" s="418"/>
      <c r="CM208" s="418"/>
      <c r="CN208" s="418"/>
      <c r="CO208" s="418"/>
      <c r="CP208" s="418"/>
      <c r="CQ208" s="418"/>
      <c r="CR208" s="418"/>
      <c r="CS208" s="418"/>
      <c r="CT208" s="418"/>
      <c r="CU208" s="418"/>
      <c r="CV208" s="418"/>
      <c r="CW208" s="418"/>
      <c r="CX208" s="418"/>
      <c r="CY208" s="418"/>
      <c r="CZ208" s="418"/>
      <c r="DA208" s="418"/>
      <c r="DB208" s="418"/>
      <c r="DC208" s="418"/>
      <c r="DD208" s="418"/>
      <c r="DE208" s="418"/>
      <c r="DF208" s="418"/>
      <c r="DG208" s="418"/>
      <c r="DH208" s="418"/>
      <c r="DI208" s="418"/>
      <c r="DJ208" s="418"/>
      <c r="DK208" s="418"/>
      <c r="DL208" s="418"/>
      <c r="DM208" s="418"/>
      <c r="DN208" s="418"/>
      <c r="DO208" s="418"/>
      <c r="DP208" s="418"/>
      <c r="DQ208" s="418"/>
      <c r="DR208" s="418"/>
      <c r="DS208" s="418"/>
      <c r="DT208" s="418"/>
      <c r="DU208" s="418"/>
      <c r="DV208" s="418"/>
      <c r="DW208" s="418"/>
      <c r="DX208" s="418"/>
      <c r="DY208" s="418"/>
      <c r="DZ208" s="418"/>
      <c r="EA208" s="418"/>
      <c r="EB208" s="418"/>
      <c r="EC208" s="418"/>
      <c r="ED208" s="418"/>
      <c r="EE208" s="418"/>
      <c r="EF208" s="418"/>
      <c r="EG208" s="418"/>
      <c r="EH208" s="418"/>
      <c r="EI208" s="418"/>
      <c r="EJ208" s="418"/>
      <c r="EK208" s="418"/>
      <c r="EL208" s="418"/>
      <c r="EM208" s="418"/>
      <c r="EN208" s="418"/>
      <c r="EO208" s="418"/>
      <c r="EP208" s="418"/>
      <c r="EQ208" s="418"/>
      <c r="ER208" s="418"/>
      <c r="ES208" s="418"/>
      <c r="ET208" s="418"/>
      <c r="EU208" s="418"/>
      <c r="EV208" s="418"/>
      <c r="EW208" s="418"/>
      <c r="EX208" s="418"/>
      <c r="EY208" s="418"/>
      <c r="EZ208" s="418"/>
      <c r="FA208" s="418"/>
      <c r="FB208" s="418"/>
      <c r="FC208" s="418"/>
      <c r="FD208" s="418"/>
      <c r="FE208" s="418"/>
      <c r="FF208" s="418"/>
      <c r="FG208" s="418"/>
      <c r="FH208" s="418"/>
      <c r="FI208" s="418"/>
      <c r="FJ208" s="418"/>
      <c r="FK208" s="418"/>
      <c r="FL208" s="418"/>
      <c r="FM208" s="418"/>
      <c r="FN208" s="418"/>
      <c r="FO208" s="418"/>
      <c r="FP208" s="418"/>
      <c r="FQ208" s="418"/>
      <c r="FR208" s="418"/>
      <c r="FS208" s="418"/>
      <c r="FT208" s="418"/>
      <c r="FU208" s="418"/>
      <c r="FV208" s="418"/>
      <c r="FW208" s="418"/>
      <c r="FX208" s="418"/>
      <c r="FY208" s="418"/>
      <c r="FZ208" s="418"/>
      <c r="GA208" s="418"/>
      <c r="GB208" s="418"/>
      <c r="GC208" s="418"/>
      <c r="GD208" s="418"/>
      <c r="GE208" s="418"/>
      <c r="GF208" s="418"/>
      <c r="GG208" s="418"/>
      <c r="GH208" s="418"/>
      <c r="GI208" s="418"/>
      <c r="GJ208" s="418"/>
      <c r="GK208" s="418"/>
      <c r="GL208" s="418"/>
      <c r="GM208" s="418"/>
      <c r="GN208" s="418"/>
      <c r="GO208" s="418"/>
      <c r="GP208" s="418"/>
      <c r="GQ208" s="418"/>
      <c r="GR208" s="418"/>
      <c r="GS208" s="418"/>
      <c r="GT208" s="418"/>
      <c r="GU208" s="418"/>
      <c r="GV208" s="418"/>
      <c r="GW208" s="418"/>
      <c r="GX208" s="418"/>
      <c r="GY208" s="418"/>
      <c r="GZ208" s="418"/>
      <c r="HA208" s="418"/>
      <c r="HB208" s="418"/>
      <c r="HC208" s="418"/>
      <c r="HD208" s="418"/>
      <c r="HE208" s="418"/>
      <c r="HF208" s="418"/>
      <c r="HG208" s="418"/>
      <c r="HH208" s="418"/>
      <c r="HI208" s="418"/>
      <c r="HJ208" s="418"/>
      <c r="HK208" s="418"/>
      <c r="HL208" s="418"/>
      <c r="HM208" s="418"/>
      <c r="HN208" s="418"/>
      <c r="HO208" s="418"/>
      <c r="HP208" s="418"/>
      <c r="HQ208" s="418"/>
      <c r="HR208" s="418"/>
      <c r="HS208" s="418"/>
      <c r="HT208" s="418"/>
      <c r="HU208" s="418"/>
      <c r="HV208" s="418"/>
      <c r="HW208" s="418"/>
      <c r="HX208" s="418"/>
      <c r="HY208" s="418"/>
      <c r="HZ208" s="418"/>
      <c r="IA208" s="418"/>
      <c r="IB208" s="418"/>
      <c r="IC208" s="418"/>
      <c r="ID208" s="418"/>
      <c r="IE208" s="418"/>
      <c r="IF208" s="418"/>
      <c r="IG208" s="418"/>
      <c r="IH208" s="418"/>
      <c r="II208" s="418"/>
      <c r="IJ208" s="418"/>
      <c r="IK208" s="418"/>
      <c r="IL208" s="418"/>
      <c r="IM208" s="418"/>
      <c r="IN208" s="418"/>
      <c r="IO208" s="418"/>
      <c r="IP208" s="418"/>
      <c r="IQ208" s="418"/>
      <c r="IR208" s="418"/>
      <c r="IS208" s="418"/>
      <c r="IT208" s="418"/>
      <c r="IU208" s="418"/>
      <c r="IV208" s="418"/>
      <c r="IW208" s="418"/>
      <c r="IX208" s="418"/>
      <c r="IY208" s="418"/>
      <c r="IZ208" s="418"/>
      <c r="JA208" s="418"/>
      <c r="JB208" s="418"/>
    </row>
    <row r="209" spans="1:262" s="758" customFormat="1" ht="21.95" customHeight="1" x14ac:dyDescent="0.35">
      <c r="A209" s="773">
        <v>199</v>
      </c>
      <c r="B209" s="2012"/>
      <c r="C209" s="2075">
        <v>4</v>
      </c>
      <c r="D209" s="1064" t="s">
        <v>1272</v>
      </c>
      <c r="E209" s="1519"/>
      <c r="F209" s="1519"/>
      <c r="G209" s="1023"/>
      <c r="H209" s="1498"/>
      <c r="I209" s="2003"/>
      <c r="J209" s="2003"/>
      <c r="K209" s="2003"/>
      <c r="L209" s="2003"/>
      <c r="M209" s="2003"/>
      <c r="N209" s="2003"/>
      <c r="O209" s="2003"/>
      <c r="P209" s="2037"/>
      <c r="Q209" s="2004"/>
      <c r="R209" s="418"/>
      <c r="S209" s="418"/>
      <c r="T209" s="418"/>
      <c r="U209" s="418"/>
      <c r="V209" s="418"/>
      <c r="W209" s="418"/>
      <c r="X209" s="418"/>
      <c r="Y209" s="418"/>
      <c r="Z209" s="418"/>
      <c r="AA209" s="418"/>
      <c r="AB209" s="418"/>
      <c r="AC209" s="418"/>
      <c r="AD209" s="418"/>
      <c r="AE209" s="418"/>
      <c r="AF209" s="418"/>
      <c r="AG209" s="418"/>
      <c r="AH209" s="418"/>
      <c r="AI209" s="418"/>
      <c r="AJ209" s="418"/>
      <c r="AK209" s="418"/>
      <c r="AL209" s="418"/>
      <c r="AM209" s="418"/>
      <c r="AN209" s="418"/>
      <c r="AO209" s="418"/>
      <c r="AP209" s="418"/>
      <c r="AQ209" s="418"/>
      <c r="AR209" s="418"/>
      <c r="AS209" s="418"/>
      <c r="AT209" s="418"/>
      <c r="AU209" s="418"/>
      <c r="AV209" s="418"/>
      <c r="AW209" s="418"/>
      <c r="AX209" s="418"/>
      <c r="AY209" s="418"/>
      <c r="AZ209" s="418"/>
      <c r="BA209" s="418"/>
      <c r="BB209" s="418"/>
      <c r="BC209" s="418"/>
      <c r="BD209" s="418"/>
      <c r="BE209" s="418"/>
      <c r="BF209" s="418"/>
      <c r="BG209" s="418"/>
      <c r="BH209" s="418"/>
      <c r="BI209" s="418"/>
      <c r="BJ209" s="418"/>
      <c r="BK209" s="418"/>
      <c r="BL209" s="418"/>
      <c r="BM209" s="418"/>
      <c r="BN209" s="418"/>
      <c r="BO209" s="418"/>
      <c r="BP209" s="418"/>
      <c r="BQ209" s="418"/>
      <c r="BR209" s="418"/>
      <c r="BS209" s="418"/>
      <c r="BT209" s="418"/>
      <c r="BU209" s="418"/>
      <c r="BV209" s="418"/>
      <c r="BW209" s="418"/>
      <c r="BX209" s="418"/>
      <c r="BY209" s="418"/>
      <c r="BZ209" s="418"/>
      <c r="CA209" s="418"/>
      <c r="CB209" s="418"/>
      <c r="CC209" s="418"/>
      <c r="CD209" s="418"/>
      <c r="CE209" s="418"/>
      <c r="CF209" s="418"/>
      <c r="CG209" s="418"/>
      <c r="CH209" s="418"/>
      <c r="CI209" s="418"/>
      <c r="CJ209" s="418"/>
      <c r="CK209" s="418"/>
      <c r="CL209" s="418"/>
      <c r="CM209" s="418"/>
      <c r="CN209" s="418"/>
      <c r="CO209" s="418"/>
      <c r="CP209" s="418"/>
      <c r="CQ209" s="418"/>
      <c r="CR209" s="418"/>
      <c r="CS209" s="418"/>
      <c r="CT209" s="418"/>
      <c r="CU209" s="418"/>
      <c r="CV209" s="418"/>
      <c r="CW209" s="418"/>
      <c r="CX209" s="418"/>
      <c r="CY209" s="418"/>
      <c r="CZ209" s="418"/>
      <c r="DA209" s="418"/>
      <c r="DB209" s="418"/>
      <c r="DC209" s="418"/>
      <c r="DD209" s="418"/>
      <c r="DE209" s="418"/>
      <c r="DF209" s="418"/>
      <c r="DG209" s="418"/>
      <c r="DH209" s="418"/>
      <c r="DI209" s="418"/>
      <c r="DJ209" s="418"/>
      <c r="DK209" s="418"/>
      <c r="DL209" s="418"/>
      <c r="DM209" s="418"/>
      <c r="DN209" s="418"/>
      <c r="DO209" s="418"/>
      <c r="DP209" s="418"/>
      <c r="DQ209" s="418"/>
      <c r="DR209" s="418"/>
      <c r="DS209" s="418"/>
      <c r="DT209" s="418"/>
      <c r="DU209" s="418"/>
      <c r="DV209" s="418"/>
      <c r="DW209" s="418"/>
      <c r="DX209" s="418"/>
      <c r="DY209" s="418"/>
      <c r="DZ209" s="418"/>
      <c r="EA209" s="418"/>
      <c r="EB209" s="418"/>
      <c r="EC209" s="418"/>
      <c r="ED209" s="418"/>
      <c r="EE209" s="418"/>
      <c r="EF209" s="418"/>
      <c r="EG209" s="418"/>
      <c r="EH209" s="418"/>
      <c r="EI209" s="418"/>
      <c r="EJ209" s="418"/>
      <c r="EK209" s="418"/>
      <c r="EL209" s="418"/>
      <c r="EM209" s="418"/>
      <c r="EN209" s="418"/>
      <c r="EO209" s="418"/>
      <c r="EP209" s="418"/>
      <c r="EQ209" s="418"/>
      <c r="ER209" s="418"/>
      <c r="ES209" s="418"/>
      <c r="ET209" s="418"/>
      <c r="EU209" s="418"/>
      <c r="EV209" s="418"/>
      <c r="EW209" s="418"/>
      <c r="EX209" s="418"/>
      <c r="EY209" s="418"/>
      <c r="EZ209" s="418"/>
      <c r="FA209" s="418"/>
      <c r="FB209" s="418"/>
      <c r="FC209" s="418"/>
      <c r="FD209" s="418"/>
      <c r="FE209" s="418"/>
      <c r="FF209" s="418"/>
      <c r="FG209" s="418"/>
      <c r="FH209" s="418"/>
      <c r="FI209" s="418"/>
      <c r="FJ209" s="418"/>
      <c r="FK209" s="418"/>
      <c r="FL209" s="418"/>
      <c r="FM209" s="418"/>
      <c r="FN209" s="418"/>
      <c r="FO209" s="418"/>
      <c r="FP209" s="418"/>
      <c r="FQ209" s="418"/>
      <c r="FR209" s="418"/>
      <c r="FS209" s="418"/>
      <c r="FT209" s="418"/>
      <c r="FU209" s="418"/>
      <c r="FV209" s="418"/>
      <c r="FW209" s="418"/>
      <c r="FX209" s="418"/>
      <c r="FY209" s="418"/>
      <c r="FZ209" s="418"/>
      <c r="GA209" s="418"/>
      <c r="GB209" s="418"/>
      <c r="GC209" s="418"/>
      <c r="GD209" s="418"/>
      <c r="GE209" s="418"/>
      <c r="GF209" s="418"/>
      <c r="GG209" s="418"/>
      <c r="GH209" s="418"/>
      <c r="GI209" s="418"/>
      <c r="GJ209" s="418"/>
      <c r="GK209" s="418"/>
      <c r="GL209" s="418"/>
      <c r="GM209" s="418"/>
      <c r="GN209" s="418"/>
      <c r="GO209" s="418"/>
      <c r="GP209" s="418"/>
      <c r="GQ209" s="418"/>
      <c r="GR209" s="418"/>
      <c r="GS209" s="418"/>
      <c r="GT209" s="418"/>
      <c r="GU209" s="418"/>
      <c r="GV209" s="418"/>
      <c r="GW209" s="418"/>
      <c r="GX209" s="418"/>
      <c r="GY209" s="418"/>
      <c r="GZ209" s="418"/>
      <c r="HA209" s="418"/>
      <c r="HB209" s="418"/>
      <c r="HC209" s="418"/>
      <c r="HD209" s="418"/>
      <c r="HE209" s="418"/>
      <c r="HF209" s="418"/>
      <c r="HG209" s="418"/>
      <c r="HH209" s="418"/>
      <c r="HI209" s="418"/>
      <c r="HJ209" s="418"/>
      <c r="HK209" s="418"/>
      <c r="HL209" s="418"/>
      <c r="HM209" s="418"/>
      <c r="HN209" s="418"/>
      <c r="HO209" s="418"/>
      <c r="HP209" s="418"/>
      <c r="HQ209" s="418"/>
      <c r="HR209" s="418"/>
      <c r="HS209" s="418"/>
      <c r="HT209" s="418"/>
      <c r="HU209" s="418"/>
      <c r="HV209" s="418"/>
      <c r="HW209" s="418"/>
      <c r="HX209" s="418"/>
      <c r="HY209" s="418"/>
      <c r="HZ209" s="418"/>
      <c r="IA209" s="418"/>
      <c r="IB209" s="418"/>
      <c r="IC209" s="418"/>
      <c r="ID209" s="418"/>
      <c r="IE209" s="418"/>
      <c r="IF209" s="418"/>
      <c r="IG209" s="418"/>
      <c r="IH209" s="418"/>
      <c r="II209" s="418"/>
      <c r="IJ209" s="418"/>
      <c r="IK209" s="418"/>
      <c r="IL209" s="418"/>
      <c r="IM209" s="418"/>
      <c r="IN209" s="418"/>
      <c r="IO209" s="418"/>
      <c r="IP209" s="418"/>
      <c r="IQ209" s="418"/>
      <c r="IR209" s="418"/>
      <c r="IS209" s="418"/>
      <c r="IT209" s="418"/>
      <c r="IU209" s="418"/>
      <c r="IV209" s="418"/>
      <c r="IW209" s="418"/>
      <c r="IX209" s="418"/>
      <c r="IY209" s="418"/>
      <c r="IZ209" s="418"/>
      <c r="JA209" s="418"/>
      <c r="JB209" s="418"/>
    </row>
    <row r="210" spans="1:262" s="758" customFormat="1" ht="39" customHeight="1" x14ac:dyDescent="0.35">
      <c r="A210" s="773">
        <v>200</v>
      </c>
      <c r="B210" s="2012"/>
      <c r="C210" s="420"/>
      <c r="D210" s="2421" t="s">
        <v>1293</v>
      </c>
      <c r="E210" s="2422"/>
      <c r="F210" s="2422"/>
      <c r="G210" s="2423"/>
      <c r="H210" s="999"/>
      <c r="I210" s="1825"/>
      <c r="J210" s="1825"/>
      <c r="K210" s="1825"/>
      <c r="L210" s="1825"/>
      <c r="M210" s="1825"/>
      <c r="N210" s="1825"/>
      <c r="O210" s="1825"/>
      <c r="P210" s="772"/>
      <c r="Q210" s="1552"/>
      <c r="R210" s="418"/>
      <c r="S210" s="418"/>
      <c r="T210" s="418"/>
      <c r="U210" s="418"/>
      <c r="V210" s="418"/>
      <c r="W210" s="418"/>
      <c r="X210" s="418"/>
      <c r="Y210" s="418"/>
      <c r="Z210" s="418"/>
      <c r="AA210" s="418"/>
      <c r="AB210" s="418"/>
      <c r="AC210" s="418"/>
      <c r="AD210" s="418"/>
      <c r="AE210" s="418"/>
      <c r="AF210" s="418"/>
      <c r="AG210" s="418"/>
      <c r="AH210" s="418"/>
      <c r="AI210" s="418"/>
      <c r="AJ210" s="418"/>
      <c r="AK210" s="418"/>
      <c r="AL210" s="418"/>
      <c r="AM210" s="418"/>
      <c r="AN210" s="418"/>
      <c r="AO210" s="418"/>
      <c r="AP210" s="418"/>
      <c r="AQ210" s="418"/>
      <c r="AR210" s="418"/>
      <c r="AS210" s="418"/>
      <c r="AT210" s="418"/>
      <c r="AU210" s="418"/>
      <c r="AV210" s="418"/>
      <c r="AW210" s="418"/>
      <c r="AX210" s="418"/>
      <c r="AY210" s="418"/>
      <c r="AZ210" s="418"/>
      <c r="BA210" s="418"/>
      <c r="BB210" s="418"/>
      <c r="BC210" s="418"/>
      <c r="BD210" s="418"/>
      <c r="BE210" s="418"/>
      <c r="BF210" s="418"/>
      <c r="BG210" s="418"/>
      <c r="BH210" s="418"/>
      <c r="BI210" s="418"/>
      <c r="BJ210" s="418"/>
      <c r="BK210" s="418"/>
      <c r="BL210" s="418"/>
      <c r="BM210" s="418"/>
      <c r="BN210" s="418"/>
      <c r="BO210" s="418"/>
      <c r="BP210" s="418"/>
      <c r="BQ210" s="418"/>
      <c r="BR210" s="418"/>
      <c r="BS210" s="418"/>
      <c r="BT210" s="418"/>
      <c r="BU210" s="418"/>
      <c r="BV210" s="418"/>
      <c r="BW210" s="418"/>
      <c r="BX210" s="418"/>
      <c r="BY210" s="418"/>
      <c r="BZ210" s="418"/>
      <c r="CA210" s="418"/>
      <c r="CB210" s="418"/>
      <c r="CC210" s="418"/>
      <c r="CD210" s="418"/>
      <c r="CE210" s="418"/>
      <c r="CF210" s="418"/>
      <c r="CG210" s="418"/>
      <c r="CH210" s="418"/>
      <c r="CI210" s="418"/>
      <c r="CJ210" s="418"/>
      <c r="CK210" s="418"/>
      <c r="CL210" s="418"/>
      <c r="CM210" s="418"/>
      <c r="CN210" s="418"/>
      <c r="CO210" s="418"/>
      <c r="CP210" s="418"/>
      <c r="CQ210" s="418"/>
      <c r="CR210" s="418"/>
      <c r="CS210" s="418"/>
      <c r="CT210" s="418"/>
      <c r="CU210" s="418"/>
      <c r="CV210" s="418"/>
      <c r="CW210" s="418"/>
      <c r="CX210" s="418"/>
      <c r="CY210" s="418"/>
      <c r="CZ210" s="418"/>
      <c r="DA210" s="418"/>
      <c r="DB210" s="418"/>
      <c r="DC210" s="418"/>
      <c r="DD210" s="418"/>
      <c r="DE210" s="418"/>
      <c r="DF210" s="418"/>
      <c r="DG210" s="418"/>
      <c r="DH210" s="418"/>
      <c r="DI210" s="418"/>
      <c r="DJ210" s="418"/>
      <c r="DK210" s="418"/>
      <c r="DL210" s="418"/>
      <c r="DM210" s="418"/>
      <c r="DN210" s="418"/>
      <c r="DO210" s="418"/>
      <c r="DP210" s="418"/>
      <c r="DQ210" s="418"/>
      <c r="DR210" s="418"/>
      <c r="DS210" s="418"/>
      <c r="DT210" s="418"/>
      <c r="DU210" s="418"/>
      <c r="DV210" s="418"/>
      <c r="DW210" s="418"/>
      <c r="DX210" s="418"/>
      <c r="DY210" s="418"/>
      <c r="DZ210" s="418"/>
      <c r="EA210" s="418"/>
      <c r="EB210" s="418"/>
      <c r="EC210" s="418"/>
      <c r="ED210" s="418"/>
      <c r="EE210" s="418"/>
      <c r="EF210" s="418"/>
      <c r="EG210" s="418"/>
      <c r="EH210" s="418"/>
      <c r="EI210" s="418"/>
      <c r="EJ210" s="418"/>
      <c r="EK210" s="418"/>
      <c r="EL210" s="418"/>
      <c r="EM210" s="418"/>
      <c r="EN210" s="418"/>
      <c r="EO210" s="418"/>
      <c r="EP210" s="418"/>
      <c r="EQ210" s="418"/>
      <c r="ER210" s="418"/>
      <c r="ES210" s="418"/>
      <c r="ET210" s="418"/>
      <c r="EU210" s="418"/>
      <c r="EV210" s="418"/>
      <c r="EW210" s="418"/>
      <c r="EX210" s="418"/>
      <c r="EY210" s="418"/>
      <c r="EZ210" s="418"/>
      <c r="FA210" s="418"/>
      <c r="FB210" s="418"/>
      <c r="FC210" s="418"/>
      <c r="FD210" s="418"/>
      <c r="FE210" s="418"/>
      <c r="FF210" s="418"/>
      <c r="FG210" s="418"/>
      <c r="FH210" s="418"/>
      <c r="FI210" s="418"/>
      <c r="FJ210" s="418"/>
      <c r="FK210" s="418"/>
      <c r="FL210" s="418"/>
      <c r="FM210" s="418"/>
      <c r="FN210" s="418"/>
      <c r="FO210" s="418"/>
      <c r="FP210" s="418"/>
      <c r="FQ210" s="418"/>
      <c r="FR210" s="418"/>
      <c r="FS210" s="418"/>
      <c r="FT210" s="418"/>
      <c r="FU210" s="418"/>
      <c r="FV210" s="418"/>
      <c r="FW210" s="418"/>
      <c r="FX210" s="418"/>
      <c r="FY210" s="418"/>
      <c r="FZ210" s="418"/>
      <c r="GA210" s="418"/>
      <c r="GB210" s="418"/>
      <c r="GC210" s="418"/>
      <c r="GD210" s="418"/>
      <c r="GE210" s="418"/>
      <c r="GF210" s="418"/>
      <c r="GG210" s="418"/>
      <c r="GH210" s="418"/>
      <c r="GI210" s="418"/>
      <c r="GJ210" s="418"/>
      <c r="GK210" s="418"/>
      <c r="GL210" s="418"/>
      <c r="GM210" s="418"/>
      <c r="GN210" s="418"/>
      <c r="GO210" s="418"/>
      <c r="GP210" s="418"/>
      <c r="GQ210" s="418"/>
      <c r="GR210" s="418"/>
      <c r="GS210" s="418"/>
      <c r="GT210" s="418"/>
      <c r="GU210" s="418"/>
      <c r="GV210" s="418"/>
      <c r="GW210" s="418"/>
      <c r="GX210" s="418"/>
      <c r="GY210" s="418"/>
      <c r="GZ210" s="418"/>
      <c r="HA210" s="418"/>
      <c r="HB210" s="418"/>
      <c r="HC210" s="418"/>
      <c r="HD210" s="418"/>
      <c r="HE210" s="418"/>
      <c r="HF210" s="418"/>
      <c r="HG210" s="418"/>
      <c r="HH210" s="418"/>
      <c r="HI210" s="418"/>
      <c r="HJ210" s="418"/>
      <c r="HK210" s="418"/>
      <c r="HL210" s="418"/>
      <c r="HM210" s="418"/>
      <c r="HN210" s="418"/>
      <c r="HO210" s="418"/>
      <c r="HP210" s="418"/>
      <c r="HQ210" s="418"/>
      <c r="HR210" s="418"/>
      <c r="HS210" s="418"/>
      <c r="HT210" s="418"/>
      <c r="HU210" s="418"/>
      <c r="HV210" s="418"/>
      <c r="HW210" s="418"/>
      <c r="HX210" s="418"/>
      <c r="HY210" s="418"/>
      <c r="HZ210" s="418"/>
      <c r="IA210" s="418"/>
      <c r="IB210" s="418"/>
      <c r="IC210" s="418"/>
      <c r="ID210" s="418"/>
      <c r="IE210" s="418"/>
      <c r="IF210" s="418"/>
      <c r="IG210" s="418"/>
      <c r="IH210" s="418"/>
      <c r="II210" s="418"/>
      <c r="IJ210" s="418"/>
      <c r="IK210" s="418"/>
      <c r="IL210" s="418"/>
      <c r="IM210" s="418"/>
      <c r="IN210" s="418"/>
      <c r="IO210" s="418"/>
      <c r="IP210" s="418"/>
      <c r="IQ210" s="418"/>
      <c r="IR210" s="418"/>
      <c r="IS210" s="418"/>
      <c r="IT210" s="418"/>
      <c r="IU210" s="418"/>
      <c r="IV210" s="418"/>
      <c r="IW210" s="418"/>
      <c r="IX210" s="418"/>
      <c r="IY210" s="418"/>
      <c r="IZ210" s="418"/>
      <c r="JA210" s="418"/>
      <c r="JB210" s="418"/>
    </row>
    <row r="211" spans="1:262" s="758" customFormat="1" ht="21.95" customHeight="1" x14ac:dyDescent="0.35">
      <c r="A211" s="773">
        <v>201</v>
      </c>
      <c r="B211" s="2012"/>
      <c r="C211" s="420"/>
      <c r="D211" s="440" t="s">
        <v>1273</v>
      </c>
      <c r="E211" s="430"/>
      <c r="F211" s="430"/>
      <c r="G211" s="431"/>
      <c r="H211" s="999"/>
      <c r="I211" s="1825"/>
      <c r="J211" s="1825"/>
      <c r="K211" s="1825"/>
      <c r="L211" s="1825"/>
      <c r="M211" s="1563">
        <v>3302000</v>
      </c>
      <c r="N211" s="1825"/>
      <c r="O211" s="1825"/>
      <c r="P211" s="772">
        <f>SUM(I211:O211)</f>
        <v>3302000</v>
      </c>
      <c r="Q211" s="1552"/>
      <c r="R211" s="418"/>
      <c r="S211" s="418"/>
      <c r="T211" s="418"/>
      <c r="U211" s="418"/>
      <c r="V211" s="418"/>
      <c r="W211" s="418"/>
      <c r="X211" s="418"/>
      <c r="Y211" s="418"/>
      <c r="Z211" s="418"/>
      <c r="AA211" s="418"/>
      <c r="AB211" s="418"/>
      <c r="AC211" s="418"/>
      <c r="AD211" s="418"/>
      <c r="AE211" s="418"/>
      <c r="AF211" s="418"/>
      <c r="AG211" s="418"/>
      <c r="AH211" s="418"/>
      <c r="AI211" s="418"/>
      <c r="AJ211" s="418"/>
      <c r="AK211" s="418"/>
      <c r="AL211" s="418"/>
      <c r="AM211" s="418"/>
      <c r="AN211" s="418"/>
      <c r="AO211" s="418"/>
      <c r="AP211" s="418"/>
      <c r="AQ211" s="418"/>
      <c r="AR211" s="418"/>
      <c r="AS211" s="418"/>
      <c r="AT211" s="418"/>
      <c r="AU211" s="418"/>
      <c r="AV211" s="418"/>
      <c r="AW211" s="418"/>
      <c r="AX211" s="418"/>
      <c r="AY211" s="418"/>
      <c r="AZ211" s="418"/>
      <c r="BA211" s="418"/>
      <c r="BB211" s="418"/>
      <c r="BC211" s="418"/>
      <c r="BD211" s="418"/>
      <c r="BE211" s="418"/>
      <c r="BF211" s="418"/>
      <c r="BG211" s="418"/>
      <c r="BH211" s="418"/>
      <c r="BI211" s="418"/>
      <c r="BJ211" s="418"/>
      <c r="BK211" s="418"/>
      <c r="BL211" s="418"/>
      <c r="BM211" s="418"/>
      <c r="BN211" s="418"/>
      <c r="BO211" s="418"/>
      <c r="BP211" s="418"/>
      <c r="BQ211" s="418"/>
      <c r="BR211" s="418"/>
      <c r="BS211" s="418"/>
      <c r="BT211" s="418"/>
      <c r="BU211" s="418"/>
      <c r="BV211" s="418"/>
      <c r="BW211" s="418"/>
      <c r="BX211" s="418"/>
      <c r="BY211" s="418"/>
      <c r="BZ211" s="418"/>
      <c r="CA211" s="418"/>
      <c r="CB211" s="418"/>
      <c r="CC211" s="418"/>
      <c r="CD211" s="418"/>
      <c r="CE211" s="418"/>
      <c r="CF211" s="418"/>
      <c r="CG211" s="418"/>
      <c r="CH211" s="418"/>
      <c r="CI211" s="418"/>
      <c r="CJ211" s="418"/>
      <c r="CK211" s="418"/>
      <c r="CL211" s="418"/>
      <c r="CM211" s="418"/>
      <c r="CN211" s="418"/>
      <c r="CO211" s="418"/>
      <c r="CP211" s="418"/>
      <c r="CQ211" s="418"/>
      <c r="CR211" s="418"/>
      <c r="CS211" s="418"/>
      <c r="CT211" s="418"/>
      <c r="CU211" s="418"/>
      <c r="CV211" s="418"/>
      <c r="CW211" s="418"/>
      <c r="CX211" s="418"/>
      <c r="CY211" s="418"/>
      <c r="CZ211" s="418"/>
      <c r="DA211" s="418"/>
      <c r="DB211" s="418"/>
      <c r="DC211" s="418"/>
      <c r="DD211" s="418"/>
      <c r="DE211" s="418"/>
      <c r="DF211" s="418"/>
      <c r="DG211" s="418"/>
      <c r="DH211" s="418"/>
      <c r="DI211" s="418"/>
      <c r="DJ211" s="418"/>
      <c r="DK211" s="418"/>
      <c r="DL211" s="418"/>
      <c r="DM211" s="418"/>
      <c r="DN211" s="418"/>
      <c r="DO211" s="418"/>
      <c r="DP211" s="418"/>
      <c r="DQ211" s="418"/>
      <c r="DR211" s="418"/>
      <c r="DS211" s="418"/>
      <c r="DT211" s="418"/>
      <c r="DU211" s="418"/>
      <c r="DV211" s="418"/>
      <c r="DW211" s="418"/>
      <c r="DX211" s="418"/>
      <c r="DY211" s="418"/>
      <c r="DZ211" s="418"/>
      <c r="EA211" s="418"/>
      <c r="EB211" s="418"/>
      <c r="EC211" s="418"/>
      <c r="ED211" s="418"/>
      <c r="EE211" s="418"/>
      <c r="EF211" s="418"/>
      <c r="EG211" s="418"/>
      <c r="EH211" s="418"/>
      <c r="EI211" s="418"/>
      <c r="EJ211" s="418"/>
      <c r="EK211" s="418"/>
      <c r="EL211" s="418"/>
      <c r="EM211" s="418"/>
      <c r="EN211" s="418"/>
      <c r="EO211" s="418"/>
      <c r="EP211" s="418"/>
      <c r="EQ211" s="418"/>
      <c r="ER211" s="418"/>
      <c r="ES211" s="418"/>
      <c r="ET211" s="418"/>
      <c r="EU211" s="418"/>
      <c r="EV211" s="418"/>
      <c r="EW211" s="418"/>
      <c r="EX211" s="418"/>
      <c r="EY211" s="418"/>
      <c r="EZ211" s="418"/>
      <c r="FA211" s="418"/>
      <c r="FB211" s="418"/>
      <c r="FC211" s="418"/>
      <c r="FD211" s="418"/>
      <c r="FE211" s="418"/>
      <c r="FF211" s="418"/>
      <c r="FG211" s="418"/>
      <c r="FH211" s="418"/>
      <c r="FI211" s="418"/>
      <c r="FJ211" s="418"/>
      <c r="FK211" s="418"/>
      <c r="FL211" s="418"/>
      <c r="FM211" s="418"/>
      <c r="FN211" s="418"/>
      <c r="FO211" s="418"/>
      <c r="FP211" s="418"/>
      <c r="FQ211" s="418"/>
      <c r="FR211" s="418"/>
      <c r="FS211" s="418"/>
      <c r="FT211" s="418"/>
      <c r="FU211" s="418"/>
      <c r="FV211" s="418"/>
      <c r="FW211" s="418"/>
      <c r="FX211" s="418"/>
      <c r="FY211" s="418"/>
      <c r="FZ211" s="418"/>
      <c r="GA211" s="418"/>
      <c r="GB211" s="418"/>
      <c r="GC211" s="418"/>
      <c r="GD211" s="418"/>
      <c r="GE211" s="418"/>
      <c r="GF211" s="418"/>
      <c r="GG211" s="418"/>
      <c r="GH211" s="418"/>
      <c r="GI211" s="418"/>
      <c r="GJ211" s="418"/>
      <c r="GK211" s="418"/>
      <c r="GL211" s="418"/>
      <c r="GM211" s="418"/>
      <c r="GN211" s="418"/>
      <c r="GO211" s="418"/>
      <c r="GP211" s="418"/>
      <c r="GQ211" s="418"/>
      <c r="GR211" s="418"/>
      <c r="GS211" s="418"/>
      <c r="GT211" s="418"/>
      <c r="GU211" s="418"/>
      <c r="GV211" s="418"/>
      <c r="GW211" s="418"/>
      <c r="GX211" s="418"/>
      <c r="GY211" s="418"/>
      <c r="GZ211" s="418"/>
      <c r="HA211" s="418"/>
      <c r="HB211" s="418"/>
      <c r="HC211" s="418"/>
      <c r="HD211" s="418"/>
      <c r="HE211" s="418"/>
      <c r="HF211" s="418"/>
      <c r="HG211" s="418"/>
      <c r="HH211" s="418"/>
      <c r="HI211" s="418"/>
      <c r="HJ211" s="418"/>
      <c r="HK211" s="418"/>
      <c r="HL211" s="418"/>
      <c r="HM211" s="418"/>
      <c r="HN211" s="418"/>
      <c r="HO211" s="418"/>
      <c r="HP211" s="418"/>
      <c r="HQ211" s="418"/>
      <c r="HR211" s="418"/>
      <c r="HS211" s="418"/>
      <c r="HT211" s="418"/>
      <c r="HU211" s="418"/>
      <c r="HV211" s="418"/>
      <c r="HW211" s="418"/>
      <c r="HX211" s="418"/>
      <c r="HY211" s="418"/>
      <c r="HZ211" s="418"/>
      <c r="IA211" s="418"/>
      <c r="IB211" s="418"/>
      <c r="IC211" s="418"/>
      <c r="ID211" s="418"/>
      <c r="IE211" s="418"/>
      <c r="IF211" s="418"/>
      <c r="IG211" s="418"/>
      <c r="IH211" s="418"/>
      <c r="II211" s="418"/>
      <c r="IJ211" s="418"/>
      <c r="IK211" s="418"/>
      <c r="IL211" s="418"/>
      <c r="IM211" s="418"/>
      <c r="IN211" s="418"/>
      <c r="IO211" s="418"/>
      <c r="IP211" s="418"/>
      <c r="IQ211" s="418"/>
      <c r="IR211" s="418"/>
      <c r="IS211" s="418"/>
      <c r="IT211" s="418"/>
      <c r="IU211" s="418"/>
      <c r="IV211" s="418"/>
      <c r="IW211" s="418"/>
      <c r="IX211" s="418"/>
      <c r="IY211" s="418"/>
      <c r="IZ211" s="418"/>
      <c r="JA211" s="418"/>
      <c r="JB211" s="418"/>
    </row>
    <row r="212" spans="1:262" s="758" customFormat="1" ht="21.95" customHeight="1" thickBot="1" x14ac:dyDescent="0.4">
      <c r="A212" s="773">
        <v>202</v>
      </c>
      <c r="B212" s="2012"/>
      <c r="C212" s="1501"/>
      <c r="D212" s="2076" t="s">
        <v>1250</v>
      </c>
      <c r="E212" s="1502"/>
      <c r="F212" s="1502"/>
      <c r="G212" s="1504"/>
      <c r="H212" s="1505"/>
      <c r="I212" s="1549"/>
      <c r="J212" s="1549"/>
      <c r="K212" s="1549"/>
      <c r="L212" s="1549"/>
      <c r="M212" s="1549">
        <f>SUM(M211)</f>
        <v>3302000</v>
      </c>
      <c r="N212" s="1549"/>
      <c r="O212" s="1549"/>
      <c r="P212" s="1554">
        <f>SUM(P211)</f>
        <v>3302000</v>
      </c>
      <c r="Q212" s="1553"/>
      <c r="R212" s="418"/>
      <c r="S212" s="418"/>
      <c r="T212" s="418"/>
      <c r="U212" s="418"/>
      <c r="V212" s="418"/>
      <c r="W212" s="418"/>
      <c r="X212" s="418"/>
      <c r="Y212" s="418"/>
      <c r="Z212" s="418"/>
      <c r="AA212" s="418"/>
      <c r="AB212" s="418"/>
      <c r="AC212" s="418"/>
      <c r="AD212" s="418"/>
      <c r="AE212" s="418"/>
      <c r="AF212" s="418"/>
      <c r="AG212" s="418"/>
      <c r="AH212" s="418"/>
      <c r="AI212" s="418"/>
      <c r="AJ212" s="418"/>
      <c r="AK212" s="418"/>
      <c r="AL212" s="418"/>
      <c r="AM212" s="418"/>
      <c r="AN212" s="418"/>
      <c r="AO212" s="418"/>
      <c r="AP212" s="418"/>
      <c r="AQ212" s="418"/>
      <c r="AR212" s="418"/>
      <c r="AS212" s="418"/>
      <c r="AT212" s="418"/>
      <c r="AU212" s="418"/>
      <c r="AV212" s="418"/>
      <c r="AW212" s="418"/>
      <c r="AX212" s="418"/>
      <c r="AY212" s="418"/>
      <c r="AZ212" s="418"/>
      <c r="BA212" s="418"/>
      <c r="BB212" s="418"/>
      <c r="BC212" s="418"/>
      <c r="BD212" s="418"/>
      <c r="BE212" s="418"/>
      <c r="BF212" s="418"/>
      <c r="BG212" s="418"/>
      <c r="BH212" s="418"/>
      <c r="BI212" s="418"/>
      <c r="BJ212" s="418"/>
      <c r="BK212" s="418"/>
      <c r="BL212" s="418"/>
      <c r="BM212" s="418"/>
      <c r="BN212" s="418"/>
      <c r="BO212" s="418"/>
      <c r="BP212" s="418"/>
      <c r="BQ212" s="418"/>
      <c r="BR212" s="418"/>
      <c r="BS212" s="418"/>
      <c r="BT212" s="418"/>
      <c r="BU212" s="418"/>
      <c r="BV212" s="418"/>
      <c r="BW212" s="418"/>
      <c r="BX212" s="418"/>
      <c r="BY212" s="418"/>
      <c r="BZ212" s="418"/>
      <c r="CA212" s="418"/>
      <c r="CB212" s="418"/>
      <c r="CC212" s="418"/>
      <c r="CD212" s="418"/>
      <c r="CE212" s="418"/>
      <c r="CF212" s="418"/>
      <c r="CG212" s="418"/>
      <c r="CH212" s="418"/>
      <c r="CI212" s="418"/>
      <c r="CJ212" s="418"/>
      <c r="CK212" s="418"/>
      <c r="CL212" s="418"/>
      <c r="CM212" s="418"/>
      <c r="CN212" s="418"/>
      <c r="CO212" s="418"/>
      <c r="CP212" s="418"/>
      <c r="CQ212" s="418"/>
      <c r="CR212" s="418"/>
      <c r="CS212" s="418"/>
      <c r="CT212" s="418"/>
      <c r="CU212" s="418"/>
      <c r="CV212" s="418"/>
      <c r="CW212" s="418"/>
      <c r="CX212" s="418"/>
      <c r="CY212" s="418"/>
      <c r="CZ212" s="418"/>
      <c r="DA212" s="418"/>
      <c r="DB212" s="418"/>
      <c r="DC212" s="418"/>
      <c r="DD212" s="418"/>
      <c r="DE212" s="418"/>
      <c r="DF212" s="418"/>
      <c r="DG212" s="418"/>
      <c r="DH212" s="418"/>
      <c r="DI212" s="418"/>
      <c r="DJ212" s="418"/>
      <c r="DK212" s="418"/>
      <c r="DL212" s="418"/>
      <c r="DM212" s="418"/>
      <c r="DN212" s="418"/>
      <c r="DO212" s="418"/>
      <c r="DP212" s="418"/>
      <c r="DQ212" s="418"/>
      <c r="DR212" s="418"/>
      <c r="DS212" s="418"/>
      <c r="DT212" s="418"/>
      <c r="DU212" s="418"/>
      <c r="DV212" s="418"/>
      <c r="DW212" s="418"/>
      <c r="DX212" s="418"/>
      <c r="DY212" s="418"/>
      <c r="DZ212" s="418"/>
      <c r="EA212" s="418"/>
      <c r="EB212" s="418"/>
      <c r="EC212" s="418"/>
      <c r="ED212" s="418"/>
      <c r="EE212" s="418"/>
      <c r="EF212" s="418"/>
      <c r="EG212" s="418"/>
      <c r="EH212" s="418"/>
      <c r="EI212" s="418"/>
      <c r="EJ212" s="418"/>
      <c r="EK212" s="418"/>
      <c r="EL212" s="418"/>
      <c r="EM212" s="418"/>
      <c r="EN212" s="418"/>
      <c r="EO212" s="418"/>
      <c r="EP212" s="418"/>
      <c r="EQ212" s="418"/>
      <c r="ER212" s="418"/>
      <c r="ES212" s="418"/>
      <c r="ET212" s="418"/>
      <c r="EU212" s="418"/>
      <c r="EV212" s="418"/>
      <c r="EW212" s="418"/>
      <c r="EX212" s="418"/>
      <c r="EY212" s="418"/>
      <c r="EZ212" s="418"/>
      <c r="FA212" s="418"/>
      <c r="FB212" s="418"/>
      <c r="FC212" s="418"/>
      <c r="FD212" s="418"/>
      <c r="FE212" s="418"/>
      <c r="FF212" s="418"/>
      <c r="FG212" s="418"/>
      <c r="FH212" s="418"/>
      <c r="FI212" s="418"/>
      <c r="FJ212" s="418"/>
      <c r="FK212" s="418"/>
      <c r="FL212" s="418"/>
      <c r="FM212" s="418"/>
      <c r="FN212" s="418"/>
      <c r="FO212" s="418"/>
      <c r="FP212" s="418"/>
      <c r="FQ212" s="418"/>
      <c r="FR212" s="418"/>
      <c r="FS212" s="418"/>
      <c r="FT212" s="418"/>
      <c r="FU212" s="418"/>
      <c r="FV212" s="418"/>
      <c r="FW212" s="418"/>
      <c r="FX212" s="418"/>
      <c r="FY212" s="418"/>
      <c r="FZ212" s="418"/>
      <c r="GA212" s="418"/>
      <c r="GB212" s="418"/>
      <c r="GC212" s="418"/>
      <c r="GD212" s="418"/>
      <c r="GE212" s="418"/>
      <c r="GF212" s="418"/>
      <c r="GG212" s="418"/>
      <c r="GH212" s="418"/>
      <c r="GI212" s="418"/>
      <c r="GJ212" s="418"/>
      <c r="GK212" s="418"/>
      <c r="GL212" s="418"/>
      <c r="GM212" s="418"/>
      <c r="GN212" s="418"/>
      <c r="GO212" s="418"/>
      <c r="GP212" s="418"/>
      <c r="GQ212" s="418"/>
      <c r="GR212" s="418"/>
      <c r="GS212" s="418"/>
      <c r="GT212" s="418"/>
      <c r="GU212" s="418"/>
      <c r="GV212" s="418"/>
      <c r="GW212" s="418"/>
      <c r="GX212" s="418"/>
      <c r="GY212" s="418"/>
      <c r="GZ212" s="418"/>
      <c r="HA212" s="418"/>
      <c r="HB212" s="418"/>
      <c r="HC212" s="418"/>
      <c r="HD212" s="418"/>
      <c r="HE212" s="418"/>
      <c r="HF212" s="418"/>
      <c r="HG212" s="418"/>
      <c r="HH212" s="418"/>
      <c r="HI212" s="418"/>
      <c r="HJ212" s="418"/>
      <c r="HK212" s="418"/>
      <c r="HL212" s="418"/>
      <c r="HM212" s="418"/>
      <c r="HN212" s="418"/>
      <c r="HO212" s="418"/>
      <c r="HP212" s="418"/>
      <c r="HQ212" s="418"/>
      <c r="HR212" s="418"/>
      <c r="HS212" s="418"/>
      <c r="HT212" s="418"/>
      <c r="HU212" s="418"/>
      <c r="HV212" s="418"/>
      <c r="HW212" s="418"/>
      <c r="HX212" s="418"/>
      <c r="HY212" s="418"/>
      <c r="HZ212" s="418"/>
      <c r="IA212" s="418"/>
      <c r="IB212" s="418"/>
      <c r="IC212" s="418"/>
      <c r="ID212" s="418"/>
      <c r="IE212" s="418"/>
      <c r="IF212" s="418"/>
      <c r="IG212" s="418"/>
      <c r="IH212" s="418"/>
      <c r="II212" s="418"/>
      <c r="IJ212" s="418"/>
      <c r="IK212" s="418"/>
      <c r="IL212" s="418"/>
      <c r="IM212" s="418"/>
      <c r="IN212" s="418"/>
      <c r="IO212" s="418"/>
      <c r="IP212" s="418"/>
      <c r="IQ212" s="418"/>
      <c r="IR212" s="418"/>
      <c r="IS212" s="418"/>
      <c r="IT212" s="418"/>
      <c r="IU212" s="418"/>
      <c r="IV212" s="418"/>
      <c r="IW212" s="418"/>
      <c r="IX212" s="418"/>
      <c r="IY212" s="418"/>
      <c r="IZ212" s="418"/>
      <c r="JA212" s="418"/>
      <c r="JB212" s="418"/>
    </row>
    <row r="213" spans="1:262" s="758" customFormat="1" ht="33.75" customHeight="1" x14ac:dyDescent="0.35">
      <c r="A213" s="773">
        <v>203</v>
      </c>
      <c r="B213" s="766"/>
      <c r="C213" s="1518">
        <v>5</v>
      </c>
      <c r="D213" s="2038" t="s">
        <v>1271</v>
      </c>
      <c r="E213" s="427">
        <f>F213+G213+P216</f>
        <v>2635</v>
      </c>
      <c r="F213" s="1519"/>
      <c r="G213" s="1023"/>
      <c r="H213" s="1498" t="s">
        <v>24</v>
      </c>
      <c r="I213" s="2003"/>
      <c r="J213" s="2003"/>
      <c r="K213" s="2003"/>
      <c r="L213" s="2003"/>
      <c r="M213" s="2003"/>
      <c r="N213" s="2003"/>
      <c r="O213" s="2003"/>
      <c r="P213" s="2037"/>
      <c r="Q213" s="2004"/>
      <c r="R213" s="418"/>
      <c r="S213" s="418"/>
      <c r="T213" s="418"/>
      <c r="U213" s="418"/>
      <c r="V213" s="418"/>
      <c r="W213" s="418"/>
      <c r="X213" s="418"/>
      <c r="Y213" s="418"/>
      <c r="Z213" s="418"/>
      <c r="AA213" s="418"/>
      <c r="AB213" s="418"/>
      <c r="AC213" s="418"/>
      <c r="AD213" s="418"/>
      <c r="AE213" s="418"/>
      <c r="AF213" s="418"/>
      <c r="AG213" s="418"/>
      <c r="AH213" s="418"/>
      <c r="AI213" s="418"/>
      <c r="AJ213" s="418"/>
      <c r="AK213" s="418"/>
      <c r="AL213" s="418"/>
      <c r="AM213" s="418"/>
      <c r="AN213" s="418"/>
      <c r="AO213" s="418"/>
      <c r="AP213" s="418"/>
      <c r="AQ213" s="418"/>
      <c r="AR213" s="418"/>
      <c r="AS213" s="418"/>
      <c r="AT213" s="418"/>
      <c r="AU213" s="418"/>
      <c r="AV213" s="418"/>
      <c r="AW213" s="418"/>
      <c r="AX213" s="418"/>
      <c r="AY213" s="418"/>
      <c r="AZ213" s="418"/>
      <c r="BA213" s="418"/>
      <c r="BB213" s="418"/>
      <c r="BC213" s="418"/>
      <c r="BD213" s="418"/>
      <c r="BE213" s="418"/>
      <c r="BF213" s="418"/>
      <c r="BG213" s="418"/>
      <c r="BH213" s="418"/>
      <c r="BI213" s="418"/>
      <c r="BJ213" s="418"/>
      <c r="BK213" s="418"/>
      <c r="BL213" s="418"/>
      <c r="BM213" s="418"/>
      <c r="BN213" s="418"/>
      <c r="BO213" s="418"/>
      <c r="BP213" s="418"/>
      <c r="BQ213" s="418"/>
      <c r="BR213" s="418"/>
      <c r="BS213" s="418"/>
      <c r="BT213" s="418"/>
      <c r="BU213" s="418"/>
      <c r="BV213" s="418"/>
      <c r="BW213" s="418"/>
      <c r="BX213" s="418"/>
      <c r="BY213" s="418"/>
      <c r="BZ213" s="418"/>
      <c r="CA213" s="418"/>
      <c r="CB213" s="418"/>
      <c r="CC213" s="418"/>
      <c r="CD213" s="418"/>
      <c r="CE213" s="418"/>
      <c r="CF213" s="418"/>
      <c r="CG213" s="418"/>
      <c r="CH213" s="418"/>
      <c r="CI213" s="418"/>
      <c r="CJ213" s="418"/>
      <c r="CK213" s="418"/>
      <c r="CL213" s="418"/>
      <c r="CM213" s="418"/>
      <c r="CN213" s="418"/>
      <c r="CO213" s="418"/>
      <c r="CP213" s="418"/>
      <c r="CQ213" s="418"/>
      <c r="CR213" s="418"/>
      <c r="CS213" s="418"/>
      <c r="CT213" s="418"/>
      <c r="CU213" s="418"/>
      <c r="CV213" s="418"/>
      <c r="CW213" s="418"/>
      <c r="CX213" s="418"/>
      <c r="CY213" s="418"/>
      <c r="CZ213" s="418"/>
      <c r="DA213" s="418"/>
      <c r="DB213" s="418"/>
      <c r="DC213" s="418"/>
      <c r="DD213" s="418"/>
      <c r="DE213" s="418"/>
      <c r="DF213" s="418"/>
      <c r="DG213" s="418"/>
      <c r="DH213" s="418"/>
      <c r="DI213" s="418"/>
      <c r="DJ213" s="418"/>
      <c r="DK213" s="418"/>
      <c r="DL213" s="418"/>
      <c r="DM213" s="418"/>
      <c r="DN213" s="418"/>
      <c r="DO213" s="418"/>
      <c r="DP213" s="418"/>
      <c r="DQ213" s="418"/>
      <c r="DR213" s="418"/>
      <c r="DS213" s="418"/>
      <c r="DT213" s="418"/>
      <c r="DU213" s="418"/>
      <c r="DV213" s="418"/>
      <c r="DW213" s="418"/>
      <c r="DX213" s="418"/>
      <c r="DY213" s="418"/>
      <c r="DZ213" s="418"/>
      <c r="EA213" s="418"/>
      <c r="EB213" s="418"/>
      <c r="EC213" s="418"/>
      <c r="ED213" s="418"/>
      <c r="EE213" s="418"/>
      <c r="EF213" s="418"/>
      <c r="EG213" s="418"/>
      <c r="EH213" s="418"/>
      <c r="EI213" s="418"/>
      <c r="EJ213" s="418"/>
      <c r="EK213" s="418"/>
      <c r="EL213" s="418"/>
      <c r="EM213" s="418"/>
      <c r="EN213" s="418"/>
      <c r="EO213" s="418"/>
      <c r="EP213" s="418"/>
      <c r="EQ213" s="418"/>
      <c r="ER213" s="418"/>
      <c r="ES213" s="418"/>
      <c r="ET213" s="418"/>
      <c r="EU213" s="418"/>
      <c r="EV213" s="418"/>
      <c r="EW213" s="418"/>
      <c r="EX213" s="418"/>
      <c r="EY213" s="418"/>
      <c r="EZ213" s="418"/>
      <c r="FA213" s="418"/>
      <c r="FB213" s="418"/>
      <c r="FC213" s="418"/>
      <c r="FD213" s="418"/>
      <c r="FE213" s="418"/>
      <c r="FF213" s="418"/>
      <c r="FG213" s="418"/>
      <c r="FH213" s="418"/>
      <c r="FI213" s="418"/>
      <c r="FJ213" s="418"/>
      <c r="FK213" s="418"/>
      <c r="FL213" s="418"/>
      <c r="FM213" s="418"/>
      <c r="FN213" s="418"/>
      <c r="FO213" s="418"/>
      <c r="FP213" s="418"/>
      <c r="FQ213" s="418"/>
      <c r="FR213" s="418"/>
      <c r="FS213" s="418"/>
      <c r="FT213" s="418"/>
      <c r="FU213" s="418"/>
      <c r="FV213" s="418"/>
      <c r="FW213" s="418"/>
      <c r="FX213" s="418"/>
      <c r="FY213" s="418"/>
      <c r="FZ213" s="418"/>
      <c r="GA213" s="418"/>
      <c r="GB213" s="418"/>
      <c r="GC213" s="418"/>
      <c r="GD213" s="418"/>
      <c r="GE213" s="418"/>
      <c r="GF213" s="418"/>
      <c r="GG213" s="418"/>
      <c r="GH213" s="418"/>
      <c r="GI213" s="418"/>
      <c r="GJ213" s="418"/>
      <c r="GK213" s="418"/>
      <c r="GL213" s="418"/>
      <c r="GM213" s="418"/>
      <c r="GN213" s="418"/>
      <c r="GO213" s="418"/>
      <c r="GP213" s="418"/>
      <c r="GQ213" s="418"/>
      <c r="GR213" s="418"/>
      <c r="GS213" s="418"/>
      <c r="GT213" s="418"/>
      <c r="GU213" s="418"/>
      <c r="GV213" s="418"/>
      <c r="GW213" s="418"/>
      <c r="GX213" s="418"/>
      <c r="GY213" s="418"/>
      <c r="GZ213" s="418"/>
      <c r="HA213" s="418"/>
      <c r="HB213" s="418"/>
      <c r="HC213" s="418"/>
      <c r="HD213" s="418"/>
      <c r="HE213" s="418"/>
      <c r="HF213" s="418"/>
      <c r="HG213" s="418"/>
      <c r="HH213" s="418"/>
      <c r="HI213" s="418"/>
      <c r="HJ213" s="418"/>
      <c r="HK213" s="418"/>
      <c r="HL213" s="418"/>
      <c r="HM213" s="418"/>
      <c r="HN213" s="418"/>
      <c r="HO213" s="418"/>
      <c r="HP213" s="418"/>
      <c r="HQ213" s="418"/>
      <c r="HR213" s="418"/>
      <c r="HS213" s="418"/>
      <c r="HT213" s="418"/>
      <c r="HU213" s="418"/>
      <c r="HV213" s="418"/>
      <c r="HW213" s="418"/>
      <c r="HX213" s="418"/>
      <c r="HY213" s="418"/>
      <c r="HZ213" s="418"/>
      <c r="IA213" s="418"/>
      <c r="IB213" s="418"/>
      <c r="IC213" s="418"/>
      <c r="ID213" s="418"/>
      <c r="IE213" s="418"/>
      <c r="IF213" s="418"/>
      <c r="IG213" s="418"/>
      <c r="IH213" s="418"/>
      <c r="II213" s="418"/>
      <c r="IJ213" s="418"/>
      <c r="IK213" s="418"/>
      <c r="IL213" s="418"/>
      <c r="IM213" s="418"/>
      <c r="IN213" s="418"/>
      <c r="IO213" s="418"/>
      <c r="IP213" s="418"/>
      <c r="IQ213" s="418"/>
      <c r="IR213" s="418"/>
      <c r="IS213" s="418"/>
      <c r="IT213" s="418"/>
      <c r="IU213" s="418"/>
      <c r="IV213" s="418"/>
      <c r="IW213" s="418"/>
      <c r="IX213" s="418"/>
      <c r="IY213" s="418"/>
      <c r="IZ213" s="418"/>
      <c r="JA213" s="418"/>
      <c r="JB213" s="418"/>
    </row>
    <row r="214" spans="1:262" s="758" customFormat="1" ht="19.5" customHeight="1" x14ac:dyDescent="0.35">
      <c r="A214" s="773">
        <v>204</v>
      </c>
      <c r="B214" s="2005"/>
      <c r="C214" s="464"/>
      <c r="D214" s="576" t="s">
        <v>1158</v>
      </c>
      <c r="E214" s="427"/>
      <c r="F214" s="430"/>
      <c r="G214" s="2006"/>
      <c r="H214" s="999"/>
      <c r="I214" s="2007"/>
      <c r="J214" s="2007"/>
      <c r="K214" s="2007"/>
      <c r="L214" s="2007"/>
      <c r="M214" s="2007">
        <v>2635</v>
      </c>
      <c r="N214" s="2007"/>
      <c r="O214" s="2007"/>
      <c r="P214" s="767">
        <f>SUM(I214:O214)</f>
        <v>2635</v>
      </c>
      <c r="Q214" s="763"/>
      <c r="R214" s="418"/>
      <c r="S214" s="418"/>
      <c r="T214" s="418"/>
      <c r="U214" s="418"/>
      <c r="V214" s="418"/>
      <c r="W214" s="418"/>
      <c r="X214" s="418"/>
      <c r="Y214" s="418"/>
      <c r="Z214" s="418"/>
      <c r="AA214" s="418"/>
      <c r="AB214" s="418"/>
      <c r="AC214" s="418"/>
      <c r="AD214" s="418"/>
      <c r="AE214" s="418"/>
      <c r="AF214" s="418"/>
      <c r="AG214" s="418"/>
      <c r="AH214" s="418"/>
      <c r="AI214" s="418"/>
      <c r="AJ214" s="418"/>
      <c r="AK214" s="418"/>
      <c r="AL214" s="418"/>
      <c r="AM214" s="418"/>
      <c r="AN214" s="418"/>
      <c r="AO214" s="418"/>
      <c r="AP214" s="418"/>
      <c r="AQ214" s="418"/>
      <c r="AR214" s="418"/>
      <c r="AS214" s="418"/>
      <c r="AT214" s="418"/>
      <c r="AU214" s="418"/>
      <c r="AV214" s="418"/>
      <c r="AW214" s="418"/>
      <c r="AX214" s="418"/>
      <c r="AY214" s="418"/>
      <c r="AZ214" s="418"/>
      <c r="BA214" s="418"/>
      <c r="BB214" s="418"/>
      <c r="BC214" s="418"/>
      <c r="BD214" s="418"/>
      <c r="BE214" s="418"/>
      <c r="BF214" s="418"/>
      <c r="BG214" s="418"/>
      <c r="BH214" s="418"/>
      <c r="BI214" s="418"/>
      <c r="BJ214" s="418"/>
      <c r="BK214" s="418"/>
      <c r="BL214" s="418"/>
      <c r="BM214" s="418"/>
      <c r="BN214" s="418"/>
      <c r="BO214" s="418"/>
      <c r="BP214" s="418"/>
      <c r="BQ214" s="418"/>
      <c r="BR214" s="418"/>
      <c r="BS214" s="418"/>
      <c r="BT214" s="418"/>
      <c r="BU214" s="418"/>
      <c r="BV214" s="418"/>
      <c r="BW214" s="418"/>
      <c r="BX214" s="418"/>
      <c r="BY214" s="418"/>
      <c r="BZ214" s="418"/>
      <c r="CA214" s="418"/>
      <c r="CB214" s="418"/>
      <c r="CC214" s="418"/>
      <c r="CD214" s="418"/>
      <c r="CE214" s="418"/>
      <c r="CF214" s="418"/>
      <c r="CG214" s="418"/>
      <c r="CH214" s="418"/>
      <c r="CI214" s="418"/>
      <c r="CJ214" s="418"/>
      <c r="CK214" s="418"/>
      <c r="CL214" s="418"/>
      <c r="CM214" s="418"/>
      <c r="CN214" s="418"/>
      <c r="CO214" s="418"/>
      <c r="CP214" s="418"/>
      <c r="CQ214" s="418"/>
      <c r="CR214" s="418"/>
      <c r="CS214" s="418"/>
      <c r="CT214" s="418"/>
      <c r="CU214" s="418"/>
      <c r="CV214" s="418"/>
      <c r="CW214" s="418"/>
      <c r="CX214" s="418"/>
      <c r="CY214" s="418"/>
      <c r="CZ214" s="418"/>
      <c r="DA214" s="418"/>
      <c r="DB214" s="418"/>
      <c r="DC214" s="418"/>
      <c r="DD214" s="418"/>
      <c r="DE214" s="418"/>
      <c r="DF214" s="418"/>
      <c r="DG214" s="418"/>
      <c r="DH214" s="418"/>
      <c r="DI214" s="418"/>
      <c r="DJ214" s="418"/>
      <c r="DK214" s="418"/>
      <c r="DL214" s="418"/>
      <c r="DM214" s="418"/>
      <c r="DN214" s="418"/>
      <c r="DO214" s="418"/>
      <c r="DP214" s="418"/>
      <c r="DQ214" s="418"/>
      <c r="DR214" s="418"/>
      <c r="DS214" s="418"/>
      <c r="DT214" s="418"/>
      <c r="DU214" s="418"/>
      <c r="DV214" s="418"/>
      <c r="DW214" s="418"/>
      <c r="DX214" s="418"/>
      <c r="DY214" s="418"/>
      <c r="DZ214" s="418"/>
      <c r="EA214" s="418"/>
      <c r="EB214" s="418"/>
      <c r="EC214" s="418"/>
      <c r="ED214" s="418"/>
      <c r="EE214" s="418"/>
      <c r="EF214" s="418"/>
      <c r="EG214" s="418"/>
      <c r="EH214" s="418"/>
      <c r="EI214" s="418"/>
      <c r="EJ214" s="418"/>
      <c r="EK214" s="418"/>
      <c r="EL214" s="418"/>
      <c r="EM214" s="418"/>
      <c r="EN214" s="418"/>
      <c r="EO214" s="418"/>
      <c r="EP214" s="418"/>
      <c r="EQ214" s="418"/>
      <c r="ER214" s="418"/>
      <c r="ES214" s="418"/>
      <c r="ET214" s="418"/>
      <c r="EU214" s="418"/>
      <c r="EV214" s="418"/>
      <c r="EW214" s="418"/>
      <c r="EX214" s="418"/>
      <c r="EY214" s="418"/>
      <c r="EZ214" s="418"/>
      <c r="FA214" s="418"/>
      <c r="FB214" s="418"/>
      <c r="FC214" s="418"/>
      <c r="FD214" s="418"/>
      <c r="FE214" s="418"/>
      <c r="FF214" s="418"/>
      <c r="FG214" s="418"/>
      <c r="FH214" s="418"/>
      <c r="FI214" s="418"/>
      <c r="FJ214" s="418"/>
      <c r="FK214" s="418"/>
      <c r="FL214" s="418"/>
      <c r="FM214" s="418"/>
      <c r="FN214" s="418"/>
      <c r="FO214" s="418"/>
      <c r="FP214" s="418"/>
      <c r="FQ214" s="418"/>
      <c r="FR214" s="418"/>
      <c r="FS214" s="418"/>
      <c r="FT214" s="418"/>
      <c r="FU214" s="418"/>
      <c r="FV214" s="418"/>
      <c r="FW214" s="418"/>
      <c r="FX214" s="418"/>
      <c r="FY214" s="418"/>
      <c r="FZ214" s="418"/>
      <c r="GA214" s="418"/>
      <c r="GB214" s="418"/>
      <c r="GC214" s="418"/>
      <c r="GD214" s="418"/>
      <c r="GE214" s="418"/>
      <c r="GF214" s="418"/>
      <c r="GG214" s="418"/>
      <c r="GH214" s="418"/>
      <c r="GI214" s="418"/>
      <c r="GJ214" s="418"/>
      <c r="GK214" s="418"/>
      <c r="GL214" s="418"/>
      <c r="GM214" s="418"/>
      <c r="GN214" s="418"/>
      <c r="GO214" s="418"/>
      <c r="GP214" s="418"/>
      <c r="GQ214" s="418"/>
      <c r="GR214" s="418"/>
      <c r="GS214" s="418"/>
      <c r="GT214" s="418"/>
      <c r="GU214" s="418"/>
      <c r="GV214" s="418"/>
      <c r="GW214" s="418"/>
      <c r="GX214" s="418"/>
      <c r="GY214" s="418"/>
      <c r="GZ214" s="418"/>
      <c r="HA214" s="418"/>
      <c r="HB214" s="418"/>
      <c r="HC214" s="418"/>
      <c r="HD214" s="418"/>
      <c r="HE214" s="418"/>
      <c r="HF214" s="418"/>
      <c r="HG214" s="418"/>
      <c r="HH214" s="418"/>
      <c r="HI214" s="418"/>
      <c r="HJ214" s="418"/>
      <c r="HK214" s="418"/>
      <c r="HL214" s="418"/>
      <c r="HM214" s="418"/>
      <c r="HN214" s="418"/>
      <c r="HO214" s="418"/>
      <c r="HP214" s="418"/>
      <c r="HQ214" s="418"/>
      <c r="HR214" s="418"/>
      <c r="HS214" s="418"/>
      <c r="HT214" s="418"/>
      <c r="HU214" s="418"/>
      <c r="HV214" s="418"/>
      <c r="HW214" s="418"/>
      <c r="HX214" s="418"/>
      <c r="HY214" s="418"/>
      <c r="HZ214" s="418"/>
      <c r="IA214" s="418"/>
      <c r="IB214" s="418"/>
      <c r="IC214" s="418"/>
      <c r="ID214" s="418"/>
      <c r="IE214" s="418"/>
      <c r="IF214" s="418"/>
      <c r="IG214" s="418"/>
      <c r="IH214" s="418"/>
      <c r="II214" s="418"/>
      <c r="IJ214" s="418"/>
      <c r="IK214" s="418"/>
      <c r="IL214" s="418"/>
      <c r="IM214" s="418"/>
      <c r="IN214" s="418"/>
      <c r="IO214" s="418"/>
      <c r="IP214" s="418"/>
      <c r="IQ214" s="418"/>
      <c r="IR214" s="418"/>
      <c r="IS214" s="418"/>
      <c r="IT214" s="418"/>
      <c r="IU214" s="418"/>
      <c r="IV214" s="418"/>
      <c r="IW214" s="418"/>
      <c r="IX214" s="418"/>
      <c r="IY214" s="418"/>
      <c r="IZ214" s="418"/>
      <c r="JA214" s="418"/>
      <c r="JB214" s="418"/>
    </row>
    <row r="215" spans="1:262" s="758" customFormat="1" ht="21.95" customHeight="1" x14ac:dyDescent="0.35">
      <c r="A215" s="773">
        <v>205</v>
      </c>
      <c r="B215" s="2005"/>
      <c r="C215" s="420"/>
      <c r="D215" s="2008" t="s">
        <v>969</v>
      </c>
      <c r="E215" s="430"/>
      <c r="F215" s="430"/>
      <c r="G215" s="2006"/>
      <c r="H215" s="999"/>
      <c r="I215" s="2007"/>
      <c r="J215" s="2007"/>
      <c r="K215" s="2007"/>
      <c r="L215" s="2007"/>
      <c r="M215" s="1773"/>
      <c r="N215" s="2007"/>
      <c r="O215" s="2007"/>
      <c r="P215" s="1741">
        <f>SUM(I215:O215)</f>
        <v>0</v>
      </c>
      <c r="Q215" s="1552"/>
      <c r="R215" s="418"/>
      <c r="S215" s="418"/>
      <c r="T215" s="418"/>
      <c r="U215" s="418"/>
      <c r="V215" s="418"/>
      <c r="W215" s="418"/>
      <c r="X215" s="418"/>
      <c r="Y215" s="418"/>
      <c r="Z215" s="418"/>
      <c r="AA215" s="418"/>
      <c r="AB215" s="418"/>
      <c r="AC215" s="418"/>
      <c r="AD215" s="418"/>
      <c r="AE215" s="418"/>
      <c r="AF215" s="418"/>
      <c r="AG215" s="418"/>
      <c r="AH215" s="418"/>
      <c r="AI215" s="418"/>
      <c r="AJ215" s="418"/>
      <c r="AK215" s="418"/>
      <c r="AL215" s="418"/>
      <c r="AM215" s="418"/>
      <c r="AN215" s="418"/>
      <c r="AO215" s="418"/>
      <c r="AP215" s="418"/>
      <c r="AQ215" s="418"/>
      <c r="AR215" s="418"/>
      <c r="AS215" s="418"/>
      <c r="AT215" s="418"/>
      <c r="AU215" s="418"/>
      <c r="AV215" s="418"/>
      <c r="AW215" s="418"/>
      <c r="AX215" s="418"/>
      <c r="AY215" s="418"/>
      <c r="AZ215" s="418"/>
      <c r="BA215" s="418"/>
      <c r="BB215" s="418"/>
      <c r="BC215" s="418"/>
      <c r="BD215" s="418"/>
      <c r="BE215" s="418"/>
      <c r="BF215" s="418"/>
      <c r="BG215" s="418"/>
      <c r="BH215" s="418"/>
      <c r="BI215" s="418"/>
      <c r="BJ215" s="418"/>
      <c r="BK215" s="418"/>
      <c r="BL215" s="418"/>
      <c r="BM215" s="418"/>
      <c r="BN215" s="418"/>
      <c r="BO215" s="418"/>
      <c r="BP215" s="418"/>
      <c r="BQ215" s="418"/>
      <c r="BR215" s="418"/>
      <c r="BS215" s="418"/>
      <c r="BT215" s="418"/>
      <c r="BU215" s="418"/>
      <c r="BV215" s="418"/>
      <c r="BW215" s="418"/>
      <c r="BX215" s="418"/>
      <c r="BY215" s="418"/>
      <c r="BZ215" s="418"/>
      <c r="CA215" s="418"/>
      <c r="CB215" s="418"/>
      <c r="CC215" s="418"/>
      <c r="CD215" s="418"/>
      <c r="CE215" s="418"/>
      <c r="CF215" s="418"/>
      <c r="CG215" s="418"/>
      <c r="CH215" s="418"/>
      <c r="CI215" s="418"/>
      <c r="CJ215" s="418"/>
      <c r="CK215" s="418"/>
      <c r="CL215" s="418"/>
      <c r="CM215" s="418"/>
      <c r="CN215" s="418"/>
      <c r="CO215" s="418"/>
      <c r="CP215" s="418"/>
      <c r="CQ215" s="418"/>
      <c r="CR215" s="418"/>
      <c r="CS215" s="418"/>
      <c r="CT215" s="418"/>
      <c r="CU215" s="418"/>
      <c r="CV215" s="418"/>
      <c r="CW215" s="418"/>
      <c r="CX215" s="418"/>
      <c r="CY215" s="418"/>
      <c r="CZ215" s="418"/>
      <c r="DA215" s="418"/>
      <c r="DB215" s="418"/>
      <c r="DC215" s="418"/>
      <c r="DD215" s="418"/>
      <c r="DE215" s="418"/>
      <c r="DF215" s="418"/>
      <c r="DG215" s="418"/>
      <c r="DH215" s="418"/>
      <c r="DI215" s="418"/>
      <c r="DJ215" s="418"/>
      <c r="DK215" s="418"/>
      <c r="DL215" s="418"/>
      <c r="DM215" s="418"/>
      <c r="DN215" s="418"/>
      <c r="DO215" s="418"/>
      <c r="DP215" s="418"/>
      <c r="DQ215" s="418"/>
      <c r="DR215" s="418"/>
      <c r="DS215" s="418"/>
      <c r="DT215" s="418"/>
      <c r="DU215" s="418"/>
      <c r="DV215" s="418"/>
      <c r="DW215" s="418"/>
      <c r="DX215" s="418"/>
      <c r="DY215" s="418"/>
      <c r="DZ215" s="418"/>
      <c r="EA215" s="418"/>
      <c r="EB215" s="418"/>
      <c r="EC215" s="418"/>
      <c r="ED215" s="418"/>
      <c r="EE215" s="418"/>
      <c r="EF215" s="418"/>
      <c r="EG215" s="418"/>
      <c r="EH215" s="418"/>
      <c r="EI215" s="418"/>
      <c r="EJ215" s="418"/>
      <c r="EK215" s="418"/>
      <c r="EL215" s="418"/>
      <c r="EM215" s="418"/>
      <c r="EN215" s="418"/>
      <c r="EO215" s="418"/>
      <c r="EP215" s="418"/>
      <c r="EQ215" s="418"/>
      <c r="ER215" s="418"/>
      <c r="ES215" s="418"/>
      <c r="ET215" s="418"/>
      <c r="EU215" s="418"/>
      <c r="EV215" s="418"/>
      <c r="EW215" s="418"/>
      <c r="EX215" s="418"/>
      <c r="EY215" s="418"/>
      <c r="EZ215" s="418"/>
      <c r="FA215" s="418"/>
      <c r="FB215" s="418"/>
      <c r="FC215" s="418"/>
      <c r="FD215" s="418"/>
      <c r="FE215" s="418"/>
      <c r="FF215" s="418"/>
      <c r="FG215" s="418"/>
      <c r="FH215" s="418"/>
      <c r="FI215" s="418"/>
      <c r="FJ215" s="418"/>
      <c r="FK215" s="418"/>
      <c r="FL215" s="418"/>
      <c r="FM215" s="418"/>
      <c r="FN215" s="418"/>
      <c r="FO215" s="418"/>
      <c r="FP215" s="418"/>
      <c r="FQ215" s="418"/>
      <c r="FR215" s="418"/>
      <c r="FS215" s="418"/>
      <c r="FT215" s="418"/>
      <c r="FU215" s="418"/>
      <c r="FV215" s="418"/>
      <c r="FW215" s="418"/>
      <c r="FX215" s="418"/>
      <c r="FY215" s="418"/>
      <c r="FZ215" s="418"/>
      <c r="GA215" s="418"/>
      <c r="GB215" s="418"/>
      <c r="GC215" s="418"/>
      <c r="GD215" s="418"/>
      <c r="GE215" s="418"/>
      <c r="GF215" s="418"/>
      <c r="GG215" s="418"/>
      <c r="GH215" s="418"/>
      <c r="GI215" s="418"/>
      <c r="GJ215" s="418"/>
      <c r="GK215" s="418"/>
      <c r="GL215" s="418"/>
      <c r="GM215" s="418"/>
      <c r="GN215" s="418"/>
      <c r="GO215" s="418"/>
      <c r="GP215" s="418"/>
      <c r="GQ215" s="418"/>
      <c r="GR215" s="418"/>
      <c r="GS215" s="418"/>
      <c r="GT215" s="418"/>
      <c r="GU215" s="418"/>
      <c r="GV215" s="418"/>
      <c r="GW215" s="418"/>
      <c r="GX215" s="418"/>
      <c r="GY215" s="418"/>
      <c r="GZ215" s="418"/>
      <c r="HA215" s="418"/>
      <c r="HB215" s="418"/>
      <c r="HC215" s="418"/>
      <c r="HD215" s="418"/>
      <c r="HE215" s="418"/>
      <c r="HF215" s="418"/>
      <c r="HG215" s="418"/>
      <c r="HH215" s="418"/>
      <c r="HI215" s="418"/>
      <c r="HJ215" s="418"/>
      <c r="HK215" s="418"/>
      <c r="HL215" s="418"/>
      <c r="HM215" s="418"/>
      <c r="HN215" s="418"/>
      <c r="HO215" s="418"/>
      <c r="HP215" s="418"/>
      <c r="HQ215" s="418"/>
      <c r="HR215" s="418"/>
      <c r="HS215" s="418"/>
      <c r="HT215" s="418"/>
      <c r="HU215" s="418"/>
      <c r="HV215" s="418"/>
      <c r="HW215" s="418"/>
      <c r="HX215" s="418"/>
      <c r="HY215" s="418"/>
      <c r="HZ215" s="418"/>
      <c r="IA215" s="418"/>
      <c r="IB215" s="418"/>
      <c r="IC215" s="418"/>
      <c r="ID215" s="418"/>
      <c r="IE215" s="418"/>
      <c r="IF215" s="418"/>
      <c r="IG215" s="418"/>
      <c r="IH215" s="418"/>
      <c r="II215" s="418"/>
      <c r="IJ215" s="418"/>
      <c r="IK215" s="418"/>
      <c r="IL215" s="418"/>
      <c r="IM215" s="418"/>
      <c r="IN215" s="418"/>
      <c r="IO215" s="418"/>
      <c r="IP215" s="418"/>
      <c r="IQ215" s="418"/>
      <c r="IR215" s="418"/>
      <c r="IS215" s="418"/>
      <c r="IT215" s="418"/>
      <c r="IU215" s="418"/>
      <c r="IV215" s="418"/>
      <c r="IW215" s="418"/>
      <c r="IX215" s="418"/>
      <c r="IY215" s="418"/>
      <c r="IZ215" s="418"/>
      <c r="JA215" s="418"/>
      <c r="JB215" s="418"/>
    </row>
    <row r="216" spans="1:262" s="758" customFormat="1" ht="21.95" customHeight="1" thickBot="1" x14ac:dyDescent="0.4">
      <c r="A216" s="773">
        <v>206</v>
      </c>
      <c r="B216" s="2002"/>
      <c r="C216" s="2011"/>
      <c r="D216" s="2009" t="s">
        <v>1250</v>
      </c>
      <c r="E216" s="2010"/>
      <c r="F216" s="2010"/>
      <c r="G216" s="1023"/>
      <c r="H216" s="1498"/>
      <c r="I216" s="2003"/>
      <c r="J216" s="2003"/>
      <c r="K216" s="2003"/>
      <c r="L216" s="2003"/>
      <c r="M216" s="2003">
        <f>SUM(M214:M215)</f>
        <v>2635</v>
      </c>
      <c r="N216" s="2003"/>
      <c r="O216" s="2003"/>
      <c r="P216" s="1554">
        <f>SUM(P213:P215)</f>
        <v>2635</v>
      </c>
      <c r="Q216" s="2004"/>
      <c r="R216" s="418"/>
      <c r="S216" s="418"/>
      <c r="T216" s="418"/>
      <c r="U216" s="418"/>
      <c r="V216" s="418"/>
      <c r="W216" s="418"/>
      <c r="X216" s="418"/>
      <c r="Y216" s="418"/>
      <c r="Z216" s="418"/>
      <c r="AA216" s="418"/>
      <c r="AB216" s="418"/>
      <c r="AC216" s="418"/>
      <c r="AD216" s="418"/>
      <c r="AE216" s="418"/>
      <c r="AF216" s="418"/>
      <c r="AG216" s="418"/>
      <c r="AH216" s="418"/>
      <c r="AI216" s="418"/>
      <c r="AJ216" s="418"/>
      <c r="AK216" s="418"/>
      <c r="AL216" s="418"/>
      <c r="AM216" s="418"/>
      <c r="AN216" s="418"/>
      <c r="AO216" s="418"/>
      <c r="AP216" s="418"/>
      <c r="AQ216" s="418"/>
      <c r="AR216" s="418"/>
      <c r="AS216" s="418"/>
      <c r="AT216" s="418"/>
      <c r="AU216" s="418"/>
      <c r="AV216" s="418"/>
      <c r="AW216" s="418"/>
      <c r="AX216" s="418"/>
      <c r="AY216" s="418"/>
      <c r="AZ216" s="418"/>
      <c r="BA216" s="418"/>
      <c r="BB216" s="418"/>
      <c r="BC216" s="418"/>
      <c r="BD216" s="418"/>
      <c r="BE216" s="418"/>
      <c r="BF216" s="418"/>
      <c r="BG216" s="418"/>
      <c r="BH216" s="418"/>
      <c r="BI216" s="418"/>
      <c r="BJ216" s="418"/>
      <c r="BK216" s="418"/>
      <c r="BL216" s="418"/>
      <c r="BM216" s="418"/>
      <c r="BN216" s="418"/>
      <c r="BO216" s="418"/>
      <c r="BP216" s="418"/>
      <c r="BQ216" s="418"/>
      <c r="BR216" s="418"/>
      <c r="BS216" s="418"/>
      <c r="BT216" s="418"/>
      <c r="BU216" s="418"/>
      <c r="BV216" s="418"/>
      <c r="BW216" s="418"/>
      <c r="BX216" s="418"/>
      <c r="BY216" s="418"/>
      <c r="BZ216" s="418"/>
      <c r="CA216" s="418"/>
      <c r="CB216" s="418"/>
      <c r="CC216" s="418"/>
      <c r="CD216" s="418"/>
      <c r="CE216" s="418"/>
      <c r="CF216" s="418"/>
      <c r="CG216" s="418"/>
      <c r="CH216" s="418"/>
      <c r="CI216" s="418"/>
      <c r="CJ216" s="418"/>
      <c r="CK216" s="418"/>
      <c r="CL216" s="418"/>
      <c r="CM216" s="418"/>
      <c r="CN216" s="418"/>
      <c r="CO216" s="418"/>
      <c r="CP216" s="418"/>
      <c r="CQ216" s="418"/>
      <c r="CR216" s="418"/>
      <c r="CS216" s="418"/>
      <c r="CT216" s="418"/>
      <c r="CU216" s="418"/>
      <c r="CV216" s="418"/>
      <c r="CW216" s="418"/>
      <c r="CX216" s="418"/>
      <c r="CY216" s="418"/>
      <c r="CZ216" s="418"/>
      <c r="DA216" s="418"/>
      <c r="DB216" s="418"/>
      <c r="DC216" s="418"/>
      <c r="DD216" s="418"/>
      <c r="DE216" s="418"/>
      <c r="DF216" s="418"/>
      <c r="DG216" s="418"/>
      <c r="DH216" s="418"/>
      <c r="DI216" s="418"/>
      <c r="DJ216" s="418"/>
      <c r="DK216" s="418"/>
      <c r="DL216" s="418"/>
      <c r="DM216" s="418"/>
      <c r="DN216" s="418"/>
      <c r="DO216" s="418"/>
      <c r="DP216" s="418"/>
      <c r="DQ216" s="418"/>
      <c r="DR216" s="418"/>
      <c r="DS216" s="418"/>
      <c r="DT216" s="418"/>
      <c r="DU216" s="418"/>
      <c r="DV216" s="418"/>
      <c r="DW216" s="418"/>
      <c r="DX216" s="418"/>
      <c r="DY216" s="418"/>
      <c r="DZ216" s="418"/>
      <c r="EA216" s="418"/>
      <c r="EB216" s="418"/>
      <c r="EC216" s="418"/>
      <c r="ED216" s="418"/>
      <c r="EE216" s="418"/>
      <c r="EF216" s="418"/>
      <c r="EG216" s="418"/>
      <c r="EH216" s="418"/>
      <c r="EI216" s="418"/>
      <c r="EJ216" s="418"/>
      <c r="EK216" s="418"/>
      <c r="EL216" s="418"/>
      <c r="EM216" s="418"/>
      <c r="EN216" s="418"/>
      <c r="EO216" s="418"/>
      <c r="EP216" s="418"/>
      <c r="EQ216" s="418"/>
      <c r="ER216" s="418"/>
      <c r="ES216" s="418"/>
      <c r="ET216" s="418"/>
      <c r="EU216" s="418"/>
      <c r="EV216" s="418"/>
      <c r="EW216" s="418"/>
      <c r="EX216" s="418"/>
      <c r="EY216" s="418"/>
      <c r="EZ216" s="418"/>
      <c r="FA216" s="418"/>
      <c r="FB216" s="418"/>
      <c r="FC216" s="418"/>
      <c r="FD216" s="418"/>
      <c r="FE216" s="418"/>
      <c r="FF216" s="418"/>
      <c r="FG216" s="418"/>
      <c r="FH216" s="418"/>
      <c r="FI216" s="418"/>
      <c r="FJ216" s="418"/>
      <c r="FK216" s="418"/>
      <c r="FL216" s="418"/>
      <c r="FM216" s="418"/>
      <c r="FN216" s="418"/>
      <c r="FO216" s="418"/>
      <c r="FP216" s="418"/>
      <c r="FQ216" s="418"/>
      <c r="FR216" s="418"/>
      <c r="FS216" s="418"/>
      <c r="FT216" s="418"/>
      <c r="FU216" s="418"/>
      <c r="FV216" s="418"/>
      <c r="FW216" s="418"/>
      <c r="FX216" s="418"/>
      <c r="FY216" s="418"/>
      <c r="FZ216" s="418"/>
      <c r="GA216" s="418"/>
      <c r="GB216" s="418"/>
      <c r="GC216" s="418"/>
      <c r="GD216" s="418"/>
      <c r="GE216" s="418"/>
      <c r="GF216" s="418"/>
      <c r="GG216" s="418"/>
      <c r="GH216" s="418"/>
      <c r="GI216" s="418"/>
      <c r="GJ216" s="418"/>
      <c r="GK216" s="418"/>
      <c r="GL216" s="418"/>
      <c r="GM216" s="418"/>
      <c r="GN216" s="418"/>
      <c r="GO216" s="418"/>
      <c r="GP216" s="418"/>
      <c r="GQ216" s="418"/>
      <c r="GR216" s="418"/>
      <c r="GS216" s="418"/>
      <c r="GT216" s="418"/>
      <c r="GU216" s="418"/>
      <c r="GV216" s="418"/>
      <c r="GW216" s="418"/>
      <c r="GX216" s="418"/>
      <c r="GY216" s="418"/>
      <c r="GZ216" s="418"/>
      <c r="HA216" s="418"/>
      <c r="HB216" s="418"/>
      <c r="HC216" s="418"/>
      <c r="HD216" s="418"/>
      <c r="HE216" s="418"/>
      <c r="HF216" s="418"/>
      <c r="HG216" s="418"/>
      <c r="HH216" s="418"/>
      <c r="HI216" s="418"/>
      <c r="HJ216" s="418"/>
      <c r="HK216" s="418"/>
      <c r="HL216" s="418"/>
      <c r="HM216" s="418"/>
      <c r="HN216" s="418"/>
      <c r="HO216" s="418"/>
      <c r="HP216" s="418"/>
      <c r="HQ216" s="418"/>
      <c r="HR216" s="418"/>
      <c r="HS216" s="418"/>
      <c r="HT216" s="418"/>
      <c r="HU216" s="418"/>
      <c r="HV216" s="418"/>
      <c r="HW216" s="418"/>
      <c r="HX216" s="418"/>
      <c r="HY216" s="418"/>
      <c r="HZ216" s="418"/>
      <c r="IA216" s="418"/>
      <c r="IB216" s="418"/>
      <c r="IC216" s="418"/>
      <c r="ID216" s="418"/>
      <c r="IE216" s="418"/>
      <c r="IF216" s="418"/>
      <c r="IG216" s="418"/>
      <c r="IH216" s="418"/>
      <c r="II216" s="418"/>
      <c r="IJ216" s="418"/>
      <c r="IK216" s="418"/>
      <c r="IL216" s="418"/>
      <c r="IM216" s="418"/>
      <c r="IN216" s="418"/>
      <c r="IO216" s="418"/>
      <c r="IP216" s="418"/>
      <c r="IQ216" s="418"/>
      <c r="IR216" s="418"/>
      <c r="IS216" s="418"/>
      <c r="IT216" s="418"/>
      <c r="IU216" s="418"/>
      <c r="IV216" s="418"/>
      <c r="IW216" s="418"/>
      <c r="IX216" s="418"/>
      <c r="IY216" s="418"/>
      <c r="IZ216" s="418"/>
      <c r="JA216" s="418"/>
      <c r="JB216" s="418"/>
    </row>
    <row r="217" spans="1:262" s="423" customFormat="1" ht="20.100000000000001" customHeight="1" x14ac:dyDescent="0.2">
      <c r="A217" s="773">
        <v>207</v>
      </c>
      <c r="B217" s="2406" t="s">
        <v>13</v>
      </c>
      <c r="C217" s="2407"/>
      <c r="D217" s="2407"/>
      <c r="E217" s="2407"/>
      <c r="F217" s="2407"/>
      <c r="G217" s="2408"/>
      <c r="H217" s="1556"/>
      <c r="I217" s="1918"/>
      <c r="J217" s="1918"/>
      <c r="K217" s="1918"/>
      <c r="L217" s="1918"/>
      <c r="M217" s="1918"/>
      <c r="N217" s="1918"/>
      <c r="O217" s="1918"/>
      <c r="P217" s="1918"/>
      <c r="Q217" s="1558"/>
    </row>
    <row r="218" spans="1:262" s="423" customFormat="1" ht="20.100000000000001" customHeight="1" x14ac:dyDescent="0.3">
      <c r="A218" s="773">
        <v>208</v>
      </c>
      <c r="B218" s="1820"/>
      <c r="C218" s="1821"/>
      <c r="D218" s="1920" t="s">
        <v>308</v>
      </c>
      <c r="E218" s="1821"/>
      <c r="F218" s="1821"/>
      <c r="G218" s="1822"/>
      <c r="H218" s="1823"/>
      <c r="I218" s="1916">
        <f t="shared" ref="I218:P218" si="30">I178+I76</f>
        <v>1000</v>
      </c>
      <c r="J218" s="1916">
        <f t="shared" si="30"/>
        <v>500</v>
      </c>
      <c r="K218" s="1916">
        <f t="shared" si="30"/>
        <v>516546</v>
      </c>
      <c r="L218" s="1916">
        <f t="shared" si="30"/>
        <v>165075</v>
      </c>
      <c r="M218" s="1916">
        <f t="shared" si="30"/>
        <v>2703044</v>
      </c>
      <c r="N218" s="1916">
        <f t="shared" si="30"/>
        <v>68500</v>
      </c>
      <c r="O218" s="1916">
        <f t="shared" si="30"/>
        <v>0</v>
      </c>
      <c r="P218" s="1919">
        <f t="shared" si="30"/>
        <v>3454665</v>
      </c>
      <c r="Q218" s="1824"/>
    </row>
    <row r="219" spans="1:262" s="423" customFormat="1" ht="20.100000000000001" customHeight="1" x14ac:dyDescent="0.35">
      <c r="A219" s="773">
        <v>209</v>
      </c>
      <c r="B219" s="1820"/>
      <c r="C219" s="1821"/>
      <c r="D219" s="576" t="s">
        <v>1158</v>
      </c>
      <c r="E219" s="1821"/>
      <c r="F219" s="1821"/>
      <c r="G219" s="1822"/>
      <c r="H219" s="1823"/>
      <c r="I219" s="1827">
        <f t="shared" ref="I219:O219" si="31">I179+I77+I214+I206</f>
        <v>15974</v>
      </c>
      <c r="J219" s="1827">
        <f t="shared" si="31"/>
        <v>2386</v>
      </c>
      <c r="K219" s="1827">
        <f t="shared" si="31"/>
        <v>347216</v>
      </c>
      <c r="L219" s="1827">
        <f t="shared" si="31"/>
        <v>350</v>
      </c>
      <c r="M219" s="1827">
        <f t="shared" si="31"/>
        <v>374137</v>
      </c>
      <c r="N219" s="1827">
        <f t="shared" si="31"/>
        <v>2500</v>
      </c>
      <c r="O219" s="1827">
        <f t="shared" si="31"/>
        <v>1150</v>
      </c>
      <c r="P219" s="767">
        <f>SUM(I219:O219)</f>
        <v>743713</v>
      </c>
      <c r="Q219" s="1824"/>
    </row>
    <row r="220" spans="1:262" s="423" customFormat="1" ht="20.100000000000001" customHeight="1" x14ac:dyDescent="0.3">
      <c r="A220" s="773">
        <v>210</v>
      </c>
      <c r="B220" s="1510"/>
      <c r="C220" s="1511"/>
      <c r="D220" s="1458" t="s">
        <v>947</v>
      </c>
      <c r="E220" s="1511"/>
      <c r="F220" s="1511"/>
      <c r="G220" s="1555"/>
      <c r="H220" s="1557"/>
      <c r="I220" s="1566">
        <f>I180+I78+I215+I207+I211</f>
        <v>0</v>
      </c>
      <c r="J220" s="1566">
        <f t="shared" ref="J220:O220" si="32">J180+J78+J215+J207+J211</f>
        <v>0</v>
      </c>
      <c r="K220" s="1566">
        <f t="shared" si="32"/>
        <v>-228</v>
      </c>
      <c r="L220" s="1566">
        <f t="shared" si="32"/>
        <v>0</v>
      </c>
      <c r="M220" s="1566">
        <f t="shared" si="32"/>
        <v>3302228</v>
      </c>
      <c r="N220" s="1566">
        <f t="shared" si="32"/>
        <v>0</v>
      </c>
      <c r="O220" s="1566">
        <f t="shared" si="32"/>
        <v>0</v>
      </c>
      <c r="P220" s="1516">
        <f>I220+J220+K220+L220+M220+N220+O220</f>
        <v>3302000</v>
      </c>
      <c r="Q220" s="1559"/>
    </row>
    <row r="221" spans="1:262" s="423" customFormat="1" ht="20.100000000000001" customHeight="1" thickBot="1" x14ac:dyDescent="0.35">
      <c r="A221" s="773">
        <v>211</v>
      </c>
      <c r="B221" s="1512"/>
      <c r="C221" s="1513"/>
      <c r="D221" s="1487" t="s">
        <v>1250</v>
      </c>
      <c r="E221" s="1513"/>
      <c r="F221" s="1513"/>
      <c r="G221" s="1560"/>
      <c r="H221" s="1561"/>
      <c r="I221" s="1509">
        <f>SUM(I219:I220)</f>
        <v>15974</v>
      </c>
      <c r="J221" s="1509">
        <f t="shared" ref="J221:O221" si="33">SUM(J219:J220)</f>
        <v>2386</v>
      </c>
      <c r="K221" s="1509">
        <f t="shared" si="33"/>
        <v>346988</v>
      </c>
      <c r="L221" s="1509">
        <f t="shared" si="33"/>
        <v>350</v>
      </c>
      <c r="M221" s="1509">
        <f t="shared" si="33"/>
        <v>3676365</v>
      </c>
      <c r="N221" s="1509">
        <f t="shared" si="33"/>
        <v>2500</v>
      </c>
      <c r="O221" s="1509">
        <f t="shared" si="33"/>
        <v>1150</v>
      </c>
      <c r="P221" s="1509">
        <f>SUM(P219:P220)</f>
        <v>4045713</v>
      </c>
      <c r="Q221" s="1562"/>
    </row>
    <row r="222" spans="1:262" ht="18" customHeight="1" x14ac:dyDescent="0.35">
      <c r="B222" s="764" t="s">
        <v>27</v>
      </c>
      <c r="C222" s="765"/>
      <c r="D222" s="764"/>
      <c r="E222" s="432"/>
      <c r="F222" s="433"/>
      <c r="G222" s="432"/>
      <c r="H222" s="751"/>
      <c r="I222" s="432"/>
      <c r="J222" s="432"/>
      <c r="K222" s="432"/>
      <c r="L222" s="432"/>
      <c r="M222" s="432"/>
      <c r="N222" s="432"/>
      <c r="O222" s="432"/>
      <c r="P222" s="775"/>
    </row>
    <row r="223" spans="1:262" ht="18" customHeight="1" x14ac:dyDescent="0.35">
      <c r="B223" s="764" t="s">
        <v>28</v>
      </c>
      <c r="C223" s="765"/>
      <c r="D223" s="764"/>
      <c r="E223" s="635"/>
      <c r="F223" s="433"/>
      <c r="G223" s="432"/>
      <c r="H223" s="751"/>
      <c r="I223" s="432"/>
      <c r="J223" s="432"/>
      <c r="K223" s="432"/>
      <c r="L223" s="432"/>
      <c r="M223" s="432"/>
      <c r="N223" s="432"/>
      <c r="O223" s="432"/>
      <c r="P223" s="775"/>
    </row>
    <row r="224" spans="1:262" ht="18" customHeight="1" x14ac:dyDescent="0.35">
      <c r="B224" s="764" t="s">
        <v>29</v>
      </c>
      <c r="C224" s="765"/>
      <c r="D224" s="764"/>
      <c r="E224" s="635"/>
      <c r="F224" s="433"/>
      <c r="G224" s="432"/>
      <c r="H224" s="751"/>
      <c r="I224" s="432"/>
      <c r="J224" s="432"/>
      <c r="K224" s="432"/>
      <c r="L224" s="432"/>
      <c r="M224" s="432"/>
      <c r="N224" s="432"/>
      <c r="O224" s="432"/>
      <c r="P224" s="775"/>
    </row>
    <row r="225" spans="2:3" x14ac:dyDescent="0.35">
      <c r="B225" s="429" t="s">
        <v>945</v>
      </c>
      <c r="C225" s="429"/>
    </row>
  </sheetData>
  <mergeCells count="19">
    <mergeCell ref="R8:S8"/>
    <mergeCell ref="I9:L9"/>
    <mergeCell ref="M9:O9"/>
    <mergeCell ref="P9:P10"/>
    <mergeCell ref="B217:G217"/>
    <mergeCell ref="D210:G210"/>
    <mergeCell ref="B1:Q1"/>
    <mergeCell ref="B2:Q2"/>
    <mergeCell ref="A4:Q4"/>
    <mergeCell ref="A5:Q5"/>
    <mergeCell ref="B8:B10"/>
    <mergeCell ref="C8:C10"/>
    <mergeCell ref="D8:D10"/>
    <mergeCell ref="E8:E10"/>
    <mergeCell ref="F8:F10"/>
    <mergeCell ref="G8:G10"/>
    <mergeCell ref="H8:H10"/>
    <mergeCell ref="I8:P8"/>
    <mergeCell ref="Q8:Q10"/>
  </mergeCells>
  <printOptions horizontalCentered="1"/>
  <pageMargins left="0.19685039370078741" right="0.19685039370078741" top="0.59055118110236227" bottom="0.59055118110236227" header="0.31496062992125984" footer="0.31496062992125984"/>
  <pageSetup paperSize="9" scale="58" fitToHeight="0" orientation="landscape" r:id="rId1"/>
  <headerFooter>
    <oddFooter>&amp;C- &amp;P -</oddFooter>
  </headerFooter>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L41"/>
  <sheetViews>
    <sheetView view="pageBreakPreview" topLeftCell="B1" zoomScaleNormal="75" zoomScaleSheetLayoutView="100" workbookViewId="0">
      <selection activeCell="B1" sqref="B1"/>
    </sheetView>
  </sheetViews>
  <sheetFormatPr defaultColWidth="9.140625" defaultRowHeight="16.5" x14ac:dyDescent="0.3"/>
  <cols>
    <col min="1" max="1" width="5.7109375" style="145" customWidth="1"/>
    <col min="2" max="2" width="4.7109375" style="434" customWidth="1"/>
    <col min="3" max="3" width="63.7109375" style="147" customWidth="1"/>
    <col min="4" max="5" width="15.7109375" style="2" customWidth="1"/>
    <col min="6" max="6" width="5.7109375" style="434" customWidth="1"/>
    <col min="7" max="7" width="63.7109375" style="147" customWidth="1"/>
    <col min="8" max="9" width="15.7109375" style="2" customWidth="1"/>
    <col min="10" max="16384" width="9.140625" style="147"/>
  </cols>
  <sheetData>
    <row r="1" spans="1:10" ht="17.25" x14ac:dyDescent="0.35">
      <c r="B1" s="188" t="s">
        <v>1372</v>
      </c>
      <c r="C1" s="188"/>
      <c r="D1" s="188"/>
      <c r="E1" s="188"/>
      <c r="F1" s="188"/>
      <c r="G1" s="188"/>
      <c r="H1" s="188"/>
      <c r="I1" s="188"/>
      <c r="J1" s="188"/>
    </row>
    <row r="2" spans="1:10" s="1" customFormat="1" ht="18" customHeight="1" x14ac:dyDescent="0.3">
      <c r="A2" s="249"/>
      <c r="B2" s="239" t="s">
        <v>1152</v>
      </c>
      <c r="C2" s="239"/>
      <c r="D2" s="239"/>
      <c r="E2" s="239"/>
      <c r="F2" s="239"/>
      <c r="G2" s="239"/>
      <c r="H2" s="239"/>
      <c r="I2" s="239"/>
      <c r="J2" s="239"/>
    </row>
    <row r="3" spans="1:10" s="1" customFormat="1" ht="9.75" customHeight="1" x14ac:dyDescent="0.3">
      <c r="A3" s="249"/>
      <c r="B3" s="249"/>
      <c r="C3" s="1977"/>
      <c r="D3" s="1977"/>
      <c r="E3" s="1977"/>
      <c r="F3" s="1977"/>
      <c r="G3" s="1977"/>
      <c r="H3" s="1977"/>
      <c r="I3" s="1977"/>
      <c r="J3" s="1977"/>
    </row>
    <row r="4" spans="1:10" s="1" customFormat="1" ht="24.75" customHeight="1" x14ac:dyDescent="0.2">
      <c r="A4" s="249"/>
      <c r="B4" s="2144" t="s">
        <v>216</v>
      </c>
      <c r="C4" s="2144"/>
      <c r="D4" s="2144"/>
      <c r="E4" s="2144"/>
      <c r="F4" s="2144"/>
      <c r="G4" s="2144"/>
      <c r="H4" s="2144"/>
      <c r="I4" s="2144"/>
    </row>
    <row r="5" spans="1:10" s="1" customFormat="1" ht="24.75" customHeight="1" x14ac:dyDescent="0.2">
      <c r="A5" s="249"/>
      <c r="B5" s="2144" t="s">
        <v>1143</v>
      </c>
      <c r="C5" s="2144"/>
      <c r="D5" s="2144"/>
      <c r="E5" s="2144"/>
      <c r="F5" s="2144"/>
      <c r="G5" s="2144"/>
      <c r="H5" s="2144"/>
      <c r="I5" s="2144"/>
    </row>
    <row r="6" spans="1:10" s="1004" customFormat="1" ht="18" customHeight="1" x14ac:dyDescent="0.2">
      <c r="A6" s="1002"/>
      <c r="B6" s="1003"/>
      <c r="C6" s="1003"/>
      <c r="D6" s="1003"/>
      <c r="E6" s="1003"/>
      <c r="F6" s="1003"/>
      <c r="G6" s="1003"/>
      <c r="H6" s="154"/>
      <c r="I6" s="154" t="s">
        <v>0</v>
      </c>
    </row>
    <row r="7" spans="1:10" s="1001" customFormat="1" ht="18" customHeight="1" thickBot="1" x14ac:dyDescent="0.25">
      <c r="B7" s="1001" t="s">
        <v>1</v>
      </c>
      <c r="C7" s="1001" t="s">
        <v>416</v>
      </c>
      <c r="D7" s="1001" t="s">
        <v>2</v>
      </c>
      <c r="E7" s="1001" t="s">
        <v>4</v>
      </c>
      <c r="F7" s="1001" t="s">
        <v>5</v>
      </c>
      <c r="G7" s="1001" t="s">
        <v>15</v>
      </c>
      <c r="H7" s="129" t="s">
        <v>16</v>
      </c>
      <c r="I7" s="129" t="s">
        <v>17</v>
      </c>
    </row>
    <row r="8" spans="1:10" ht="51.75" x14ac:dyDescent="0.35">
      <c r="A8" s="145">
        <v>1</v>
      </c>
      <c r="B8" s="470"/>
      <c r="C8" s="471" t="s">
        <v>217</v>
      </c>
      <c r="D8" s="472" t="s">
        <v>946</v>
      </c>
      <c r="E8" s="472" t="s">
        <v>1248</v>
      </c>
      <c r="F8" s="473"/>
      <c r="G8" s="474" t="s">
        <v>218</v>
      </c>
      <c r="H8" s="472" t="s">
        <v>946</v>
      </c>
      <c r="I8" s="475" t="s">
        <v>1248</v>
      </c>
    </row>
    <row r="9" spans="1:10" ht="15" customHeight="1" x14ac:dyDescent="0.3">
      <c r="A9" s="145">
        <v>2</v>
      </c>
      <c r="B9" s="124" t="s">
        <v>130</v>
      </c>
      <c r="C9" s="147" t="s">
        <v>219</v>
      </c>
      <c r="D9" s="476">
        <f>'1.Onbe'!J10+'1.Onbe'!J16</f>
        <v>4640257</v>
      </c>
      <c r="E9" s="476">
        <f>'1.Onbe'!M10+'1.Onbe'!M16</f>
        <v>7056478</v>
      </c>
      <c r="F9" s="477" t="s">
        <v>130</v>
      </c>
      <c r="G9" s="147" t="s">
        <v>40</v>
      </c>
      <c r="H9" s="1581">
        <f>'4.Inki'!K309+'6.Önk.műk.'!J984+'8.Projekt'!I207+'9.MVP és hazai'!I115+'10.EKF'!I218</f>
        <v>4606337</v>
      </c>
      <c r="I9" s="1277">
        <f>'4.Inki'!K312+'6.Önk.műk.'!J987+'8.Projekt'!I210+'9.MVP és hazai'!I118+'10.EKF'!I221</f>
        <v>5170550</v>
      </c>
    </row>
    <row r="10" spans="1:10" ht="15" customHeight="1" x14ac:dyDescent="0.3">
      <c r="A10" s="145">
        <v>3</v>
      </c>
      <c r="B10" s="124" t="s">
        <v>137</v>
      </c>
      <c r="C10" s="147" t="s">
        <v>178</v>
      </c>
      <c r="D10" s="476">
        <f>'1.Onbe'!J17</f>
        <v>7945120</v>
      </c>
      <c r="E10" s="476">
        <f>'1.Onbe'!M17</f>
        <v>8663683</v>
      </c>
      <c r="F10" s="477" t="s">
        <v>137</v>
      </c>
      <c r="G10" s="147" t="s">
        <v>220</v>
      </c>
      <c r="H10" s="1581">
        <f>'4.Inki'!L309+'6.Önk.műk.'!K984+'8.Projekt'!J207+'9.MVP és hazai'!J115+'10.EKF'!J218</f>
        <v>881200</v>
      </c>
      <c r="I10" s="1277">
        <f>'4.Inki'!L312+'6.Önk.műk.'!K987+'8.Projekt'!J210+'9.MVP és hazai'!J118+'10.EKF'!J221</f>
        <v>996138</v>
      </c>
    </row>
    <row r="11" spans="1:10" x14ac:dyDescent="0.3">
      <c r="A11" s="145">
        <v>4</v>
      </c>
      <c r="B11" s="124" t="s">
        <v>138</v>
      </c>
      <c r="C11" s="478" t="s">
        <v>146</v>
      </c>
      <c r="D11" s="476">
        <f>'1.Onbe'!J27+'1.Onbe'!J32</f>
        <v>2529882</v>
      </c>
      <c r="E11" s="476">
        <f>'1.Onbe'!M27+'1.Onbe'!M32</f>
        <v>1979689</v>
      </c>
      <c r="F11" s="477" t="s">
        <v>138</v>
      </c>
      <c r="G11" s="147" t="s">
        <v>42</v>
      </c>
      <c r="H11" s="1581">
        <f>'4.Inki'!M309+'6.Önk.műk.'!L984+'7.Beruh.'!I339+'8.Felúj.'!I136+'8.Projekt'!K207+'9.MVP és hazai'!K115+'10.EKF'!K218</f>
        <v>5506893</v>
      </c>
      <c r="I11" s="1277">
        <f>'4.Inki'!M312+'6.Önk.műk.'!L987+'7.Beruh.'!I342+'8.Felúj.'!I139+'8.Projekt'!K210+'9.MVP és hazai'!K118+'10.EKF'!K221</f>
        <v>5411197</v>
      </c>
    </row>
    <row r="12" spans="1:10" x14ac:dyDescent="0.3">
      <c r="A12" s="145">
        <v>5</v>
      </c>
      <c r="B12" s="124" t="s">
        <v>139</v>
      </c>
      <c r="C12" s="147" t="s">
        <v>183</v>
      </c>
      <c r="D12" s="476">
        <f>'1.Onbe'!J33</f>
        <v>0</v>
      </c>
      <c r="E12" s="476">
        <f>'1.Onbe'!M33+'1.Onbe'!M35</f>
        <v>150710</v>
      </c>
      <c r="F12" s="479" t="s">
        <v>139</v>
      </c>
      <c r="G12" s="147" t="s">
        <v>221</v>
      </c>
      <c r="H12" s="1581">
        <f>'4.Inki'!N309+'6.Önk.műk.'!M984</f>
        <v>23248</v>
      </c>
      <c r="I12" s="1277">
        <f>'4.Inki'!N312+'6.Önk.műk.'!M987</f>
        <v>32338</v>
      </c>
    </row>
    <row r="13" spans="1:10" x14ac:dyDescent="0.3">
      <c r="A13" s="145">
        <v>6</v>
      </c>
      <c r="B13" s="124"/>
      <c r="C13" s="478"/>
      <c r="D13" s="476"/>
      <c r="E13" s="476"/>
      <c r="F13" s="479" t="s">
        <v>140</v>
      </c>
      <c r="G13" s="149" t="s">
        <v>222</v>
      </c>
      <c r="H13" s="1581">
        <f>'4.Inki'!O309+'6.Önk.műk.'!N984+'8.Projekt'!L207+'9.MVP és hazai'!L115+'10.EKF'!L218</f>
        <v>3609806</v>
      </c>
      <c r="I13" s="1277">
        <f>'4.Inki'!O312+'6.Önk.műk.'!N987+'8.Projekt'!L210+'9.MVP és hazai'!L118+'10.EKF'!L221</f>
        <v>3790663</v>
      </c>
    </row>
    <row r="14" spans="1:10" x14ac:dyDescent="0.3">
      <c r="A14" s="145">
        <v>7</v>
      </c>
      <c r="B14" s="124"/>
      <c r="C14" s="478"/>
      <c r="D14" s="476"/>
      <c r="E14" s="476"/>
      <c r="F14" s="479" t="s">
        <v>223</v>
      </c>
      <c r="G14" s="149" t="s">
        <v>595</v>
      </c>
      <c r="H14" s="1581">
        <f>'2.Onki'!J17+'2.Onki'!J27</f>
        <v>313087</v>
      </c>
      <c r="I14" s="1277">
        <f>'2.Onki'!M17+'2.Onki'!M27</f>
        <v>944577</v>
      </c>
    </row>
    <row r="15" spans="1:10" s="1" customFormat="1" ht="24.95" customHeight="1" x14ac:dyDescent="0.3">
      <c r="A15" s="145">
        <v>8</v>
      </c>
      <c r="B15" s="480"/>
      <c r="C15" s="481" t="s">
        <v>224</v>
      </c>
      <c r="D15" s="482">
        <f>SUM(D9:D14)</f>
        <v>15115259</v>
      </c>
      <c r="E15" s="482">
        <f>SUM(E9:E14)</f>
        <v>17850560</v>
      </c>
      <c r="F15" s="483"/>
      <c r="G15" s="481" t="s">
        <v>225</v>
      </c>
      <c r="H15" s="1582">
        <f>SUM(H9:H14)</f>
        <v>14940571</v>
      </c>
      <c r="I15" s="1278">
        <f>SUM(I9:I14)</f>
        <v>16345463</v>
      </c>
    </row>
    <row r="16" spans="1:10" ht="24.75" customHeight="1" x14ac:dyDescent="0.35">
      <c r="A16" s="145">
        <v>9</v>
      </c>
      <c r="B16" s="484"/>
      <c r="C16" s="187" t="s">
        <v>226</v>
      </c>
      <c r="D16" s="518"/>
      <c r="E16" s="518"/>
      <c r="F16" s="485"/>
      <c r="G16" s="187" t="s">
        <v>227</v>
      </c>
      <c r="H16" s="1583"/>
      <c r="I16" s="1584"/>
    </row>
    <row r="17" spans="1:38" x14ac:dyDescent="0.3">
      <c r="A17" s="145">
        <v>10</v>
      </c>
      <c r="B17" s="121" t="s">
        <v>130</v>
      </c>
      <c r="C17" s="486" t="s">
        <v>228</v>
      </c>
      <c r="D17" s="487">
        <f>'1.Onbe'!J37+'1.Onbe'!J40</f>
        <v>8166069</v>
      </c>
      <c r="E17" s="487">
        <f>'1.Onbe'!M37+'1.Onbe'!M40</f>
        <v>13399499</v>
      </c>
      <c r="F17" s="488" t="s">
        <v>130</v>
      </c>
      <c r="G17" s="486" t="s">
        <v>229</v>
      </c>
      <c r="H17" s="1581">
        <f>'2.Onki'!J29+'2.Onki'!J12</f>
        <v>21289183</v>
      </c>
      <c r="I17" s="1277">
        <f>'2.Onki'!M12+'2.Onki'!M29</f>
        <v>26209596</v>
      </c>
      <c r="J17" s="2"/>
    </row>
    <row r="18" spans="1:38" x14ac:dyDescent="0.3">
      <c r="A18" s="145">
        <v>11</v>
      </c>
      <c r="B18" s="121" t="s">
        <v>137</v>
      </c>
      <c r="C18" s="486" t="s">
        <v>189</v>
      </c>
      <c r="D18" s="487">
        <f>'1.Onbe'!J41+'1.Onbe'!J43</f>
        <v>197543</v>
      </c>
      <c r="E18" s="487">
        <f>'1.Onbe'!M41+'1.Onbe'!M43</f>
        <v>42711</v>
      </c>
      <c r="F18" s="488" t="s">
        <v>137</v>
      </c>
      <c r="G18" s="486" t="s">
        <v>164</v>
      </c>
      <c r="H18" s="1581">
        <f>'2.Onki'!J30</f>
        <v>549493</v>
      </c>
      <c r="I18" s="1277">
        <f>'2.Onki'!M30</f>
        <v>2967533</v>
      </c>
      <c r="J18" s="2"/>
    </row>
    <row r="19" spans="1:38" x14ac:dyDescent="0.3">
      <c r="A19" s="145">
        <v>12</v>
      </c>
      <c r="B19" s="121" t="s">
        <v>138</v>
      </c>
      <c r="C19" s="147" t="s">
        <v>192</v>
      </c>
      <c r="D19" s="487">
        <f>'1.Onbe'!K44+'1.Onbe'!K45+'1.Onbe'!K46</f>
        <v>2500</v>
      </c>
      <c r="E19" s="487">
        <f>'1.Onbe'!M44+'1.Onbe'!M45+'1.Onbe'!M46</f>
        <v>2500</v>
      </c>
      <c r="F19" s="488" t="s">
        <v>138</v>
      </c>
      <c r="G19" s="486" t="s">
        <v>230</v>
      </c>
      <c r="H19" s="1581">
        <f>'2.Onki'!J31+'2.Onki'!J13</f>
        <v>388439</v>
      </c>
      <c r="I19" s="1277">
        <f>'2.Onki'!M31+'2.Onki'!M13</f>
        <v>163236</v>
      </c>
      <c r="J19" s="2"/>
    </row>
    <row r="20" spans="1:38" x14ac:dyDescent="0.3">
      <c r="A20" s="145">
        <v>13</v>
      </c>
      <c r="B20" s="121"/>
      <c r="D20" s="487"/>
      <c r="E20" s="487"/>
      <c r="F20" s="488" t="s">
        <v>139</v>
      </c>
      <c r="G20" s="486" t="s">
        <v>596</v>
      </c>
      <c r="H20" s="1581">
        <f>'2.Onki'!J23</f>
        <v>384588</v>
      </c>
      <c r="I20" s="1277">
        <f>'2.Onki'!M23</f>
        <v>642987</v>
      </c>
    </row>
    <row r="21" spans="1:38" s="1" customFormat="1" ht="24.95" customHeight="1" thickBot="1" x14ac:dyDescent="0.35">
      <c r="A21" s="145">
        <v>14</v>
      </c>
      <c r="B21" s="489"/>
      <c r="C21" s="490" t="s">
        <v>231</v>
      </c>
      <c r="D21" s="519">
        <f>SUM(D17:D20)</f>
        <v>8366112</v>
      </c>
      <c r="E21" s="519">
        <f>SUM(E17:E20)</f>
        <v>13444710</v>
      </c>
      <c r="F21" s="491"/>
      <c r="G21" s="490" t="s">
        <v>232</v>
      </c>
      <c r="H21" s="1585">
        <f>SUM(H17:H20)</f>
        <v>22611703</v>
      </c>
      <c r="I21" s="1586">
        <f>SUM(I17:I20)</f>
        <v>29983352</v>
      </c>
    </row>
    <row r="22" spans="1:38" s="1" customFormat="1" ht="24.75" customHeight="1" thickTop="1" thickBot="1" x14ac:dyDescent="0.35">
      <c r="A22" s="145">
        <v>15</v>
      </c>
      <c r="B22" s="492"/>
      <c r="C22" s="493" t="s">
        <v>195</v>
      </c>
      <c r="D22" s="520">
        <f>SUM(D15,D21)</f>
        <v>23481371</v>
      </c>
      <c r="E22" s="520">
        <f>SUM(E15,E21)</f>
        <v>31295270</v>
      </c>
      <c r="F22" s="494"/>
      <c r="G22" s="493" t="s">
        <v>209</v>
      </c>
      <c r="H22" s="1587">
        <f>SUM(H15,H21)</f>
        <v>37552274</v>
      </c>
      <c r="I22" s="1588">
        <f>SUM(I15,I21)</f>
        <v>46328815</v>
      </c>
    </row>
    <row r="23" spans="1:38" s="1" customFormat="1" ht="24.95" customHeight="1" thickTop="1" x14ac:dyDescent="0.35">
      <c r="A23" s="145">
        <v>16</v>
      </c>
      <c r="B23" s="495"/>
      <c r="C23" s="187" t="s">
        <v>233</v>
      </c>
      <c r="D23" s="521"/>
      <c r="E23" s="521"/>
      <c r="F23" s="496"/>
      <c r="G23" s="187" t="s">
        <v>234</v>
      </c>
      <c r="H23" s="1589"/>
      <c r="I23" s="1590"/>
    </row>
    <row r="24" spans="1:38" s="1" customFormat="1" x14ac:dyDescent="0.3">
      <c r="A24" s="145">
        <v>17</v>
      </c>
      <c r="B24" s="27" t="s">
        <v>130</v>
      </c>
      <c r="C24" s="1" t="s">
        <v>235</v>
      </c>
      <c r="D24" s="521"/>
      <c r="E24" s="521"/>
      <c r="F24" s="496" t="s">
        <v>130</v>
      </c>
      <c r="G24" s="1" t="s">
        <v>236</v>
      </c>
      <c r="H24" s="1589"/>
      <c r="I24" s="1590"/>
    </row>
    <row r="25" spans="1:38" s="1" customFormat="1" x14ac:dyDescent="0.3">
      <c r="A25" s="145">
        <v>18</v>
      </c>
      <c r="B25" s="27" t="s">
        <v>137</v>
      </c>
      <c r="C25" s="1" t="s">
        <v>307</v>
      </c>
      <c r="D25" s="521">
        <f>'1.Onbe'!J53</f>
        <v>1081085</v>
      </c>
      <c r="E25" s="521">
        <f>'1.Onbe'!M53</f>
        <v>2162285</v>
      </c>
      <c r="F25" s="496" t="s">
        <v>137</v>
      </c>
      <c r="G25" s="1" t="s">
        <v>264</v>
      </c>
      <c r="H25" s="1589">
        <f>'2.Onki'!J38</f>
        <v>111267</v>
      </c>
      <c r="I25" s="1590">
        <f>'2.Onki'!M38</f>
        <v>439630</v>
      </c>
    </row>
    <row r="26" spans="1:38" s="1" customFormat="1" x14ac:dyDescent="0.3">
      <c r="A26" s="145">
        <v>19</v>
      </c>
      <c r="B26" s="27" t="s">
        <v>138</v>
      </c>
      <c r="C26" s="1" t="s">
        <v>263</v>
      </c>
      <c r="D26" s="521">
        <f>'1.Onbe'!J51</f>
        <v>0</v>
      </c>
      <c r="E26" s="521">
        <f>'1.Onbe'!M51</f>
        <v>328363</v>
      </c>
      <c r="F26" s="496"/>
      <c r="H26" s="1589"/>
      <c r="I26" s="1590"/>
    </row>
    <row r="27" spans="1:38" s="1" customFormat="1" ht="24" customHeight="1" x14ac:dyDescent="0.35">
      <c r="A27" s="145">
        <v>20</v>
      </c>
      <c r="B27" s="495"/>
      <c r="C27" s="187" t="s">
        <v>237</v>
      </c>
      <c r="D27" s="521"/>
      <c r="E27" s="521"/>
      <c r="F27" s="496"/>
      <c r="G27" s="187" t="s">
        <v>238</v>
      </c>
      <c r="H27" s="1589"/>
      <c r="I27" s="1590"/>
    </row>
    <row r="28" spans="1:38" s="1" customFormat="1" x14ac:dyDescent="0.3">
      <c r="A28" s="145">
        <v>21</v>
      </c>
      <c r="B28" s="27" t="s">
        <v>139</v>
      </c>
      <c r="C28" s="1" t="s">
        <v>239</v>
      </c>
      <c r="D28" s="521">
        <f>'1.Onbe'!J61</f>
        <v>1409800</v>
      </c>
      <c r="E28" s="521">
        <f>'1.Onbe'!M63+'1.Onbe'!M64</f>
        <v>1260000</v>
      </c>
      <c r="F28" s="496" t="s">
        <v>138</v>
      </c>
      <c r="G28" s="1" t="s">
        <v>240</v>
      </c>
      <c r="H28" s="1589">
        <f>'2.Onki'!J40</f>
        <v>108504</v>
      </c>
      <c r="I28" s="1590">
        <f>'2.Onki'!M40</f>
        <v>108505</v>
      </c>
    </row>
    <row r="29" spans="1:38" s="1" customFormat="1" x14ac:dyDescent="0.3">
      <c r="A29" s="145">
        <v>22</v>
      </c>
      <c r="B29" s="27" t="s">
        <v>140</v>
      </c>
      <c r="C29" s="1" t="s">
        <v>235</v>
      </c>
      <c r="D29" s="521"/>
      <c r="E29" s="521"/>
      <c r="F29" s="496" t="s">
        <v>139</v>
      </c>
      <c r="G29" s="1" t="s">
        <v>236</v>
      </c>
      <c r="H29" s="1589"/>
      <c r="I29" s="1590"/>
    </row>
    <row r="30" spans="1:38" s="1" customFormat="1" x14ac:dyDescent="0.3">
      <c r="A30" s="145">
        <v>23</v>
      </c>
      <c r="B30" s="27" t="s">
        <v>223</v>
      </c>
      <c r="C30" s="1" t="s">
        <v>307</v>
      </c>
      <c r="D30" s="521">
        <f>'1.Onbe'!J57</f>
        <v>11802289</v>
      </c>
      <c r="E30" s="521">
        <f>'1.Onbe'!M57</f>
        <v>11831032</v>
      </c>
      <c r="F30" s="496"/>
      <c r="H30" s="1589"/>
      <c r="I30" s="1590"/>
    </row>
    <row r="31" spans="1:38" s="498" customFormat="1" ht="24.75" customHeight="1" thickBot="1" x14ac:dyDescent="0.35">
      <c r="A31" s="145">
        <v>24</v>
      </c>
      <c r="B31" s="384"/>
      <c r="C31" s="270" t="s">
        <v>241</v>
      </c>
      <c r="D31" s="522">
        <f>SUM(D23:D30)</f>
        <v>14293174</v>
      </c>
      <c r="E31" s="522">
        <f>SUM(E23:E30)</f>
        <v>15581680</v>
      </c>
      <c r="F31" s="497"/>
      <c r="G31" s="270" t="s">
        <v>242</v>
      </c>
      <c r="H31" s="1591">
        <f>SUM(H23:H30)</f>
        <v>219771</v>
      </c>
      <c r="I31" s="1592">
        <f>SUM(I23:I30)</f>
        <v>548135</v>
      </c>
      <c r="J31" s="1"/>
      <c r="K31" s="1"/>
      <c r="L31" s="1"/>
      <c r="M31" s="1"/>
      <c r="N31" s="1"/>
      <c r="O31" s="1"/>
      <c r="P31" s="1"/>
      <c r="Q31" s="1"/>
      <c r="R31" s="1"/>
      <c r="S31" s="1"/>
      <c r="T31" s="1"/>
      <c r="U31" s="1"/>
      <c r="V31" s="1"/>
      <c r="W31" s="1"/>
      <c r="X31" s="1"/>
      <c r="Y31" s="1"/>
      <c r="Z31" s="1"/>
      <c r="AA31" s="1"/>
      <c r="AB31" s="1"/>
      <c r="AC31" s="1"/>
      <c r="AD31" s="1"/>
      <c r="AE31" s="1"/>
      <c r="AF31" s="1"/>
      <c r="AG31" s="1"/>
      <c r="AH31" s="1"/>
      <c r="AI31" s="1"/>
      <c r="AJ31" s="1"/>
      <c r="AK31" s="1"/>
      <c r="AL31" s="1"/>
    </row>
    <row r="32" spans="1:38" s="1" customFormat="1" ht="30" customHeight="1" thickTop="1" thickBot="1" x14ac:dyDescent="0.35">
      <c r="A32" s="145">
        <v>25</v>
      </c>
      <c r="B32" s="499"/>
      <c r="C32" s="270" t="s">
        <v>243</v>
      </c>
      <c r="D32" s="519">
        <f>SUM(D22,D31)</f>
        <v>37774545</v>
      </c>
      <c r="E32" s="519">
        <f>SUM(E22,E31)</f>
        <v>46876950</v>
      </c>
      <c r="F32" s="500"/>
      <c r="G32" s="270" t="s">
        <v>244</v>
      </c>
      <c r="H32" s="1585">
        <f>SUM(H22,H31)</f>
        <v>37772045</v>
      </c>
      <c r="I32" s="1586">
        <f>SUM(I22,I31)</f>
        <v>46876950</v>
      </c>
    </row>
    <row r="33" spans="1:9" s="1" customFormat="1" ht="18" thickTop="1" x14ac:dyDescent="0.3">
      <c r="A33" s="145">
        <v>26</v>
      </c>
      <c r="B33" s="501"/>
      <c r="C33" s="502" t="s">
        <v>196</v>
      </c>
      <c r="D33" s="523">
        <f>+D22-H22</f>
        <v>-14070903</v>
      </c>
      <c r="E33" s="523">
        <f>+E22-I22</f>
        <v>-15033545</v>
      </c>
      <c r="F33" s="503"/>
      <c r="G33" s="504"/>
      <c r="H33" s="1589"/>
      <c r="I33" s="1590"/>
    </row>
    <row r="34" spans="1:9" s="1" customFormat="1" ht="17.25" x14ac:dyDescent="0.3">
      <c r="A34" s="145">
        <v>27</v>
      </c>
      <c r="B34" s="505"/>
      <c r="C34" s="506" t="s">
        <v>245</v>
      </c>
      <c r="D34" s="524">
        <f>+D15-H15</f>
        <v>174688</v>
      </c>
      <c r="E34" s="524">
        <f>+E15-I15</f>
        <v>1505097</v>
      </c>
      <c r="F34" s="503"/>
      <c r="G34" s="504"/>
      <c r="H34" s="1589"/>
      <c r="I34" s="1590"/>
    </row>
    <row r="35" spans="1:9" s="1" customFormat="1" ht="17.25" x14ac:dyDescent="0.3">
      <c r="A35" s="145">
        <v>28</v>
      </c>
      <c r="B35" s="505"/>
      <c r="C35" s="506" t="s">
        <v>246</v>
      </c>
      <c r="D35" s="524">
        <f>+D21-H21</f>
        <v>-14245591</v>
      </c>
      <c r="E35" s="524">
        <f>+E21-I21</f>
        <v>-16538642</v>
      </c>
      <c r="F35" s="503"/>
      <c r="G35" s="504"/>
      <c r="H35" s="1589"/>
      <c r="I35" s="1590"/>
    </row>
    <row r="36" spans="1:9" s="1" customFormat="1" ht="17.25" x14ac:dyDescent="0.3">
      <c r="A36" s="145">
        <v>29</v>
      </c>
      <c r="B36" s="505"/>
      <c r="C36" s="507" t="s">
        <v>247</v>
      </c>
      <c r="D36" s="524">
        <f>+D33-H31</f>
        <v>-14290674</v>
      </c>
      <c r="E36" s="524">
        <f>+E33-I31</f>
        <v>-15581680</v>
      </c>
      <c r="F36" s="503"/>
      <c r="G36" s="504"/>
      <c r="H36" s="1589"/>
      <c r="I36" s="1590"/>
    </row>
    <row r="37" spans="1:9" s="1" customFormat="1" ht="32.25" customHeight="1" x14ac:dyDescent="0.3">
      <c r="A37" s="145">
        <v>30</v>
      </c>
      <c r="B37" s="505"/>
      <c r="C37" s="508" t="s">
        <v>461</v>
      </c>
      <c r="D37" s="524">
        <f>D30+D25</f>
        <v>12883374</v>
      </c>
      <c r="E37" s="524">
        <f>E30+E25</f>
        <v>13993317</v>
      </c>
      <c r="F37" s="503"/>
      <c r="G37" s="504"/>
      <c r="H37" s="1589"/>
      <c r="I37" s="1590"/>
    </row>
    <row r="38" spans="1:9" s="1" customFormat="1" ht="33.75" customHeight="1" x14ac:dyDescent="0.3">
      <c r="A38" s="145">
        <v>31</v>
      </c>
      <c r="B38" s="509"/>
      <c r="C38" s="510" t="s">
        <v>462</v>
      </c>
      <c r="D38" s="525">
        <f>D28</f>
        <v>1409800</v>
      </c>
      <c r="E38" s="525">
        <f>E28</f>
        <v>1260000</v>
      </c>
      <c r="F38" s="511"/>
      <c r="G38" s="512"/>
      <c r="H38" s="1593"/>
      <c r="I38" s="1594"/>
    </row>
    <row r="39" spans="1:9" ht="20.100000000000001" customHeight="1" x14ac:dyDescent="0.3">
      <c r="A39" s="145">
        <v>32</v>
      </c>
      <c r="B39" s="513"/>
      <c r="C39" s="147" t="s">
        <v>248</v>
      </c>
      <c r="D39" s="526">
        <f>(D15+D24+D25+D26)/D32</f>
        <v>0.42876344374234027</v>
      </c>
      <c r="E39" s="526">
        <f>(E15+E24+E25+E26)/E32</f>
        <v>0.4339277192735449</v>
      </c>
      <c r="F39" s="514"/>
      <c r="G39" s="147" t="s">
        <v>249</v>
      </c>
      <c r="H39" s="1595">
        <f>(H15+H24+H25)/H32</f>
        <v>0.39849147696398224</v>
      </c>
      <c r="I39" s="1596">
        <f>(I15+I24+I25)/I32</f>
        <v>0.35806708840912216</v>
      </c>
    </row>
    <row r="40" spans="1:9" ht="20.100000000000001" customHeight="1" thickBot="1" x14ac:dyDescent="0.35">
      <c r="A40" s="145">
        <v>33</v>
      </c>
      <c r="B40" s="515"/>
      <c r="C40" s="516" t="s">
        <v>250</v>
      </c>
      <c r="D40" s="527">
        <f>(D21+D28+D29+D30)/D32</f>
        <v>0.57123655625765979</v>
      </c>
      <c r="E40" s="527">
        <f>(E21+E28+E29+E30)/E32</f>
        <v>0.5660722807264551</v>
      </c>
      <c r="F40" s="517"/>
      <c r="G40" s="516" t="s">
        <v>251</v>
      </c>
      <c r="H40" s="1597">
        <f>(H21+H28+H29)/H32</f>
        <v>0.60150852303601776</v>
      </c>
      <c r="I40" s="1598">
        <f>(I21+I28+I29)/I32</f>
        <v>0.64193291159087784</v>
      </c>
    </row>
    <row r="41" spans="1:9" x14ac:dyDescent="0.3">
      <c r="G41" s="147" t="s">
        <v>252</v>
      </c>
    </row>
  </sheetData>
  <mergeCells count="2">
    <mergeCell ref="B4:I4"/>
    <mergeCell ref="B5:I5"/>
  </mergeCells>
  <printOptions horizontalCentered="1" verticalCentered="1"/>
  <pageMargins left="0.19685039370078741" right="0.19685039370078741" top="0.19685039370078741" bottom="0.31496062992125984" header="0.11811023622047245" footer="0.11811023622047245"/>
  <pageSetup paperSize="9" scale="70" orientation="landscape" r:id="rId1"/>
  <headerFooter alignWithMargins="0">
    <oddFooter>&amp;C- &amp;P -</oddFooter>
  </headerFooter>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I85"/>
  <sheetViews>
    <sheetView view="pageBreakPreview" zoomScaleNormal="100" zoomScaleSheetLayoutView="100" workbookViewId="0">
      <selection activeCell="C13" sqref="C13"/>
    </sheetView>
  </sheetViews>
  <sheetFormatPr defaultColWidth="31.28515625" defaultRowHeight="16.5" x14ac:dyDescent="0.3"/>
  <cols>
    <col min="1" max="1" width="3.7109375" style="131" customWidth="1"/>
    <col min="2" max="2" width="4.7109375" style="19" customWidth="1"/>
    <col min="3" max="3" width="50.7109375" style="39" customWidth="1"/>
    <col min="4" max="6" width="13.7109375" style="21" customWidth="1"/>
    <col min="7" max="7" width="30.7109375" style="22" customWidth="1"/>
    <col min="8" max="8" width="12.140625" style="23" customWidth="1"/>
    <col min="9" max="9" width="12.85546875" style="23" customWidth="1"/>
    <col min="10" max="16384" width="31.28515625" style="23"/>
  </cols>
  <sheetData>
    <row r="1" spans="1:9" ht="35.25" customHeight="1" x14ac:dyDescent="0.35">
      <c r="B1" s="2424" t="s">
        <v>1214</v>
      </c>
      <c r="C1" s="2424"/>
      <c r="D1" s="2424"/>
      <c r="E1" s="2424"/>
      <c r="F1" s="2424"/>
      <c r="G1" s="2424"/>
      <c r="H1" s="1651"/>
      <c r="I1" s="1651"/>
    </row>
    <row r="2" spans="1:9" x14ac:dyDescent="0.3">
      <c r="A2" s="282"/>
      <c r="B2" s="239" t="s">
        <v>1215</v>
      </c>
      <c r="C2" s="239"/>
      <c r="D2" s="239"/>
      <c r="E2" s="239"/>
      <c r="F2" s="239"/>
      <c r="G2" s="239"/>
    </row>
    <row r="3" spans="1:9" x14ac:dyDescent="0.3">
      <c r="A3" s="282"/>
      <c r="B3" s="2029"/>
      <c r="C3" s="2029"/>
      <c r="D3" s="2029"/>
      <c r="E3" s="20"/>
      <c r="G3" s="1005"/>
    </row>
    <row r="4" spans="1:9" ht="24.95" customHeight="1" x14ac:dyDescent="0.3">
      <c r="A4" s="282"/>
      <c r="C4" s="2143" t="s">
        <v>122</v>
      </c>
      <c r="D4" s="2143"/>
      <c r="E4" s="2143"/>
      <c r="F4" s="2143"/>
      <c r="G4" s="2143"/>
    </row>
    <row r="5" spans="1:9" ht="24.95" customHeight="1" x14ac:dyDescent="0.3">
      <c r="A5" s="282"/>
      <c r="B5" s="2143" t="s">
        <v>1163</v>
      </c>
      <c r="C5" s="2143"/>
      <c r="D5" s="2143"/>
      <c r="E5" s="2143"/>
      <c r="F5" s="2143"/>
      <c r="G5" s="2143"/>
    </row>
    <row r="6" spans="1:9" s="133" customFormat="1" ht="18" customHeight="1" thickBot="1" x14ac:dyDescent="0.35">
      <c r="A6" s="131"/>
      <c r="B6" s="130" t="s">
        <v>1</v>
      </c>
      <c r="C6" s="132" t="s">
        <v>3</v>
      </c>
      <c r="D6" s="22" t="s">
        <v>2</v>
      </c>
      <c r="E6" s="22" t="s">
        <v>4</v>
      </c>
      <c r="F6" s="22" t="s">
        <v>5</v>
      </c>
      <c r="G6" s="22" t="s">
        <v>15</v>
      </c>
    </row>
    <row r="7" spans="1:9" ht="72" customHeight="1" thickBot="1" x14ac:dyDescent="0.35">
      <c r="B7" s="24" t="s">
        <v>18</v>
      </c>
      <c r="C7" s="25" t="s">
        <v>6</v>
      </c>
      <c r="D7" s="465" t="s">
        <v>667</v>
      </c>
      <c r="E7" s="465" t="s">
        <v>123</v>
      </c>
      <c r="F7" s="465" t="s">
        <v>667</v>
      </c>
      <c r="G7" s="26" t="s">
        <v>124</v>
      </c>
    </row>
    <row r="8" spans="1:9" s="123" customFormat="1" ht="21.75" customHeight="1" thickTop="1" x14ac:dyDescent="0.3">
      <c r="A8" s="130">
        <v>1</v>
      </c>
      <c r="B8" s="124">
        <v>1</v>
      </c>
      <c r="C8" s="562" t="s">
        <v>311</v>
      </c>
      <c r="D8" s="466">
        <v>38</v>
      </c>
      <c r="E8" s="466"/>
      <c r="F8" s="466">
        <f t="shared" ref="F8:F27" si="0">SUM(D8:E8)</f>
        <v>38</v>
      </c>
      <c r="G8" s="135"/>
    </row>
    <row r="9" spans="1:9" s="123" customFormat="1" ht="21.75" customHeight="1" x14ac:dyDescent="0.3">
      <c r="A9" s="130">
        <v>2</v>
      </c>
      <c r="B9" s="124">
        <v>2</v>
      </c>
      <c r="C9" s="562" t="s">
        <v>310</v>
      </c>
      <c r="D9" s="466">
        <v>70</v>
      </c>
      <c r="E9" s="466"/>
      <c r="F9" s="466">
        <f t="shared" si="0"/>
        <v>70</v>
      </c>
      <c r="G9" s="135"/>
    </row>
    <row r="10" spans="1:9" s="123" customFormat="1" ht="21.75" customHeight="1" x14ac:dyDescent="0.3">
      <c r="A10" s="130">
        <v>3</v>
      </c>
      <c r="B10" s="124">
        <v>3</v>
      </c>
      <c r="C10" s="562" t="s">
        <v>265</v>
      </c>
      <c r="D10" s="466">
        <v>83.5</v>
      </c>
      <c r="E10" s="466"/>
      <c r="F10" s="466">
        <f t="shared" si="0"/>
        <v>83.5</v>
      </c>
      <c r="G10" s="135"/>
    </row>
    <row r="11" spans="1:9" s="123" customFormat="1" ht="21.75" customHeight="1" x14ac:dyDescent="0.3">
      <c r="A11" s="130">
        <v>4</v>
      </c>
      <c r="B11" s="124">
        <v>4</v>
      </c>
      <c r="C11" s="562" t="s">
        <v>266</v>
      </c>
      <c r="D11" s="466">
        <v>60</v>
      </c>
      <c r="E11" s="466"/>
      <c r="F11" s="466">
        <f t="shared" si="0"/>
        <v>60</v>
      </c>
      <c r="G11" s="135"/>
    </row>
    <row r="12" spans="1:9" s="123" customFormat="1" ht="21.75" customHeight="1" x14ac:dyDescent="0.3">
      <c r="A12" s="130">
        <v>5</v>
      </c>
      <c r="B12" s="124">
        <v>5</v>
      </c>
      <c r="C12" s="562" t="s">
        <v>267</v>
      </c>
      <c r="D12" s="466">
        <v>61.5</v>
      </c>
      <c r="E12" s="466"/>
      <c r="F12" s="466">
        <f t="shared" si="0"/>
        <v>61.5</v>
      </c>
      <c r="G12" s="135"/>
    </row>
    <row r="13" spans="1:9" s="123" customFormat="1" ht="27" customHeight="1" x14ac:dyDescent="0.3">
      <c r="A13" s="130">
        <v>6</v>
      </c>
      <c r="B13" s="124">
        <v>6</v>
      </c>
      <c r="C13" s="562" t="s">
        <v>268</v>
      </c>
      <c r="D13" s="466">
        <v>36</v>
      </c>
      <c r="E13" s="466"/>
      <c r="F13" s="466">
        <f t="shared" si="0"/>
        <v>36</v>
      </c>
      <c r="G13" s="1887" t="s">
        <v>1029</v>
      </c>
    </row>
    <row r="14" spans="1:9" s="125" customFormat="1" ht="21.75" customHeight="1" x14ac:dyDescent="0.2">
      <c r="A14" s="130">
        <v>7</v>
      </c>
      <c r="B14" s="124"/>
      <c r="C14" s="126" t="s">
        <v>253</v>
      </c>
      <c r="D14" s="467">
        <v>2</v>
      </c>
      <c r="E14" s="467"/>
      <c r="F14" s="467">
        <f t="shared" si="0"/>
        <v>2</v>
      </c>
      <c r="G14" s="136"/>
    </row>
    <row r="15" spans="1:9" s="123" customFormat="1" ht="33" x14ac:dyDescent="0.3">
      <c r="A15" s="130">
        <v>8</v>
      </c>
      <c r="B15" s="124">
        <v>7</v>
      </c>
      <c r="C15" s="564" t="s">
        <v>386</v>
      </c>
      <c r="D15" s="466">
        <v>200</v>
      </c>
      <c r="E15" s="466"/>
      <c r="F15" s="466">
        <f t="shared" si="0"/>
        <v>200</v>
      </c>
      <c r="G15" s="617"/>
    </row>
    <row r="16" spans="1:9" ht="33" customHeight="1" x14ac:dyDescent="0.3">
      <c r="A16" s="130">
        <v>9</v>
      </c>
      <c r="B16" s="124">
        <v>8</v>
      </c>
      <c r="C16" s="563" t="s">
        <v>125</v>
      </c>
      <c r="D16" s="466">
        <v>13.25</v>
      </c>
      <c r="E16" s="466"/>
      <c r="F16" s="466">
        <f t="shared" si="0"/>
        <v>13.25</v>
      </c>
      <c r="G16" s="137"/>
    </row>
    <row r="17" spans="1:7" ht="46.5" customHeight="1" x14ac:dyDescent="0.3">
      <c r="A17" s="130">
        <v>10</v>
      </c>
      <c r="B17" s="124">
        <v>9</v>
      </c>
      <c r="C17" s="563" t="s">
        <v>541</v>
      </c>
      <c r="D17" s="466">
        <v>63</v>
      </c>
      <c r="E17" s="466"/>
      <c r="F17" s="466">
        <f t="shared" si="0"/>
        <v>63</v>
      </c>
      <c r="G17" s="139" t="s">
        <v>1232</v>
      </c>
    </row>
    <row r="18" spans="1:7" s="125" customFormat="1" ht="21.75" customHeight="1" x14ac:dyDescent="0.2">
      <c r="A18" s="130">
        <v>11</v>
      </c>
      <c r="B18" s="124"/>
      <c r="C18" s="126" t="s">
        <v>253</v>
      </c>
      <c r="D18" s="467">
        <v>0</v>
      </c>
      <c r="E18" s="467"/>
      <c r="F18" s="467">
        <f t="shared" si="0"/>
        <v>0</v>
      </c>
      <c r="G18" s="136"/>
    </row>
    <row r="19" spans="1:7" ht="21.75" customHeight="1" x14ac:dyDescent="0.3">
      <c r="A19" s="130">
        <v>12</v>
      </c>
      <c r="B19" s="121">
        <v>10</v>
      </c>
      <c r="C19" s="560" t="s">
        <v>542</v>
      </c>
      <c r="D19" s="28">
        <v>24.25</v>
      </c>
      <c r="E19" s="28"/>
      <c r="F19" s="28">
        <f t="shared" si="0"/>
        <v>24.25</v>
      </c>
      <c r="G19" s="137"/>
    </row>
    <row r="20" spans="1:7" ht="33" customHeight="1" x14ac:dyDescent="0.2">
      <c r="A20" s="130">
        <v>13</v>
      </c>
      <c r="B20" s="124">
        <v>11</v>
      </c>
      <c r="C20" s="563" t="s">
        <v>525</v>
      </c>
      <c r="D20" s="28">
        <v>22</v>
      </c>
      <c r="E20" s="28"/>
      <c r="F20" s="28">
        <f t="shared" si="0"/>
        <v>22</v>
      </c>
      <c r="G20" s="137"/>
    </row>
    <row r="21" spans="1:7" s="123" customFormat="1" ht="21.75" customHeight="1" x14ac:dyDescent="0.3">
      <c r="A21" s="130">
        <v>14</v>
      </c>
      <c r="B21" s="121">
        <v>12</v>
      </c>
      <c r="C21" s="122" t="s">
        <v>25</v>
      </c>
      <c r="D21" s="466">
        <v>51.5</v>
      </c>
      <c r="E21" s="466"/>
      <c r="F21" s="466">
        <f t="shared" si="0"/>
        <v>51.5</v>
      </c>
      <c r="G21" s="135"/>
    </row>
    <row r="22" spans="1:7" s="123" customFormat="1" ht="27.75" customHeight="1" x14ac:dyDescent="0.3">
      <c r="A22" s="130">
        <v>15</v>
      </c>
      <c r="B22" s="121">
        <v>13</v>
      </c>
      <c r="C22" s="122" t="s">
        <v>34</v>
      </c>
      <c r="D22" s="466">
        <v>53</v>
      </c>
      <c r="E22" s="466"/>
      <c r="F22" s="466">
        <f t="shared" si="0"/>
        <v>53</v>
      </c>
      <c r="G22" s="140"/>
    </row>
    <row r="23" spans="1:7" s="125" customFormat="1" ht="34.5" x14ac:dyDescent="0.2">
      <c r="A23" s="130">
        <v>16</v>
      </c>
      <c r="B23" s="124"/>
      <c r="C23" s="126" t="s">
        <v>937</v>
      </c>
      <c r="D23" s="467">
        <v>6</v>
      </c>
      <c r="E23" s="467"/>
      <c r="F23" s="467">
        <f t="shared" si="0"/>
        <v>6</v>
      </c>
      <c r="G23" s="1786" t="s">
        <v>936</v>
      </c>
    </row>
    <row r="24" spans="1:7" ht="31.5" customHeight="1" x14ac:dyDescent="0.3">
      <c r="A24" s="130">
        <v>17</v>
      </c>
      <c r="B24" s="121">
        <v>14</v>
      </c>
      <c r="C24" s="560" t="s">
        <v>530</v>
      </c>
      <c r="D24" s="466">
        <v>22</v>
      </c>
      <c r="E24" s="466"/>
      <c r="F24" s="466">
        <f t="shared" si="0"/>
        <v>22</v>
      </c>
      <c r="G24" s="1786" t="s">
        <v>1050</v>
      </c>
    </row>
    <row r="25" spans="1:7" s="125" customFormat="1" ht="21.75" customHeight="1" x14ac:dyDescent="0.2">
      <c r="A25" s="130">
        <v>18</v>
      </c>
      <c r="B25" s="124"/>
      <c r="C25" s="126" t="s">
        <v>253</v>
      </c>
      <c r="D25" s="467">
        <v>1</v>
      </c>
      <c r="E25" s="467"/>
      <c r="F25" s="467">
        <f t="shared" si="0"/>
        <v>1</v>
      </c>
      <c r="G25" s="136"/>
    </row>
    <row r="26" spans="1:7" s="123" customFormat="1" ht="21.75" customHeight="1" x14ac:dyDescent="0.3">
      <c r="A26" s="130">
        <v>19</v>
      </c>
      <c r="B26" s="121">
        <v>15</v>
      </c>
      <c r="C26" s="122" t="s">
        <v>157</v>
      </c>
      <c r="D26" s="466">
        <v>102</v>
      </c>
      <c r="E26" s="466"/>
      <c r="F26" s="466">
        <f t="shared" si="0"/>
        <v>102</v>
      </c>
      <c r="G26" s="135"/>
    </row>
    <row r="27" spans="1:7" ht="21.75" customHeight="1" thickBot="1" x14ac:dyDescent="0.35">
      <c r="A27" s="130">
        <v>20</v>
      </c>
      <c r="B27" s="561">
        <v>16</v>
      </c>
      <c r="C27" s="647" t="s">
        <v>269</v>
      </c>
      <c r="D27" s="648">
        <v>53.25</v>
      </c>
      <c r="E27" s="648"/>
      <c r="F27" s="648">
        <f t="shared" si="0"/>
        <v>53.25</v>
      </c>
      <c r="G27" s="649"/>
    </row>
    <row r="28" spans="1:7" ht="30" customHeight="1" thickTop="1" thickBot="1" x14ac:dyDescent="0.25">
      <c r="A28" s="130">
        <v>21</v>
      </c>
      <c r="B28" s="31"/>
      <c r="C28" s="32" t="s">
        <v>126</v>
      </c>
      <c r="D28" s="468">
        <f>SUM(D8:D27)</f>
        <v>962.25</v>
      </c>
      <c r="E28" s="468">
        <f>SUM(E8:E27)</f>
        <v>0</v>
      </c>
      <c r="F28" s="468">
        <f>SUM(F8:F27)</f>
        <v>962.25</v>
      </c>
      <c r="G28" s="138"/>
    </row>
    <row r="29" spans="1:7" ht="21.75" customHeight="1" x14ac:dyDescent="0.3">
      <c r="A29" s="130">
        <v>22</v>
      </c>
      <c r="B29" s="121">
        <v>17</v>
      </c>
      <c r="C29" s="560" t="s">
        <v>26</v>
      </c>
      <c r="D29" s="28">
        <v>200</v>
      </c>
      <c r="E29" s="28"/>
      <c r="F29" s="28">
        <f>SUM(D29:E29)</f>
        <v>200</v>
      </c>
      <c r="G29" s="137"/>
    </row>
    <row r="30" spans="1:7" ht="21.75" customHeight="1" x14ac:dyDescent="0.3">
      <c r="A30" s="130">
        <v>23</v>
      </c>
      <c r="B30" s="121">
        <v>18</v>
      </c>
      <c r="C30" s="560" t="s">
        <v>127</v>
      </c>
      <c r="D30" s="1"/>
      <c r="E30" s="1"/>
      <c r="F30" s="1">
        <f>SUM(D30:E30)</f>
        <v>0</v>
      </c>
      <c r="G30" s="139" t="s">
        <v>252</v>
      </c>
    </row>
    <row r="31" spans="1:7" ht="21.75" customHeight="1" x14ac:dyDescent="0.2">
      <c r="A31" s="130">
        <v>24</v>
      </c>
      <c r="B31" s="27"/>
      <c r="C31" s="201" t="s">
        <v>323</v>
      </c>
      <c r="D31" s="28">
        <v>3</v>
      </c>
      <c r="E31" s="28"/>
      <c r="F31" s="28">
        <f>SUM(D31:E31)</f>
        <v>3</v>
      </c>
      <c r="G31" s="139"/>
    </row>
    <row r="32" spans="1:7" s="125" customFormat="1" ht="21.75" customHeight="1" thickBot="1" x14ac:dyDescent="0.25">
      <c r="A32" s="130">
        <v>25</v>
      </c>
      <c r="B32" s="124"/>
      <c r="C32" s="126" t="s">
        <v>291</v>
      </c>
      <c r="D32" s="467">
        <v>9.8800000000000008</v>
      </c>
      <c r="E32" s="467"/>
      <c r="F32" s="467">
        <f>SUM(D32:E32)</f>
        <v>9.8800000000000008</v>
      </c>
      <c r="G32" s="140"/>
    </row>
    <row r="33" spans="1:7" ht="30" customHeight="1" x14ac:dyDescent="0.2">
      <c r="A33" s="130">
        <v>26</v>
      </c>
      <c r="B33" s="556"/>
      <c r="C33" s="557" t="s">
        <v>13</v>
      </c>
      <c r="D33" s="558">
        <f>SUM(D28:D32)</f>
        <v>1175.1300000000001</v>
      </c>
      <c r="E33" s="558">
        <f>SUM(E28:E32)</f>
        <v>0</v>
      </c>
      <c r="F33" s="558">
        <f>SUM(F28:F32)</f>
        <v>1175.1300000000001</v>
      </c>
      <c r="G33" s="559"/>
    </row>
    <row r="34" spans="1:7" ht="16.5" customHeight="1" x14ac:dyDescent="0.2">
      <c r="A34" s="130">
        <v>27</v>
      </c>
      <c r="B34" s="27"/>
      <c r="C34" s="29" t="s">
        <v>128</v>
      </c>
      <c r="D34" s="28"/>
      <c r="E34" s="28"/>
      <c r="F34" s="28"/>
      <c r="G34" s="137"/>
    </row>
    <row r="35" spans="1:7" ht="16.5" customHeight="1" thickBot="1" x14ac:dyDescent="0.25">
      <c r="A35" s="130">
        <v>28</v>
      </c>
      <c r="B35" s="31"/>
      <c r="C35" s="127" t="s">
        <v>291</v>
      </c>
      <c r="D35" s="469">
        <f>SUM(D14,D18,D25,D32)</f>
        <v>12.88</v>
      </c>
      <c r="E35" s="469">
        <f>SUM(E14,E18,E25,E32)</f>
        <v>0</v>
      </c>
      <c r="F35" s="469">
        <f>SUM(F14,F18,F25,F32)</f>
        <v>12.88</v>
      </c>
      <c r="G35" s="141"/>
    </row>
    <row r="37" spans="1:7" x14ac:dyDescent="0.3">
      <c r="C37" s="33"/>
      <c r="D37" s="28"/>
      <c r="E37" s="28"/>
      <c r="F37" s="28"/>
      <c r="G37" s="142"/>
    </row>
    <row r="38" spans="1:7" x14ac:dyDescent="0.3">
      <c r="C38" s="34"/>
      <c r="D38" s="35"/>
      <c r="E38" s="35"/>
      <c r="F38" s="35"/>
      <c r="G38" s="142"/>
    </row>
    <row r="39" spans="1:7" x14ac:dyDescent="0.3">
      <c r="C39" s="34"/>
      <c r="D39" s="35"/>
      <c r="E39" s="35"/>
      <c r="F39" s="35"/>
      <c r="G39" s="142"/>
    </row>
    <row r="40" spans="1:7" x14ac:dyDescent="0.3">
      <c r="C40" s="34"/>
      <c r="D40" s="35"/>
      <c r="E40" s="35"/>
      <c r="F40" s="35"/>
      <c r="G40" s="142"/>
    </row>
    <row r="41" spans="1:7" x14ac:dyDescent="0.3">
      <c r="C41" s="33"/>
      <c r="D41" s="28"/>
      <c r="E41" s="28"/>
      <c r="F41" s="28"/>
      <c r="G41" s="142"/>
    </row>
    <row r="42" spans="1:7" x14ac:dyDescent="0.3">
      <c r="C42" s="33"/>
      <c r="D42" s="28"/>
      <c r="E42" s="28"/>
      <c r="F42" s="28"/>
      <c r="G42" s="142"/>
    </row>
    <row r="43" spans="1:7" x14ac:dyDescent="0.3">
      <c r="C43" s="33"/>
      <c r="D43" s="28"/>
      <c r="E43" s="28"/>
      <c r="F43" s="28"/>
      <c r="G43" s="142"/>
    </row>
    <row r="46" spans="1:7" s="30" customFormat="1" ht="17.25" x14ac:dyDescent="0.3">
      <c r="A46" s="370"/>
      <c r="B46" s="1038"/>
      <c r="C46" s="36"/>
      <c r="D46" s="37"/>
      <c r="E46" s="37"/>
      <c r="F46" s="37"/>
      <c r="G46" s="143"/>
    </row>
    <row r="48" spans="1:7" s="30" customFormat="1" ht="17.25" x14ac:dyDescent="0.3">
      <c r="A48" s="370"/>
      <c r="B48" s="1038"/>
      <c r="C48" s="36"/>
      <c r="D48" s="37"/>
      <c r="E48" s="37"/>
      <c r="F48" s="37"/>
      <c r="G48" s="143"/>
    </row>
    <row r="51" spans="1:7" s="30" customFormat="1" ht="17.25" x14ac:dyDescent="0.3">
      <c r="A51" s="370"/>
      <c r="B51" s="1038"/>
      <c r="C51" s="36"/>
      <c r="D51" s="37"/>
      <c r="E51" s="37"/>
      <c r="F51" s="37"/>
      <c r="G51" s="143"/>
    </row>
    <row r="69" spans="1:7" s="30" customFormat="1" ht="17.25" x14ac:dyDescent="0.3">
      <c r="A69" s="370"/>
      <c r="B69" s="1038"/>
      <c r="C69" s="36"/>
      <c r="D69" s="37"/>
      <c r="E69" s="37"/>
      <c r="F69" s="37"/>
      <c r="G69" s="143"/>
    </row>
    <row r="78" spans="1:7" x14ac:dyDescent="0.3">
      <c r="D78" s="38"/>
    </row>
    <row r="79" spans="1:7" x14ac:dyDescent="0.3">
      <c r="D79" s="38"/>
    </row>
    <row r="80" spans="1:7" x14ac:dyDescent="0.3">
      <c r="D80" s="38"/>
    </row>
    <row r="81" spans="4:4" x14ac:dyDescent="0.3">
      <c r="D81" s="38"/>
    </row>
    <row r="82" spans="4:4" x14ac:dyDescent="0.3">
      <c r="D82" s="38"/>
    </row>
    <row r="83" spans="4:4" x14ac:dyDescent="0.3">
      <c r="D83" s="38"/>
    </row>
    <row r="84" spans="4:4" x14ac:dyDescent="0.3">
      <c r="D84" s="38"/>
    </row>
    <row r="85" spans="4:4" x14ac:dyDescent="0.3">
      <c r="D85" s="38"/>
    </row>
  </sheetData>
  <mergeCells count="3">
    <mergeCell ref="B1:G1"/>
    <mergeCell ref="C4:G4"/>
    <mergeCell ref="B5:G5"/>
  </mergeCells>
  <printOptions horizontalCentered="1"/>
  <pageMargins left="0.19685039370078741" right="0.19685039370078741" top="0.59055118110236227" bottom="0.59055118110236227" header="0.51181102362204722" footer="0.51181102362204722"/>
  <pageSetup paperSize="9" scale="78" orientation="portrait" r:id="rId1"/>
  <headerFooter alignWithMargins="0">
    <oddFooter>&amp;C- &amp;P -</oddFooter>
  </headerFooter>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H90"/>
  <sheetViews>
    <sheetView view="pageBreakPreview" zoomScaleNormal="100" zoomScaleSheetLayoutView="100" workbookViewId="0">
      <selection activeCell="C73" sqref="C73"/>
    </sheetView>
  </sheetViews>
  <sheetFormatPr defaultColWidth="9.140625" defaultRowHeight="16.5" x14ac:dyDescent="0.2"/>
  <cols>
    <col min="1" max="1" width="4.42578125" style="417" customWidth="1"/>
    <col min="2" max="2" width="65.7109375" style="597" customWidth="1"/>
    <col min="3" max="6" width="15.28515625" style="585" customWidth="1"/>
    <col min="7" max="7" width="15.28515625" style="585" hidden="1" customWidth="1"/>
    <col min="8" max="249" width="9.140625" style="423"/>
    <col min="250" max="250" width="3.7109375" style="423" customWidth="1"/>
    <col min="251" max="251" width="58.7109375" style="423" customWidth="1"/>
    <col min="252" max="255" width="15.28515625" style="423" customWidth="1"/>
    <col min="256" max="16384" width="9.140625" style="423"/>
  </cols>
  <sheetData>
    <row r="1" spans="1:7" ht="17.25" x14ac:dyDescent="0.2">
      <c r="A1" s="1248"/>
      <c r="B1" s="2433" t="s">
        <v>924</v>
      </c>
      <c r="C1" s="2433"/>
      <c r="D1" s="423"/>
      <c r="E1" s="423"/>
      <c r="F1" s="423"/>
      <c r="G1" s="423"/>
    </row>
    <row r="2" spans="1:7" x14ac:dyDescent="0.3">
      <c r="A2" s="1249"/>
      <c r="B2" s="98"/>
      <c r="C2" s="1250"/>
      <c r="D2" s="1250"/>
      <c r="E2" s="1250"/>
      <c r="F2" s="1250"/>
      <c r="G2" s="1250"/>
    </row>
    <row r="3" spans="1:7" ht="17.25" x14ac:dyDescent="0.2">
      <c r="A3" s="2434" t="s">
        <v>626</v>
      </c>
      <c r="B3" s="2434"/>
      <c r="C3" s="2434"/>
      <c r="D3" s="2434"/>
      <c r="E3" s="2434"/>
      <c r="F3" s="2434"/>
      <c r="G3" s="423"/>
    </row>
    <row r="4" spans="1:7" ht="17.25" x14ac:dyDescent="0.2">
      <c r="A4" s="2435" t="s">
        <v>345</v>
      </c>
      <c r="B4" s="2435"/>
      <c r="C4" s="2435"/>
      <c r="D4" s="2435"/>
      <c r="E4" s="2435"/>
      <c r="F4" s="2435"/>
      <c r="G4" s="423"/>
    </row>
    <row r="5" spans="1:7" ht="17.25" x14ac:dyDescent="0.2">
      <c r="B5" s="1247"/>
      <c r="E5" s="586"/>
      <c r="F5" s="586" t="s">
        <v>0</v>
      </c>
    </row>
    <row r="6" spans="1:7" s="417" customFormat="1" ht="17.25" thickBot="1" x14ac:dyDescent="0.25">
      <c r="A6" s="587"/>
      <c r="B6" s="587" t="s">
        <v>1</v>
      </c>
      <c r="C6" s="417" t="s">
        <v>3</v>
      </c>
      <c r="D6" s="417" t="s">
        <v>2</v>
      </c>
      <c r="E6" s="417" t="s">
        <v>4</v>
      </c>
      <c r="F6" s="417" t="s">
        <v>5</v>
      </c>
      <c r="G6" s="417" t="s">
        <v>4</v>
      </c>
    </row>
    <row r="7" spans="1:7" s="588" customFormat="1" ht="35.1" customHeight="1" x14ac:dyDescent="0.2">
      <c r="A7" s="2436" t="s">
        <v>346</v>
      </c>
      <c r="B7" s="2438" t="s">
        <v>6</v>
      </c>
      <c r="C7" s="2440" t="s">
        <v>623</v>
      </c>
      <c r="D7" s="2440" t="s">
        <v>624</v>
      </c>
      <c r="E7" s="2442" t="s">
        <v>625</v>
      </c>
      <c r="F7" s="2444" t="s">
        <v>842</v>
      </c>
      <c r="G7" s="2431" t="s">
        <v>609</v>
      </c>
    </row>
    <row r="8" spans="1:7" s="588" customFormat="1" ht="35.1" customHeight="1" thickBot="1" x14ac:dyDescent="0.25">
      <c r="A8" s="2437"/>
      <c r="B8" s="2439"/>
      <c r="C8" s="2441"/>
      <c r="D8" s="2441"/>
      <c r="E8" s="2443"/>
      <c r="F8" s="2445"/>
      <c r="G8" s="2432"/>
    </row>
    <row r="9" spans="1:7" s="590" customFormat="1" ht="33" x14ac:dyDescent="0.2">
      <c r="A9" s="419">
        <v>1</v>
      </c>
      <c r="B9" s="589" t="s">
        <v>347</v>
      </c>
      <c r="C9" s="639">
        <v>5000</v>
      </c>
      <c r="D9" s="640"/>
      <c r="E9" s="641"/>
      <c r="F9" s="660"/>
      <c r="G9" s="653"/>
    </row>
    <row r="10" spans="1:7" s="590" customFormat="1" ht="33" x14ac:dyDescent="0.2">
      <c r="A10" s="419">
        <v>2</v>
      </c>
      <c r="B10" s="591" t="s">
        <v>843</v>
      </c>
      <c r="C10" s="592">
        <v>37058</v>
      </c>
      <c r="D10" s="592"/>
      <c r="E10" s="642"/>
      <c r="F10" s="661"/>
      <c r="G10" s="654"/>
    </row>
    <row r="11" spans="1:7" s="590" customFormat="1" ht="30.75" customHeight="1" x14ac:dyDescent="0.2">
      <c r="A11" s="419">
        <v>3</v>
      </c>
      <c r="B11" s="591" t="s">
        <v>844</v>
      </c>
      <c r="C11" s="592">
        <v>7068</v>
      </c>
      <c r="D11" s="592"/>
      <c r="E11" s="642"/>
      <c r="F11" s="661"/>
      <c r="G11" s="654"/>
    </row>
    <row r="12" spans="1:7" s="590" customFormat="1" ht="33" x14ac:dyDescent="0.2">
      <c r="A12" s="419">
        <v>4</v>
      </c>
      <c r="B12" s="591" t="s">
        <v>621</v>
      </c>
      <c r="C12" s="592">
        <v>186554</v>
      </c>
      <c r="D12" s="592"/>
      <c r="E12" s="642"/>
      <c r="F12" s="661"/>
      <c r="G12" s="654"/>
    </row>
    <row r="13" spans="1:7" s="590" customFormat="1" ht="35.25" customHeight="1" x14ac:dyDescent="0.2">
      <c r="A13" s="419">
        <v>5</v>
      </c>
      <c r="B13" s="679" t="s">
        <v>622</v>
      </c>
      <c r="C13" s="592">
        <v>34933</v>
      </c>
      <c r="D13" s="642"/>
      <c r="E13" s="642"/>
      <c r="F13" s="661"/>
      <c r="G13" s="654"/>
    </row>
    <row r="14" spans="1:7" s="590" customFormat="1" ht="33" x14ac:dyDescent="0.2">
      <c r="A14" s="419">
        <v>6</v>
      </c>
      <c r="B14" s="591" t="s">
        <v>845</v>
      </c>
      <c r="C14" s="592">
        <v>52777</v>
      </c>
      <c r="D14" s="642"/>
      <c r="E14" s="642"/>
      <c r="F14" s="661"/>
      <c r="G14" s="654"/>
    </row>
    <row r="15" spans="1:7" s="590" customFormat="1" ht="35.25" customHeight="1" x14ac:dyDescent="0.2">
      <c r="A15" s="419">
        <v>7</v>
      </c>
      <c r="B15" s="679" t="s">
        <v>846</v>
      </c>
      <c r="C15" s="592">
        <v>29875</v>
      </c>
      <c r="D15" s="642"/>
      <c r="E15" s="642"/>
      <c r="F15" s="661"/>
      <c r="G15" s="654"/>
    </row>
    <row r="16" spans="1:7" s="590" customFormat="1" ht="66" x14ac:dyDescent="0.2">
      <c r="A16" s="419">
        <v>8</v>
      </c>
      <c r="B16" s="591" t="s">
        <v>620</v>
      </c>
      <c r="C16" s="643">
        <v>760</v>
      </c>
      <c r="D16" s="642"/>
      <c r="E16" s="642"/>
      <c r="F16" s="661"/>
      <c r="G16" s="654"/>
    </row>
    <row r="17" spans="1:8" s="590" customFormat="1" ht="49.5" x14ac:dyDescent="0.2">
      <c r="A17" s="419">
        <v>9</v>
      </c>
      <c r="B17" s="645" t="s">
        <v>904</v>
      </c>
      <c r="C17" s="646">
        <v>294000</v>
      </c>
      <c r="D17" s="646"/>
      <c r="E17" s="644"/>
      <c r="F17" s="663"/>
      <c r="G17" s="654"/>
    </row>
    <row r="18" spans="1:8" s="590" customFormat="1" ht="48.95" customHeight="1" x14ac:dyDescent="0.3">
      <c r="A18" s="419">
        <v>10</v>
      </c>
      <c r="B18" s="638" t="s">
        <v>925</v>
      </c>
      <c r="C18" s="643">
        <v>13000</v>
      </c>
      <c r="D18" s="642">
        <v>13000</v>
      </c>
      <c r="E18" s="642">
        <v>13000</v>
      </c>
      <c r="F18" s="661"/>
      <c r="G18" s="654"/>
      <c r="H18" s="1104"/>
    </row>
    <row r="19" spans="1:8" s="590" customFormat="1" ht="50.25" customHeight="1" x14ac:dyDescent="0.3">
      <c r="A19" s="419">
        <v>11</v>
      </c>
      <c r="B19" s="421" t="s">
        <v>926</v>
      </c>
      <c r="C19" s="643">
        <v>480000</v>
      </c>
      <c r="D19" s="642"/>
      <c r="E19" s="642"/>
      <c r="F19" s="661"/>
      <c r="G19" s="654"/>
    </row>
    <row r="20" spans="1:8" ht="33.75" thickBot="1" x14ac:dyDescent="0.25">
      <c r="A20" s="1263">
        <v>12</v>
      </c>
      <c r="B20" s="645" t="s">
        <v>928</v>
      </c>
      <c r="C20" s="646">
        <f>7620/2</f>
        <v>3810</v>
      </c>
      <c r="D20" s="646"/>
      <c r="E20" s="1264"/>
      <c r="F20" s="1265"/>
      <c r="G20" s="657"/>
    </row>
    <row r="21" spans="1:8" s="590" customFormat="1" ht="30" customHeight="1" thickBot="1" x14ac:dyDescent="0.25">
      <c r="A21" s="2425" t="s">
        <v>938</v>
      </c>
      <c r="B21" s="2426"/>
      <c r="C21" s="1270">
        <f>SUM(C9:C19)</f>
        <v>1141025</v>
      </c>
      <c r="D21" s="1270">
        <f t="shared" ref="D21:F21" si="0">SUM(D9:D19)</f>
        <v>13000</v>
      </c>
      <c r="E21" s="1270">
        <f t="shared" si="0"/>
        <v>13000</v>
      </c>
      <c r="F21" s="1271">
        <f t="shared" si="0"/>
        <v>0</v>
      </c>
      <c r="G21" s="654"/>
    </row>
    <row r="22" spans="1:8" s="590" customFormat="1" ht="22.5" customHeight="1" x14ac:dyDescent="0.2">
      <c r="A22" s="1266">
        <v>13</v>
      </c>
      <c r="B22" s="1272" t="s">
        <v>610</v>
      </c>
      <c r="C22" s="1267">
        <v>17000</v>
      </c>
      <c r="D22" s="1268"/>
      <c r="E22" s="1268"/>
      <c r="F22" s="1269"/>
      <c r="G22" s="654"/>
    </row>
    <row r="23" spans="1:8" s="590" customFormat="1" ht="47.1" customHeight="1" x14ac:dyDescent="0.2">
      <c r="A23" s="419">
        <v>14</v>
      </c>
      <c r="B23" s="652" t="s">
        <v>927</v>
      </c>
      <c r="C23" s="643">
        <f>6000+3000+3000</f>
        <v>12000</v>
      </c>
      <c r="D23" s="643">
        <f>6000+3000+3000</f>
        <v>12000</v>
      </c>
      <c r="E23" s="1105"/>
      <c r="F23" s="1260"/>
      <c r="G23" s="654"/>
    </row>
    <row r="24" spans="1:8" s="590" customFormat="1" ht="33" x14ac:dyDescent="0.2">
      <c r="A24" s="419">
        <v>15</v>
      </c>
      <c r="B24" s="591" t="s">
        <v>348</v>
      </c>
      <c r="C24" s="643">
        <v>103000</v>
      </c>
      <c r="D24" s="642">
        <v>103000</v>
      </c>
      <c r="E24" s="642">
        <v>103000</v>
      </c>
      <c r="F24" s="661">
        <v>103000</v>
      </c>
      <c r="G24" s="654"/>
    </row>
    <row r="25" spans="1:8" s="590" customFormat="1" ht="22.5" customHeight="1" x14ac:dyDescent="0.2">
      <c r="A25" s="419">
        <v>16</v>
      </c>
      <c r="B25" s="591" t="s">
        <v>349</v>
      </c>
      <c r="C25" s="643">
        <v>29500</v>
      </c>
      <c r="D25" s="642">
        <v>29500</v>
      </c>
      <c r="E25" s="642">
        <v>29500</v>
      </c>
      <c r="F25" s="661">
        <v>29500</v>
      </c>
      <c r="G25" s="654"/>
    </row>
    <row r="26" spans="1:8" s="590" customFormat="1" ht="31.5" customHeight="1" x14ac:dyDescent="0.2">
      <c r="A26" s="419">
        <v>17</v>
      </c>
      <c r="B26" s="652" t="s">
        <v>847</v>
      </c>
      <c r="C26" s="643">
        <v>120000</v>
      </c>
      <c r="D26" s="642">
        <v>120000</v>
      </c>
      <c r="E26" s="642"/>
      <c r="F26" s="661"/>
      <c r="G26" s="654"/>
    </row>
    <row r="27" spans="1:8" s="590" customFormat="1" ht="22.5" customHeight="1" x14ac:dyDescent="0.2">
      <c r="A27" s="419">
        <v>18</v>
      </c>
      <c r="B27" s="591" t="s">
        <v>848</v>
      </c>
      <c r="C27" s="592">
        <v>50326</v>
      </c>
      <c r="D27" s="592">
        <v>50348</v>
      </c>
      <c r="E27" s="642"/>
      <c r="F27" s="661"/>
      <c r="G27" s="654"/>
    </row>
    <row r="28" spans="1:8" ht="22.5" customHeight="1" x14ac:dyDescent="0.2">
      <c r="A28" s="419">
        <v>19</v>
      </c>
      <c r="B28" s="424" t="s">
        <v>350</v>
      </c>
      <c r="C28" s="593">
        <v>38100</v>
      </c>
      <c r="D28" s="593">
        <v>38100</v>
      </c>
      <c r="E28" s="642"/>
      <c r="F28" s="662"/>
      <c r="G28" s="655">
        <v>38324</v>
      </c>
    </row>
    <row r="29" spans="1:8" ht="22.5" customHeight="1" x14ac:dyDescent="0.2">
      <c r="A29" s="419">
        <v>20</v>
      </c>
      <c r="B29" s="591" t="s">
        <v>554</v>
      </c>
      <c r="C29" s="593">
        <v>881516</v>
      </c>
      <c r="D29" s="593">
        <v>881516</v>
      </c>
      <c r="E29" s="634">
        <v>881516</v>
      </c>
      <c r="F29" s="662">
        <v>881516</v>
      </c>
      <c r="G29" s="655"/>
    </row>
    <row r="30" spans="1:8" ht="22.5" customHeight="1" x14ac:dyDescent="0.2">
      <c r="A30" s="419">
        <v>21</v>
      </c>
      <c r="B30" s="591" t="s">
        <v>815</v>
      </c>
      <c r="C30" s="593">
        <v>153947</v>
      </c>
      <c r="D30" s="593"/>
      <c r="E30" s="634"/>
      <c r="F30" s="662"/>
      <c r="G30" s="655"/>
    </row>
    <row r="31" spans="1:8" ht="51" customHeight="1" x14ac:dyDescent="0.2">
      <c r="A31" s="419">
        <v>22</v>
      </c>
      <c r="B31" s="591" t="s">
        <v>905</v>
      </c>
      <c r="C31" s="593">
        <f>100000-29240</f>
        <v>70760</v>
      </c>
      <c r="D31" s="593"/>
      <c r="E31" s="634"/>
      <c r="F31" s="662"/>
      <c r="G31" s="655">
        <v>38100</v>
      </c>
    </row>
    <row r="32" spans="1:8" ht="36.950000000000003" customHeight="1" x14ac:dyDescent="0.2">
      <c r="A32" s="419"/>
      <c r="B32" s="591" t="s">
        <v>940</v>
      </c>
      <c r="C32" s="593"/>
      <c r="D32" s="593"/>
      <c r="E32" s="634"/>
      <c r="F32" s="662"/>
      <c r="G32" s="655"/>
    </row>
    <row r="33" spans="1:7" ht="17.25" x14ac:dyDescent="0.2">
      <c r="A33" s="419">
        <v>23</v>
      </c>
      <c r="B33" s="1273" t="s">
        <v>8</v>
      </c>
      <c r="C33" s="593">
        <v>277100</v>
      </c>
      <c r="D33" s="593">
        <v>277100</v>
      </c>
      <c r="E33" s="634">
        <v>277100</v>
      </c>
      <c r="F33" s="662">
        <v>277100</v>
      </c>
      <c r="G33" s="655"/>
    </row>
    <row r="34" spans="1:7" ht="17.25" x14ac:dyDescent="0.2">
      <c r="A34" s="419">
        <v>24</v>
      </c>
      <c r="B34" s="1273" t="s">
        <v>9</v>
      </c>
      <c r="C34" s="593">
        <v>259250</v>
      </c>
      <c r="D34" s="593">
        <v>259250</v>
      </c>
      <c r="E34" s="634">
        <v>259250</v>
      </c>
      <c r="F34" s="662">
        <v>259250</v>
      </c>
      <c r="G34" s="655"/>
    </row>
    <row r="35" spans="1:7" ht="18" customHeight="1" x14ac:dyDescent="0.2">
      <c r="A35" s="419">
        <v>25</v>
      </c>
      <c r="B35" s="1273" t="s">
        <v>302</v>
      </c>
      <c r="C35" s="593">
        <v>45900</v>
      </c>
      <c r="D35" s="593">
        <v>45900</v>
      </c>
      <c r="E35" s="634">
        <v>45900</v>
      </c>
      <c r="F35" s="662">
        <v>45900</v>
      </c>
      <c r="G35" s="655">
        <v>270000</v>
      </c>
    </row>
    <row r="36" spans="1:7" ht="18" customHeight="1" x14ac:dyDescent="0.2">
      <c r="A36" s="419">
        <v>26</v>
      </c>
      <c r="B36" s="1273" t="s">
        <v>7</v>
      </c>
      <c r="C36" s="593">
        <v>36550</v>
      </c>
      <c r="D36" s="593">
        <v>36550</v>
      </c>
      <c r="E36" s="634">
        <v>36550</v>
      </c>
      <c r="F36" s="662">
        <v>36550</v>
      </c>
      <c r="G36" s="655">
        <v>288725</v>
      </c>
    </row>
    <row r="37" spans="1:7" ht="18" customHeight="1" x14ac:dyDescent="0.2">
      <c r="A37" s="419">
        <v>27</v>
      </c>
      <c r="B37" s="1273" t="s">
        <v>816</v>
      </c>
      <c r="C37" s="593">
        <v>42500</v>
      </c>
      <c r="D37" s="593">
        <v>42500</v>
      </c>
      <c r="E37" s="634">
        <v>42500</v>
      </c>
      <c r="F37" s="662">
        <v>42500</v>
      </c>
      <c r="G37" s="655">
        <v>21000</v>
      </c>
    </row>
    <row r="38" spans="1:7" ht="18" customHeight="1" x14ac:dyDescent="0.2">
      <c r="A38" s="419">
        <v>28</v>
      </c>
      <c r="B38" s="1273" t="s">
        <v>305</v>
      </c>
      <c r="C38" s="593">
        <v>169738</v>
      </c>
      <c r="D38" s="593">
        <v>169738</v>
      </c>
      <c r="E38" s="634">
        <v>169738</v>
      </c>
      <c r="F38" s="662">
        <v>169738</v>
      </c>
      <c r="G38" s="655">
        <v>186000</v>
      </c>
    </row>
    <row r="39" spans="1:7" ht="22.5" customHeight="1" x14ac:dyDescent="0.2">
      <c r="A39" s="419">
        <v>29</v>
      </c>
      <c r="B39" s="424" t="s">
        <v>817</v>
      </c>
      <c r="C39" s="593">
        <v>130000</v>
      </c>
      <c r="D39" s="593">
        <v>130000</v>
      </c>
      <c r="E39" s="634">
        <v>130000</v>
      </c>
      <c r="F39" s="662">
        <v>130000</v>
      </c>
      <c r="G39" s="655">
        <v>180000</v>
      </c>
    </row>
    <row r="40" spans="1:7" ht="22.5" customHeight="1" x14ac:dyDescent="0.2">
      <c r="A40" s="419">
        <v>30</v>
      </c>
      <c r="B40" s="424" t="s">
        <v>849</v>
      </c>
      <c r="C40" s="593">
        <v>150000</v>
      </c>
      <c r="D40" s="593">
        <v>150000</v>
      </c>
      <c r="E40" s="634" t="s">
        <v>252</v>
      </c>
      <c r="F40" s="662"/>
      <c r="G40" s="655">
        <v>20000</v>
      </c>
    </row>
    <row r="41" spans="1:7" ht="22.5" customHeight="1" x14ac:dyDescent="0.2">
      <c r="A41" s="419">
        <v>31</v>
      </c>
      <c r="B41" s="424" t="s">
        <v>850</v>
      </c>
      <c r="C41" s="593">
        <v>120000</v>
      </c>
      <c r="D41" s="593">
        <v>120000</v>
      </c>
      <c r="E41" s="634"/>
      <c r="F41" s="662"/>
      <c r="G41" s="655" t="s">
        <v>252</v>
      </c>
    </row>
    <row r="42" spans="1:7" ht="22.5" customHeight="1" x14ac:dyDescent="0.2">
      <c r="A42" s="419">
        <v>32</v>
      </c>
      <c r="B42" s="424" t="s">
        <v>851</v>
      </c>
      <c r="C42" s="594">
        <v>105000</v>
      </c>
      <c r="D42" s="594">
        <v>70000</v>
      </c>
      <c r="E42" s="644"/>
      <c r="F42" s="663"/>
      <c r="G42" s="656"/>
    </row>
    <row r="43" spans="1:7" ht="22.5" customHeight="1" x14ac:dyDescent="0.2">
      <c r="A43" s="419">
        <v>33</v>
      </c>
      <c r="B43" s="591" t="s">
        <v>718</v>
      </c>
      <c r="C43" s="593">
        <v>100000</v>
      </c>
      <c r="D43" s="593"/>
      <c r="E43" s="634"/>
      <c r="F43" s="662"/>
      <c r="G43" s="655"/>
    </row>
    <row r="44" spans="1:7" ht="33.950000000000003" customHeight="1" x14ac:dyDescent="0.2">
      <c r="A44" s="419">
        <v>34</v>
      </c>
      <c r="B44" s="591" t="s">
        <v>351</v>
      </c>
      <c r="C44" s="593">
        <v>239</v>
      </c>
      <c r="D44" s="593">
        <v>239</v>
      </c>
      <c r="E44" s="634">
        <v>239</v>
      </c>
      <c r="F44" s="662">
        <v>239</v>
      </c>
      <c r="G44" s="655"/>
    </row>
    <row r="45" spans="1:7" ht="33" x14ac:dyDescent="0.2">
      <c r="A45" s="419">
        <v>35</v>
      </c>
      <c r="B45" s="424" t="s">
        <v>906</v>
      </c>
      <c r="C45" s="594">
        <v>140000</v>
      </c>
      <c r="D45" s="594">
        <v>140000</v>
      </c>
      <c r="E45" s="644"/>
      <c r="F45" s="663"/>
      <c r="G45" s="656">
        <v>239</v>
      </c>
    </row>
    <row r="46" spans="1:7" ht="22.5" customHeight="1" x14ac:dyDescent="0.2">
      <c r="A46" s="419">
        <v>36</v>
      </c>
      <c r="B46" s="424" t="s">
        <v>352</v>
      </c>
      <c r="C46" s="594">
        <v>25000</v>
      </c>
      <c r="D46" s="594">
        <v>25000</v>
      </c>
      <c r="E46" s="644">
        <v>25000</v>
      </c>
      <c r="F46" s="663">
        <v>25000</v>
      </c>
      <c r="G46" s="656"/>
    </row>
    <row r="47" spans="1:7" ht="50.45" customHeight="1" x14ac:dyDescent="0.2">
      <c r="A47" s="419">
        <v>37</v>
      </c>
      <c r="B47" s="591" t="s">
        <v>353</v>
      </c>
      <c r="C47" s="593">
        <v>25000</v>
      </c>
      <c r="D47" s="593"/>
      <c r="E47" s="634"/>
      <c r="F47" s="662"/>
      <c r="G47" s="655">
        <v>25000</v>
      </c>
    </row>
    <row r="48" spans="1:7" ht="22.5" customHeight="1" x14ac:dyDescent="0.2">
      <c r="A48" s="419">
        <v>38</v>
      </c>
      <c r="B48" s="591" t="s">
        <v>852</v>
      </c>
      <c r="C48" s="593">
        <v>17000</v>
      </c>
      <c r="D48" s="593">
        <v>17000</v>
      </c>
      <c r="E48" s="634">
        <v>17000</v>
      </c>
      <c r="F48" s="662"/>
      <c r="G48" s="655"/>
    </row>
    <row r="49" spans="1:7" ht="22.5" customHeight="1" x14ac:dyDescent="0.2">
      <c r="A49" s="419">
        <v>39</v>
      </c>
      <c r="B49" s="591" t="s">
        <v>354</v>
      </c>
      <c r="C49" s="593">
        <v>30000</v>
      </c>
      <c r="D49" s="593"/>
      <c r="E49" s="634"/>
      <c r="F49" s="662"/>
      <c r="G49" s="655"/>
    </row>
    <row r="50" spans="1:7" ht="33.6" customHeight="1" x14ac:dyDescent="0.2">
      <c r="A50" s="419">
        <v>40</v>
      </c>
      <c r="B50" s="591" t="s">
        <v>514</v>
      </c>
      <c r="C50" s="593">
        <f>40000+40000</f>
        <v>80000</v>
      </c>
      <c r="D50" s="593">
        <f>40000+40000</f>
        <v>80000</v>
      </c>
      <c r="E50" s="634"/>
      <c r="F50" s="662"/>
      <c r="G50" s="655"/>
    </row>
    <row r="51" spans="1:7" ht="45.95" customHeight="1" x14ac:dyDescent="0.2">
      <c r="A51" s="419">
        <v>41</v>
      </c>
      <c r="B51" s="424" t="s">
        <v>907</v>
      </c>
      <c r="C51" s="592">
        <v>25000</v>
      </c>
      <c r="D51" s="592">
        <v>25000</v>
      </c>
      <c r="E51" s="634">
        <v>25000</v>
      </c>
      <c r="F51" s="662">
        <v>25000</v>
      </c>
      <c r="G51" s="655"/>
    </row>
    <row r="52" spans="1:7" ht="66" x14ac:dyDescent="0.2">
      <c r="A52" s="419">
        <v>42</v>
      </c>
      <c r="B52" s="424" t="s">
        <v>908</v>
      </c>
      <c r="C52" s="594">
        <v>24000</v>
      </c>
      <c r="D52" s="594"/>
      <c r="E52" s="644"/>
      <c r="F52" s="663"/>
      <c r="G52" s="656"/>
    </row>
    <row r="53" spans="1:7" ht="22.5" customHeight="1" x14ac:dyDescent="0.2">
      <c r="A53" s="419">
        <v>43</v>
      </c>
      <c r="B53" s="591" t="s">
        <v>909</v>
      </c>
      <c r="C53" s="593">
        <v>22000</v>
      </c>
      <c r="D53" s="593"/>
      <c r="E53" s="634"/>
      <c r="F53" s="662"/>
      <c r="G53" s="655"/>
    </row>
    <row r="54" spans="1:7" ht="22.5" customHeight="1" x14ac:dyDescent="0.2">
      <c r="A54" s="419">
        <v>44</v>
      </c>
      <c r="B54" s="424" t="s">
        <v>437</v>
      </c>
      <c r="C54" s="594">
        <f>46997-32000</f>
        <v>14997</v>
      </c>
      <c r="D54" s="594">
        <f t="shared" ref="D54:F54" si="1">46997-32000</f>
        <v>14997</v>
      </c>
      <c r="E54" s="644">
        <f t="shared" si="1"/>
        <v>14997</v>
      </c>
      <c r="F54" s="663">
        <f t="shared" si="1"/>
        <v>14997</v>
      </c>
      <c r="G54" s="656"/>
    </row>
    <row r="55" spans="1:7" ht="30" customHeight="1" x14ac:dyDescent="0.2">
      <c r="A55" s="419">
        <v>45</v>
      </c>
      <c r="B55" s="424" t="s">
        <v>853</v>
      </c>
      <c r="C55" s="594">
        <f>800*1.27</f>
        <v>1016</v>
      </c>
      <c r="D55" s="594"/>
      <c r="E55" s="634"/>
      <c r="F55" s="663"/>
      <c r="G55" s="656">
        <v>3840</v>
      </c>
    </row>
    <row r="56" spans="1:7" ht="29.45" customHeight="1" x14ac:dyDescent="0.2">
      <c r="A56" s="419">
        <v>46</v>
      </c>
      <c r="B56" s="424" t="s">
        <v>910</v>
      </c>
      <c r="C56" s="594">
        <v>917</v>
      </c>
      <c r="D56" s="594"/>
      <c r="E56" s="634"/>
      <c r="F56" s="663"/>
      <c r="G56" s="656">
        <v>4000</v>
      </c>
    </row>
    <row r="57" spans="1:7" ht="66" customHeight="1" x14ac:dyDescent="0.2">
      <c r="A57" s="419">
        <v>47</v>
      </c>
      <c r="B57" s="591" t="s">
        <v>911</v>
      </c>
      <c r="C57" s="593">
        <v>4583</v>
      </c>
      <c r="D57" s="593">
        <v>5500</v>
      </c>
      <c r="E57" s="634">
        <v>917</v>
      </c>
      <c r="F57" s="662"/>
      <c r="G57" s="655">
        <v>300</v>
      </c>
    </row>
    <row r="58" spans="1:7" ht="22.5" customHeight="1" x14ac:dyDescent="0.2">
      <c r="A58" s="419">
        <v>48</v>
      </c>
      <c r="B58" s="591" t="s">
        <v>515</v>
      </c>
      <c r="C58" s="593">
        <v>3264</v>
      </c>
      <c r="D58" s="593">
        <v>3264</v>
      </c>
      <c r="E58" s="634">
        <v>3264</v>
      </c>
      <c r="F58" s="662">
        <v>3264</v>
      </c>
      <c r="G58" s="655">
        <v>127</v>
      </c>
    </row>
    <row r="59" spans="1:7" ht="22.5" customHeight="1" x14ac:dyDescent="0.2">
      <c r="A59" s="419">
        <v>49</v>
      </c>
      <c r="B59" s="591" t="s">
        <v>516</v>
      </c>
      <c r="C59" s="593">
        <v>3400</v>
      </c>
      <c r="D59" s="593">
        <v>3400</v>
      </c>
      <c r="E59" s="634">
        <v>3400</v>
      </c>
      <c r="F59" s="662">
        <v>3400</v>
      </c>
      <c r="G59" s="655">
        <v>1200</v>
      </c>
    </row>
    <row r="60" spans="1:7" ht="22.5" customHeight="1" x14ac:dyDescent="0.2">
      <c r="A60" s="419">
        <v>50</v>
      </c>
      <c r="B60" s="591" t="s">
        <v>355</v>
      </c>
      <c r="C60" s="593">
        <v>300</v>
      </c>
      <c r="D60" s="593">
        <v>300</v>
      </c>
      <c r="E60" s="634">
        <v>300</v>
      </c>
      <c r="F60" s="662">
        <v>300</v>
      </c>
      <c r="G60" s="655">
        <v>300</v>
      </c>
    </row>
    <row r="61" spans="1:7" ht="22.5" customHeight="1" x14ac:dyDescent="0.2">
      <c r="A61" s="419">
        <v>51</v>
      </c>
      <c r="B61" s="591" t="s">
        <v>356</v>
      </c>
      <c r="C61" s="593">
        <v>127</v>
      </c>
      <c r="D61" s="593">
        <v>127</v>
      </c>
      <c r="E61" s="634">
        <v>127</v>
      </c>
      <c r="F61" s="662">
        <v>127</v>
      </c>
      <c r="G61" s="655">
        <v>120</v>
      </c>
    </row>
    <row r="62" spans="1:7" ht="33" x14ac:dyDescent="0.2">
      <c r="A62" s="419">
        <v>52</v>
      </c>
      <c r="B62" s="591" t="s">
        <v>912</v>
      </c>
      <c r="C62" s="593">
        <v>1200</v>
      </c>
      <c r="D62" s="593">
        <v>1200</v>
      </c>
      <c r="E62" s="634">
        <v>1200</v>
      </c>
      <c r="F62" s="662">
        <v>1200</v>
      </c>
      <c r="G62" s="655">
        <v>1700</v>
      </c>
    </row>
    <row r="63" spans="1:7" ht="22.5" customHeight="1" x14ac:dyDescent="0.2">
      <c r="A63" s="419">
        <v>53</v>
      </c>
      <c r="B63" s="591" t="s">
        <v>913</v>
      </c>
      <c r="C63" s="593">
        <v>300</v>
      </c>
      <c r="D63" s="593">
        <v>300</v>
      </c>
      <c r="E63" s="634">
        <v>300</v>
      </c>
      <c r="F63" s="662">
        <v>300</v>
      </c>
      <c r="G63" s="655">
        <v>600</v>
      </c>
    </row>
    <row r="64" spans="1:7" ht="22.5" customHeight="1" x14ac:dyDescent="0.2">
      <c r="A64" s="419">
        <v>54</v>
      </c>
      <c r="B64" s="591" t="s">
        <v>357</v>
      </c>
      <c r="C64" s="593">
        <v>120</v>
      </c>
      <c r="D64" s="593">
        <v>120</v>
      </c>
      <c r="E64" s="634">
        <v>120</v>
      </c>
      <c r="F64" s="662">
        <v>120</v>
      </c>
      <c r="G64" s="655">
        <v>12000</v>
      </c>
    </row>
    <row r="65" spans="1:7" ht="22.5" customHeight="1" x14ac:dyDescent="0.2">
      <c r="A65" s="419">
        <v>55</v>
      </c>
      <c r="B65" s="591" t="s">
        <v>358</v>
      </c>
      <c r="C65" s="593">
        <v>1700</v>
      </c>
      <c r="D65" s="593">
        <v>1700</v>
      </c>
      <c r="E65" s="634">
        <v>1700</v>
      </c>
      <c r="F65" s="662">
        <v>1700</v>
      </c>
      <c r="G65" s="655">
        <v>356958</v>
      </c>
    </row>
    <row r="66" spans="1:7" ht="33.950000000000003" customHeight="1" x14ac:dyDescent="0.2">
      <c r="A66" s="419">
        <v>56</v>
      </c>
      <c r="B66" s="591" t="s">
        <v>854</v>
      </c>
      <c r="C66" s="593">
        <v>10200</v>
      </c>
      <c r="D66" s="593">
        <v>10200</v>
      </c>
      <c r="E66" s="634">
        <v>10200</v>
      </c>
      <c r="F66" s="662">
        <v>10200</v>
      </c>
      <c r="G66" s="655">
        <v>38148</v>
      </c>
    </row>
    <row r="67" spans="1:7" ht="32.1" customHeight="1" x14ac:dyDescent="0.2">
      <c r="A67" s="419">
        <v>57</v>
      </c>
      <c r="B67" s="424" t="s">
        <v>521</v>
      </c>
      <c r="C67" s="594">
        <v>143385</v>
      </c>
      <c r="D67" s="594">
        <v>143385</v>
      </c>
      <c r="E67" s="634">
        <v>143385</v>
      </c>
      <c r="F67" s="662">
        <v>143385</v>
      </c>
      <c r="G67" s="656"/>
    </row>
    <row r="68" spans="1:7" ht="22.5" customHeight="1" x14ac:dyDescent="0.2">
      <c r="A68" s="419">
        <v>58</v>
      </c>
      <c r="B68" s="424" t="s">
        <v>359</v>
      </c>
      <c r="C68" s="594">
        <v>60000</v>
      </c>
      <c r="D68" s="594">
        <v>60000</v>
      </c>
      <c r="E68" s="634">
        <v>60000</v>
      </c>
      <c r="F68" s="663">
        <v>60000</v>
      </c>
      <c r="G68" s="656">
        <v>95000</v>
      </c>
    </row>
    <row r="69" spans="1:7" ht="36" customHeight="1" x14ac:dyDescent="0.2">
      <c r="A69" s="419">
        <v>59</v>
      </c>
      <c r="B69" s="424" t="s">
        <v>914</v>
      </c>
      <c r="C69" s="594">
        <f>7400*1.27</f>
        <v>9398</v>
      </c>
      <c r="D69" s="594"/>
      <c r="E69" s="634"/>
      <c r="F69" s="663"/>
      <c r="G69" s="656">
        <v>5600</v>
      </c>
    </row>
    <row r="70" spans="1:7" ht="49.5" x14ac:dyDescent="0.2">
      <c r="A70" s="419">
        <v>60</v>
      </c>
      <c r="B70" s="591" t="s">
        <v>915</v>
      </c>
      <c r="C70" s="593">
        <v>34150</v>
      </c>
      <c r="D70" s="593"/>
      <c r="E70" s="634"/>
      <c r="F70" s="662"/>
      <c r="G70" s="655"/>
    </row>
    <row r="71" spans="1:7" ht="22.5" customHeight="1" x14ac:dyDescent="0.2">
      <c r="A71" s="419">
        <v>61</v>
      </c>
      <c r="B71" s="591" t="s">
        <v>941</v>
      </c>
      <c r="C71" s="593">
        <v>57501</v>
      </c>
      <c r="D71" s="593">
        <v>57501</v>
      </c>
      <c r="E71" s="634">
        <v>57501</v>
      </c>
      <c r="F71" s="662">
        <v>57501</v>
      </c>
      <c r="G71" s="655"/>
    </row>
    <row r="72" spans="1:7" ht="33" x14ac:dyDescent="0.2">
      <c r="A72" s="419">
        <v>62</v>
      </c>
      <c r="B72" s="591" t="s">
        <v>916</v>
      </c>
      <c r="C72" s="593">
        <v>8800</v>
      </c>
      <c r="D72" s="593"/>
      <c r="E72" s="634"/>
      <c r="F72" s="662"/>
      <c r="G72" s="655">
        <v>53800</v>
      </c>
    </row>
    <row r="73" spans="1:7" ht="22.5" customHeight="1" x14ac:dyDescent="0.2">
      <c r="A73" s="419">
        <v>63</v>
      </c>
      <c r="B73" s="591" t="s">
        <v>11</v>
      </c>
      <c r="C73" s="593">
        <f t="shared" ref="C73:F73" si="2">30000*1.27</f>
        <v>38100</v>
      </c>
      <c r="D73" s="593">
        <f t="shared" si="2"/>
        <v>38100</v>
      </c>
      <c r="E73" s="634">
        <f t="shared" si="2"/>
        <v>38100</v>
      </c>
      <c r="F73" s="662">
        <f t="shared" si="2"/>
        <v>38100</v>
      </c>
      <c r="G73" s="655">
        <v>72000</v>
      </c>
    </row>
    <row r="74" spans="1:7" ht="22.5" customHeight="1" x14ac:dyDescent="0.2">
      <c r="A74" s="419">
        <v>64</v>
      </c>
      <c r="B74" s="591" t="s">
        <v>12</v>
      </c>
      <c r="C74" s="593">
        <v>9601</v>
      </c>
      <c r="D74" s="593">
        <v>9601</v>
      </c>
      <c r="E74" s="634">
        <v>9601</v>
      </c>
      <c r="F74" s="662">
        <v>9601</v>
      </c>
      <c r="G74" s="655"/>
    </row>
    <row r="75" spans="1:7" ht="22.5" customHeight="1" x14ac:dyDescent="0.2">
      <c r="A75" s="419">
        <v>65</v>
      </c>
      <c r="B75" s="591" t="s">
        <v>427</v>
      </c>
      <c r="C75" s="593">
        <f>14980*1.27</f>
        <v>19024.599999999999</v>
      </c>
      <c r="D75" s="593"/>
      <c r="E75" s="634"/>
      <c r="F75" s="662"/>
      <c r="G75" s="655">
        <f>30000*1.27</f>
        <v>38100</v>
      </c>
    </row>
    <row r="76" spans="1:7" ht="30.95" customHeight="1" x14ac:dyDescent="0.2">
      <c r="A76" s="419">
        <v>66</v>
      </c>
      <c r="B76" s="591" t="s">
        <v>855</v>
      </c>
      <c r="C76" s="593">
        <f>6700*1.27</f>
        <v>8509</v>
      </c>
      <c r="D76" s="593">
        <f>6700*1.27</f>
        <v>8509</v>
      </c>
      <c r="E76" s="634"/>
      <c r="F76" s="662"/>
      <c r="G76" s="655">
        <v>9653</v>
      </c>
    </row>
    <row r="77" spans="1:7" ht="30" customHeight="1" x14ac:dyDescent="0.2">
      <c r="A77" s="419">
        <v>67</v>
      </c>
      <c r="B77" s="424" t="s">
        <v>360</v>
      </c>
      <c r="C77" s="593">
        <v>80578</v>
      </c>
      <c r="D77" s="593"/>
      <c r="E77" s="634"/>
      <c r="F77" s="662"/>
      <c r="G77" s="655"/>
    </row>
    <row r="78" spans="1:7" ht="29.25" customHeight="1" x14ac:dyDescent="0.2">
      <c r="A78" s="419">
        <v>68</v>
      </c>
      <c r="B78" s="424" t="s">
        <v>856</v>
      </c>
      <c r="C78" s="593">
        <v>5100</v>
      </c>
      <c r="D78" s="593">
        <v>5100</v>
      </c>
      <c r="E78" s="634">
        <v>5100</v>
      </c>
      <c r="F78" s="662">
        <v>5100</v>
      </c>
      <c r="G78" s="655"/>
    </row>
    <row r="79" spans="1:7" ht="30" customHeight="1" x14ac:dyDescent="0.2">
      <c r="A79" s="419">
        <v>69</v>
      </c>
      <c r="B79" s="424" t="s">
        <v>917</v>
      </c>
      <c r="C79" s="594">
        <v>5200</v>
      </c>
      <c r="D79" s="594">
        <v>5200</v>
      </c>
      <c r="E79" s="644"/>
      <c r="F79" s="663"/>
      <c r="G79" s="656">
        <v>6000</v>
      </c>
    </row>
    <row r="80" spans="1:7" ht="22.5" customHeight="1" x14ac:dyDescent="0.2">
      <c r="A80" s="419">
        <v>70</v>
      </c>
      <c r="B80" s="424" t="s">
        <v>857</v>
      </c>
      <c r="C80" s="594">
        <f t="shared" ref="C80:E80" si="3">15*12</f>
        <v>180</v>
      </c>
      <c r="D80" s="594">
        <f t="shared" si="3"/>
        <v>180</v>
      </c>
      <c r="E80" s="644">
        <f t="shared" si="3"/>
        <v>180</v>
      </c>
      <c r="F80" s="663">
        <v>180</v>
      </c>
      <c r="G80" s="656"/>
    </row>
    <row r="81" spans="1:7" ht="22.5" customHeight="1" x14ac:dyDescent="0.2">
      <c r="A81" s="419">
        <v>71</v>
      </c>
      <c r="B81" s="424" t="s">
        <v>918</v>
      </c>
      <c r="C81" s="594">
        <v>417000</v>
      </c>
      <c r="D81" s="594"/>
      <c r="E81" s="644"/>
      <c r="F81" s="663"/>
      <c r="G81" s="656"/>
    </row>
    <row r="82" spans="1:7" ht="51" customHeight="1" x14ac:dyDescent="0.2">
      <c r="A82" s="419">
        <v>72</v>
      </c>
      <c r="B82" s="645" t="s">
        <v>919</v>
      </c>
      <c r="C82" s="646">
        <f>1224*1.27</f>
        <v>1554.48</v>
      </c>
      <c r="D82" s="646"/>
      <c r="E82" s="644"/>
      <c r="F82" s="663"/>
      <c r="G82" s="657">
        <f>15*12</f>
        <v>180</v>
      </c>
    </row>
    <row r="83" spans="1:7" ht="49.5" x14ac:dyDescent="0.2">
      <c r="A83" s="419">
        <v>73</v>
      </c>
      <c r="B83" s="645" t="s">
        <v>920</v>
      </c>
      <c r="C83" s="646">
        <v>2896</v>
      </c>
      <c r="D83" s="646"/>
      <c r="E83" s="644"/>
      <c r="F83" s="663"/>
      <c r="G83" s="657"/>
    </row>
    <row r="84" spans="1:7" ht="49.5" customHeight="1" thickBot="1" x14ac:dyDescent="0.25">
      <c r="A84" s="419">
        <v>74</v>
      </c>
      <c r="B84" s="645" t="s">
        <v>921</v>
      </c>
      <c r="C84" s="646">
        <v>94299</v>
      </c>
      <c r="D84" s="646"/>
      <c r="E84" s="644"/>
      <c r="F84" s="663"/>
      <c r="G84" s="657"/>
    </row>
    <row r="85" spans="1:7" s="428" customFormat="1" ht="29.25" customHeight="1" thickBot="1" x14ac:dyDescent="0.25">
      <c r="A85" s="2427" t="s">
        <v>361</v>
      </c>
      <c r="B85" s="2428"/>
      <c r="C85" s="595">
        <f>SUM(C22:C84)</f>
        <v>4337826.08</v>
      </c>
      <c r="D85" s="595">
        <f>SUM(D22:D84)</f>
        <v>3191425</v>
      </c>
      <c r="E85" s="595">
        <f>SUM(E22:E84)</f>
        <v>2392685</v>
      </c>
      <c r="F85" s="1261">
        <f>SUM(F22:F84)</f>
        <v>2374768</v>
      </c>
      <c r="G85" s="658">
        <f>SUM(G28:G84)</f>
        <v>1767014</v>
      </c>
    </row>
    <row r="86" spans="1:7" s="428" customFormat="1" ht="30" customHeight="1" thickBot="1" x14ac:dyDescent="0.25">
      <c r="A86" s="2429" t="s">
        <v>13</v>
      </c>
      <c r="B86" s="2430"/>
      <c r="C86" s="596">
        <f>SUM(C85,C21)</f>
        <v>5478851.0800000001</v>
      </c>
      <c r="D86" s="596">
        <f>SUM(D85,D21)</f>
        <v>3204425</v>
      </c>
      <c r="E86" s="596">
        <f>SUM(E85,E21)</f>
        <v>2405685</v>
      </c>
      <c r="F86" s="1262">
        <f>SUM(F85,F21)</f>
        <v>2374768</v>
      </c>
      <c r="G86" s="659" t="e">
        <f>SUM(G85,#REF!)</f>
        <v>#REF!</v>
      </c>
    </row>
    <row r="89" spans="1:7" ht="17.25" x14ac:dyDescent="0.2">
      <c r="B89" s="678"/>
    </row>
    <row r="90" spans="1:7" ht="17.25" x14ac:dyDescent="0.2">
      <c r="B90" s="678"/>
    </row>
  </sheetData>
  <mergeCells count="13">
    <mergeCell ref="A21:B21"/>
    <mergeCell ref="A85:B85"/>
    <mergeCell ref="A86:B86"/>
    <mergeCell ref="G7:G8"/>
    <mergeCell ref="B1:C1"/>
    <mergeCell ref="A3:F3"/>
    <mergeCell ref="A4:F4"/>
    <mergeCell ref="A7:A8"/>
    <mergeCell ref="B7:B8"/>
    <mergeCell ref="C7:C8"/>
    <mergeCell ref="D7:D8"/>
    <mergeCell ref="E7:E8"/>
    <mergeCell ref="F7:F8"/>
  </mergeCells>
  <printOptions horizontalCentered="1"/>
  <pageMargins left="0.19685039370078741" right="0.19685039370078741" top="0.59055118110236227" bottom="0.19685039370078741" header="0.51181102362204722" footer="0.51181102362204722"/>
  <pageSetup paperSize="9" scale="78" fitToHeight="0" orientation="portrait" r:id="rId1"/>
  <headerFooter>
    <oddFooter>&amp;C
- &amp;P -</oddFooter>
  </headerFooter>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S17"/>
  <sheetViews>
    <sheetView tabSelected="1" view="pageBreakPreview" zoomScale="90" zoomScaleNormal="100" zoomScaleSheetLayoutView="90" workbookViewId="0">
      <selection activeCell="B1" sqref="B1:N1"/>
    </sheetView>
  </sheetViews>
  <sheetFormatPr defaultColWidth="9.85546875" defaultRowHeight="16.5" x14ac:dyDescent="0.3"/>
  <cols>
    <col min="1" max="1" width="3.7109375" style="534" customWidth="1"/>
    <col min="2" max="2" width="3.7109375" style="535" customWidth="1"/>
    <col min="3" max="3" width="18.85546875" style="549" customWidth="1"/>
    <col min="4" max="4" width="19.7109375" style="535" customWidth="1"/>
    <col min="5" max="5" width="13.5703125" style="535" customWidth="1"/>
    <col min="6" max="8" width="11.7109375" style="535" customWidth="1"/>
    <col min="9" max="9" width="12.7109375" style="535" customWidth="1"/>
    <col min="10" max="16" width="11.7109375" style="535" customWidth="1"/>
    <col min="17" max="19" width="11.7109375" style="536" customWidth="1"/>
    <col min="20" max="247" width="8" style="536" customWidth="1"/>
    <col min="248" max="248" width="2.42578125" style="536" bestFit="1" customWidth="1"/>
    <col min="249" max="249" width="28.28515625" style="536" bestFit="1" customWidth="1"/>
    <col min="250" max="250" width="14.28515625" style="536" bestFit="1" customWidth="1"/>
    <col min="251" max="251" width="13.5703125" style="536" bestFit="1" customWidth="1"/>
    <col min="252" max="252" width="10.7109375" style="536" bestFit="1" customWidth="1"/>
    <col min="253" max="253" width="9.42578125" style="536" bestFit="1" customWidth="1"/>
    <col min="254" max="254" width="9.85546875" style="536" bestFit="1"/>
    <col min="255" max="16384" width="9.85546875" style="536"/>
  </cols>
  <sheetData>
    <row r="1" spans="1:19" ht="17.25" x14ac:dyDescent="0.35">
      <c r="B1" s="2332" t="s">
        <v>1373</v>
      </c>
      <c r="C1" s="2332"/>
      <c r="D1" s="2332"/>
      <c r="E1" s="2332"/>
      <c r="F1" s="2332"/>
      <c r="G1" s="2332"/>
      <c r="H1" s="2332"/>
      <c r="I1" s="2332"/>
      <c r="J1" s="2332"/>
      <c r="K1" s="2332"/>
      <c r="L1" s="2332"/>
      <c r="M1" s="2332"/>
      <c r="N1" s="2332"/>
    </row>
    <row r="2" spans="1:19" x14ac:dyDescent="0.3">
      <c r="B2" s="2333" t="s">
        <v>1341</v>
      </c>
      <c r="C2" s="2333"/>
      <c r="D2" s="2333"/>
      <c r="E2" s="2333"/>
      <c r="F2" s="2333"/>
      <c r="G2" s="2333"/>
      <c r="H2" s="2333"/>
      <c r="I2" s="2333"/>
      <c r="J2" s="2333"/>
      <c r="K2" s="2333"/>
      <c r="L2" s="2333"/>
      <c r="M2" s="2333"/>
      <c r="N2" s="2333"/>
    </row>
    <row r="3" spans="1:19" s="537" customFormat="1" ht="17.25" x14ac:dyDescent="0.2">
      <c r="A3" s="534"/>
      <c r="B3" s="2449" t="s">
        <v>122</v>
      </c>
      <c r="C3" s="2449"/>
      <c r="D3" s="2449"/>
      <c r="E3" s="2449"/>
      <c r="F3" s="2449"/>
      <c r="G3" s="2449"/>
      <c r="H3" s="2449"/>
      <c r="I3" s="2449"/>
      <c r="J3" s="2449"/>
      <c r="K3" s="2449"/>
      <c r="L3" s="2449"/>
      <c r="M3" s="2449"/>
      <c r="N3" s="2449"/>
      <c r="O3" s="2449"/>
      <c r="P3" s="2449"/>
      <c r="Q3" s="2449"/>
      <c r="R3" s="2449"/>
      <c r="S3" s="2449"/>
    </row>
    <row r="4" spans="1:19" s="537" customFormat="1" ht="17.25" x14ac:dyDescent="0.2">
      <c r="A4" s="534"/>
      <c r="B4" s="2449" t="s">
        <v>14</v>
      </c>
      <c r="C4" s="2449"/>
      <c r="D4" s="2449"/>
      <c r="E4" s="2449"/>
      <c r="F4" s="2449"/>
      <c r="G4" s="2449"/>
      <c r="H4" s="2449"/>
      <c r="I4" s="2449"/>
      <c r="J4" s="2449"/>
      <c r="K4" s="2449"/>
      <c r="L4" s="2449"/>
      <c r="M4" s="2449"/>
      <c r="N4" s="2449"/>
      <c r="O4" s="2449"/>
      <c r="P4" s="2449"/>
      <c r="Q4" s="2449"/>
      <c r="R4" s="2449"/>
      <c r="S4" s="2449"/>
    </row>
    <row r="5" spans="1:19" s="537" customFormat="1" ht="17.25" x14ac:dyDescent="0.2">
      <c r="A5" s="534"/>
      <c r="B5" s="2449" t="s">
        <v>362</v>
      </c>
      <c r="C5" s="2449"/>
      <c r="D5" s="2449"/>
      <c r="E5" s="2449"/>
      <c r="F5" s="2449"/>
      <c r="G5" s="2449"/>
      <c r="H5" s="2449"/>
      <c r="I5" s="2449"/>
      <c r="J5" s="2449"/>
      <c r="K5" s="2449"/>
      <c r="L5" s="2449"/>
      <c r="M5" s="2449"/>
      <c r="N5" s="2449"/>
      <c r="O5" s="2449"/>
      <c r="P5" s="2449"/>
      <c r="Q5" s="2449"/>
      <c r="R5" s="2449"/>
      <c r="S5" s="2449"/>
    </row>
    <row r="6" spans="1:19" ht="17.25" x14ac:dyDescent="0.35">
      <c r="B6" s="538"/>
      <c r="C6" s="538"/>
      <c r="D6" s="538"/>
      <c r="E6" s="538"/>
      <c r="F6" s="538"/>
      <c r="G6" s="538"/>
      <c r="H6" s="538"/>
      <c r="I6" s="538"/>
      <c r="J6" s="538"/>
      <c r="K6" s="538"/>
      <c r="L6" s="538"/>
      <c r="M6" s="538"/>
      <c r="N6" s="538"/>
      <c r="O6" s="538"/>
      <c r="P6" s="538"/>
      <c r="Q6" s="538"/>
      <c r="R6" s="2450" t="s">
        <v>0</v>
      </c>
      <c r="S6" s="2450"/>
    </row>
    <row r="7" spans="1:19" ht="17.25" thickBot="1" x14ac:dyDescent="0.35">
      <c r="B7" s="2446" t="s">
        <v>1</v>
      </c>
      <c r="C7" s="2446"/>
      <c r="D7" s="539" t="s">
        <v>3</v>
      </c>
      <c r="E7" s="539" t="s">
        <v>2</v>
      </c>
      <c r="F7" s="539" t="s">
        <v>4</v>
      </c>
      <c r="G7" s="539" t="s">
        <v>5</v>
      </c>
      <c r="H7" s="539" t="s">
        <v>15</v>
      </c>
      <c r="I7" s="539" t="s">
        <v>36</v>
      </c>
      <c r="J7" s="539" t="s">
        <v>30</v>
      </c>
      <c r="K7" s="539" t="s">
        <v>23</v>
      </c>
      <c r="L7" s="539" t="s">
        <v>37</v>
      </c>
      <c r="M7" s="539" t="s">
        <v>38</v>
      </c>
      <c r="N7" s="539" t="s">
        <v>160</v>
      </c>
      <c r="O7" s="539" t="s">
        <v>161</v>
      </c>
      <c r="P7" s="540" t="s">
        <v>162</v>
      </c>
      <c r="Q7" s="540" t="s">
        <v>363</v>
      </c>
      <c r="R7" s="540" t="s">
        <v>600</v>
      </c>
      <c r="S7" s="540" t="s">
        <v>601</v>
      </c>
    </row>
    <row r="8" spans="1:19" s="534" customFormat="1" ht="99.75" customHeight="1" thickBot="1" x14ac:dyDescent="0.25">
      <c r="B8" s="2447" t="s">
        <v>364</v>
      </c>
      <c r="C8" s="2448"/>
      <c r="D8" s="410" t="s">
        <v>365</v>
      </c>
      <c r="E8" s="410" t="s">
        <v>366</v>
      </c>
      <c r="F8" s="410" t="s">
        <v>367</v>
      </c>
      <c r="G8" s="410" t="s">
        <v>368</v>
      </c>
      <c r="H8" s="410" t="s">
        <v>829</v>
      </c>
      <c r="I8" s="410" t="s">
        <v>830</v>
      </c>
      <c r="J8" s="410" t="s">
        <v>422</v>
      </c>
      <c r="K8" s="410" t="s">
        <v>831</v>
      </c>
      <c r="L8" s="410" t="s">
        <v>423</v>
      </c>
      <c r="M8" s="410" t="s">
        <v>518</v>
      </c>
      <c r="N8" s="410" t="s">
        <v>602</v>
      </c>
      <c r="O8" s="410" t="s">
        <v>832</v>
      </c>
      <c r="P8" s="410" t="s">
        <v>833</v>
      </c>
      <c r="Q8" s="410" t="s">
        <v>519</v>
      </c>
      <c r="R8" s="410" t="s">
        <v>603</v>
      </c>
      <c r="S8" s="673" t="s">
        <v>834</v>
      </c>
    </row>
    <row r="9" spans="1:19" ht="33" customHeight="1" thickTop="1" x14ac:dyDescent="0.3">
      <c r="A9" s="534">
        <v>1</v>
      </c>
      <c r="B9" s="541" t="s">
        <v>130</v>
      </c>
      <c r="C9" s="411" t="s">
        <v>424</v>
      </c>
      <c r="D9" s="542" t="s">
        <v>369</v>
      </c>
      <c r="E9" s="533" t="s">
        <v>835</v>
      </c>
      <c r="F9" s="412">
        <v>44104</v>
      </c>
      <c r="G9" s="413">
        <v>1500000</v>
      </c>
      <c r="H9" s="413">
        <v>0</v>
      </c>
      <c r="I9" s="413">
        <v>0</v>
      </c>
      <c r="J9" s="413">
        <v>0</v>
      </c>
      <c r="K9" s="413">
        <f>H9+I9-J9</f>
        <v>0</v>
      </c>
      <c r="L9" s="413">
        <f>4000+10000</f>
        <v>14000</v>
      </c>
      <c r="M9" s="413">
        <v>0</v>
      </c>
      <c r="N9" s="413"/>
      <c r="O9" s="413"/>
      <c r="P9" s="413"/>
      <c r="Q9" s="413"/>
      <c r="R9" s="413"/>
      <c r="S9" s="674"/>
    </row>
    <row r="10" spans="1:19" ht="33" x14ac:dyDescent="0.3">
      <c r="A10" s="534">
        <v>2</v>
      </c>
      <c r="B10" s="543" t="s">
        <v>137</v>
      </c>
      <c r="C10" s="544" t="s">
        <v>370</v>
      </c>
      <c r="D10" s="414" t="s">
        <v>371</v>
      </c>
      <c r="E10" s="545">
        <v>40736</v>
      </c>
      <c r="F10" s="545">
        <v>48040</v>
      </c>
      <c r="G10" s="1091">
        <v>484000</v>
      </c>
      <c r="H10" s="1091">
        <v>39625</v>
      </c>
      <c r="I10" s="1091">
        <v>0</v>
      </c>
      <c r="J10" s="1091">
        <v>12340</v>
      </c>
      <c r="K10" s="413">
        <f t="shared" ref="K10:K16" si="0">H10+I10-J10</f>
        <v>27285</v>
      </c>
      <c r="L10" s="1091">
        <v>818</v>
      </c>
      <c r="M10" s="1091">
        <v>12341</v>
      </c>
      <c r="N10" s="1091">
        <v>12340</v>
      </c>
      <c r="O10" s="1091">
        <v>2604</v>
      </c>
      <c r="P10" s="1091">
        <f>K10-M10-N10-O10</f>
        <v>0</v>
      </c>
      <c r="Q10" s="1091">
        <v>530</v>
      </c>
      <c r="R10" s="1091">
        <v>241</v>
      </c>
      <c r="S10" s="1092">
        <v>15</v>
      </c>
    </row>
    <row r="11" spans="1:19" ht="38.25" customHeight="1" x14ac:dyDescent="0.3">
      <c r="A11" s="534">
        <v>3</v>
      </c>
      <c r="B11" s="543" t="s">
        <v>138</v>
      </c>
      <c r="C11" s="544" t="s">
        <v>372</v>
      </c>
      <c r="D11" s="414" t="s">
        <v>371</v>
      </c>
      <c r="E11" s="545">
        <v>41502</v>
      </c>
      <c r="F11" s="545">
        <v>44190</v>
      </c>
      <c r="G11" s="1091">
        <v>650000</v>
      </c>
      <c r="H11" s="1091">
        <v>46681</v>
      </c>
      <c r="I11" s="1091">
        <v>0</v>
      </c>
      <c r="J11" s="1091">
        <v>46681</v>
      </c>
      <c r="K11" s="413">
        <f t="shared" si="0"/>
        <v>0</v>
      </c>
      <c r="L11" s="1091">
        <v>686</v>
      </c>
      <c r="M11" s="1091">
        <v>0</v>
      </c>
      <c r="N11" s="1091">
        <v>0</v>
      </c>
      <c r="O11" s="1091"/>
      <c r="P11" s="1091"/>
      <c r="Q11" s="1091">
        <v>0</v>
      </c>
      <c r="R11" s="1091">
        <v>0</v>
      </c>
      <c r="S11" s="1092"/>
    </row>
    <row r="12" spans="1:19" ht="38.25" customHeight="1" x14ac:dyDescent="0.3">
      <c r="A12" s="534">
        <v>4</v>
      </c>
      <c r="B12" s="543" t="s">
        <v>139</v>
      </c>
      <c r="C12" s="544" t="s">
        <v>373</v>
      </c>
      <c r="D12" s="414" t="s">
        <v>374</v>
      </c>
      <c r="E12" s="545">
        <v>41555</v>
      </c>
      <c r="F12" s="545">
        <v>48859</v>
      </c>
      <c r="G12" s="1091">
        <v>200000</v>
      </c>
      <c r="H12" s="1091">
        <v>112411</v>
      </c>
      <c r="I12" s="1091">
        <v>0</v>
      </c>
      <c r="J12" s="1091">
        <v>8918.4</v>
      </c>
      <c r="K12" s="413">
        <f t="shared" si="0"/>
        <v>103492.6</v>
      </c>
      <c r="L12" s="1091">
        <v>3406</v>
      </c>
      <c r="M12" s="1091">
        <v>8918</v>
      </c>
      <c r="N12" s="1091">
        <v>8918</v>
      </c>
      <c r="O12" s="1091">
        <v>8918</v>
      </c>
      <c r="P12" s="1091">
        <f>K12-M12-N12-O12</f>
        <v>76738.600000000006</v>
      </c>
      <c r="Q12" s="1091">
        <v>3128</v>
      </c>
      <c r="R12" s="1091">
        <v>2829</v>
      </c>
      <c r="S12" s="1092">
        <v>2571</v>
      </c>
    </row>
    <row r="13" spans="1:19" ht="35.25" customHeight="1" x14ac:dyDescent="0.3">
      <c r="A13" s="534">
        <v>5</v>
      </c>
      <c r="B13" s="543" t="s">
        <v>140</v>
      </c>
      <c r="C13" s="544" t="s">
        <v>425</v>
      </c>
      <c r="D13" s="414" t="s">
        <v>371</v>
      </c>
      <c r="E13" s="545">
        <v>41759</v>
      </c>
      <c r="F13" s="545">
        <v>49064</v>
      </c>
      <c r="G13" s="1091">
        <v>200000</v>
      </c>
      <c r="H13" s="1091">
        <v>128840</v>
      </c>
      <c r="I13" s="1091">
        <v>0</v>
      </c>
      <c r="J13" s="1091">
        <v>8886</v>
      </c>
      <c r="K13" s="413">
        <f t="shared" si="0"/>
        <v>119954</v>
      </c>
      <c r="L13" s="1091">
        <v>2869</v>
      </c>
      <c r="M13" s="1091">
        <v>8886</v>
      </c>
      <c r="N13" s="1091">
        <v>8886</v>
      </c>
      <c r="O13" s="1091">
        <v>8886</v>
      </c>
      <c r="P13" s="1091">
        <f>K13-N13-O13-M13</f>
        <v>93296</v>
      </c>
      <c r="Q13" s="1091">
        <v>2666</v>
      </c>
      <c r="R13" s="1091">
        <v>2463</v>
      </c>
      <c r="S13" s="1092">
        <v>2260</v>
      </c>
    </row>
    <row r="14" spans="1:19" ht="36" customHeight="1" x14ac:dyDescent="0.3">
      <c r="A14" s="534">
        <v>6</v>
      </c>
      <c r="B14" s="546" t="s">
        <v>223</v>
      </c>
      <c r="C14" s="547" t="s">
        <v>426</v>
      </c>
      <c r="D14" s="415" t="s">
        <v>369</v>
      </c>
      <c r="E14" s="548">
        <v>41759</v>
      </c>
      <c r="F14" s="548">
        <v>45285</v>
      </c>
      <c r="G14" s="1093">
        <v>151317</v>
      </c>
      <c r="H14" s="1093">
        <v>77521</v>
      </c>
      <c r="I14" s="1093">
        <v>0</v>
      </c>
      <c r="J14" s="1093">
        <v>19679.3</v>
      </c>
      <c r="K14" s="413">
        <f t="shared" si="0"/>
        <v>57841.7</v>
      </c>
      <c r="L14" s="1093">
        <v>1192</v>
      </c>
      <c r="M14" s="1093">
        <v>19679</v>
      </c>
      <c r="N14" s="1093">
        <v>19678</v>
      </c>
      <c r="O14" s="1093">
        <v>18485</v>
      </c>
      <c r="P14" s="1091">
        <f>K14-N14-O14-M14</f>
        <v>-0.30000000000291038</v>
      </c>
      <c r="Q14" s="1093">
        <v>858</v>
      </c>
      <c r="R14" s="1093">
        <v>523</v>
      </c>
      <c r="S14" s="1094">
        <v>187</v>
      </c>
    </row>
    <row r="15" spans="1:19" ht="33" customHeight="1" x14ac:dyDescent="0.3">
      <c r="A15" s="534">
        <v>7</v>
      </c>
      <c r="B15" s="546" t="s">
        <v>375</v>
      </c>
      <c r="C15" s="547" t="s">
        <v>902</v>
      </c>
      <c r="D15" s="415" t="s">
        <v>369</v>
      </c>
      <c r="E15" s="548">
        <v>42943</v>
      </c>
      <c r="F15" s="548">
        <v>46568</v>
      </c>
      <c r="G15" s="1093">
        <v>99000</v>
      </c>
      <c r="H15" s="1093">
        <v>93000</v>
      </c>
      <c r="I15" s="1093">
        <v>0</v>
      </c>
      <c r="J15" s="1093">
        <v>12000</v>
      </c>
      <c r="K15" s="413">
        <f t="shared" si="0"/>
        <v>81000</v>
      </c>
      <c r="L15" s="1093">
        <v>1336</v>
      </c>
      <c r="M15" s="1093">
        <v>12000</v>
      </c>
      <c r="N15" s="1093">
        <v>12000</v>
      </c>
      <c r="O15" s="1093">
        <v>12000</v>
      </c>
      <c r="P15" s="1093">
        <f>K15-N15-O15-M15</f>
        <v>45000</v>
      </c>
      <c r="Q15" s="1093">
        <v>1155</v>
      </c>
      <c r="R15" s="1093">
        <v>974</v>
      </c>
      <c r="S15" s="1094">
        <v>793</v>
      </c>
    </row>
    <row r="16" spans="1:19" ht="33" customHeight="1" thickBot="1" x14ac:dyDescent="0.35">
      <c r="A16" s="534">
        <v>8</v>
      </c>
      <c r="B16" s="546" t="s">
        <v>604</v>
      </c>
      <c r="C16" s="547" t="s">
        <v>1358</v>
      </c>
      <c r="D16" s="415" t="s">
        <v>369</v>
      </c>
      <c r="E16" s="548">
        <v>43641</v>
      </c>
      <c r="F16" s="548">
        <v>47299</v>
      </c>
      <c r="G16" s="1093">
        <v>1260000</v>
      </c>
      <c r="H16" s="1093">
        <v>0</v>
      </c>
      <c r="I16" s="1093">
        <v>1260000</v>
      </c>
      <c r="J16" s="1093">
        <v>0</v>
      </c>
      <c r="K16" s="1093">
        <f t="shared" si="0"/>
        <v>1260000</v>
      </c>
      <c r="L16" s="1093">
        <f>13999+2277</f>
        <v>16276</v>
      </c>
      <c r="M16" s="1093">
        <v>76364</v>
      </c>
      <c r="N16" s="1093">
        <v>152727</v>
      </c>
      <c r="O16" s="1093">
        <v>152727</v>
      </c>
      <c r="P16" s="1093">
        <f>K16-N16-O16-M16</f>
        <v>878182</v>
      </c>
      <c r="Q16" s="1093">
        <v>15881</v>
      </c>
      <c r="R16" s="1093">
        <v>13305</v>
      </c>
      <c r="S16" s="1094">
        <v>12365</v>
      </c>
    </row>
    <row r="17" spans="1:19" ht="30" customHeight="1" thickTop="1" thickBot="1" x14ac:dyDescent="0.35">
      <c r="A17" s="534">
        <v>9</v>
      </c>
      <c r="B17" s="2100"/>
      <c r="C17" s="2101" t="s">
        <v>376</v>
      </c>
      <c r="D17" s="2101"/>
      <c r="E17" s="2101"/>
      <c r="F17" s="2101"/>
      <c r="G17" s="2101"/>
      <c r="H17" s="2101">
        <f t="shared" ref="H17" si="1">SUM(H9:H15)</f>
        <v>498078</v>
      </c>
      <c r="I17" s="2101">
        <f t="shared" ref="I17:S17" si="2">SUM(I9:I16)</f>
        <v>1260000</v>
      </c>
      <c r="J17" s="2101">
        <f t="shared" si="2"/>
        <v>108504.7</v>
      </c>
      <c r="K17" s="2101">
        <f t="shared" si="2"/>
        <v>1649573.3</v>
      </c>
      <c r="L17" s="2101">
        <f t="shared" si="2"/>
        <v>40583</v>
      </c>
      <c r="M17" s="2101">
        <f t="shared" si="2"/>
        <v>138188</v>
      </c>
      <c r="N17" s="2101">
        <f t="shared" si="2"/>
        <v>214549</v>
      </c>
      <c r="O17" s="2101">
        <f t="shared" si="2"/>
        <v>203620</v>
      </c>
      <c r="P17" s="2101">
        <f t="shared" si="2"/>
        <v>1093216.3</v>
      </c>
      <c r="Q17" s="2101">
        <f t="shared" si="2"/>
        <v>24218</v>
      </c>
      <c r="R17" s="2101">
        <f t="shared" si="2"/>
        <v>20335</v>
      </c>
      <c r="S17" s="2102">
        <f t="shared" si="2"/>
        <v>18191</v>
      </c>
    </row>
  </sheetData>
  <mergeCells count="8">
    <mergeCell ref="B1:N1"/>
    <mergeCell ref="B2:N2"/>
    <mergeCell ref="B7:C7"/>
    <mergeCell ref="B8:C8"/>
    <mergeCell ref="B3:S3"/>
    <mergeCell ref="B4:S4"/>
    <mergeCell ref="B5:S5"/>
    <mergeCell ref="R6:S6"/>
  </mergeCells>
  <printOptions horizontalCentered="1"/>
  <pageMargins left="0.19685039370078741" right="0.19685039370078741" top="0.59055118110236227" bottom="0.59055118110236227" header="0.51181102362204722" footer="0.51181102362204722"/>
  <pageSetup paperSize="9" scale="65" fitToHeight="0" orientation="landscape" verticalDpi="300" r:id="rId1"/>
  <headerFooter>
    <oddFooter>&amp;C- &amp;P -</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W65"/>
  <sheetViews>
    <sheetView view="pageBreakPreview" zoomScale="90" zoomScaleNormal="100" zoomScaleSheetLayoutView="90" workbookViewId="0">
      <selection activeCell="B1" sqref="B1:M1"/>
    </sheetView>
  </sheetViews>
  <sheetFormatPr defaultColWidth="9.140625" defaultRowHeight="17.25" x14ac:dyDescent="0.35"/>
  <cols>
    <col min="1" max="1" width="3.7109375" style="131" customWidth="1"/>
    <col min="2" max="5" width="5.7109375" style="282" customWidth="1"/>
    <col min="6" max="6" width="59.7109375" style="146" customWidth="1"/>
    <col min="7" max="10" width="13.7109375" style="71" customWidth="1"/>
    <col min="11" max="11" width="15.7109375" style="305" customWidth="1"/>
    <col min="12" max="12" width="15.7109375" style="1647" customWidth="1"/>
    <col min="13" max="14" width="15.7109375" style="146" customWidth="1"/>
    <col min="15" max="15" width="16.28515625" style="71" customWidth="1"/>
    <col min="16" max="16" width="14" style="71" customWidth="1"/>
    <col min="17" max="16384" width="9.140625" style="146"/>
  </cols>
  <sheetData>
    <row r="1" spans="1:23" x14ac:dyDescent="0.35">
      <c r="A1" s="1964"/>
      <c r="B1" s="2145" t="s">
        <v>1360</v>
      </c>
      <c r="C1" s="2145"/>
      <c r="D1" s="2145"/>
      <c r="E1" s="2145"/>
      <c r="F1" s="2145"/>
      <c r="G1" s="2145"/>
      <c r="H1" s="2145"/>
      <c r="I1" s="2145"/>
      <c r="J1" s="2145"/>
      <c r="K1" s="2145"/>
      <c r="L1" s="2145"/>
      <c r="M1" s="2145"/>
      <c r="N1" s="2116"/>
    </row>
    <row r="2" spans="1:23" ht="16.5" x14ac:dyDescent="0.3">
      <c r="A2" s="1964"/>
      <c r="B2" s="2146" t="s">
        <v>1133</v>
      </c>
      <c r="C2" s="2146"/>
      <c r="D2" s="2146"/>
      <c r="E2" s="2146"/>
      <c r="F2" s="2146"/>
      <c r="G2" s="2146"/>
      <c r="H2" s="2146"/>
      <c r="I2" s="2146"/>
      <c r="J2" s="2146"/>
      <c r="K2" s="2146"/>
      <c r="L2" s="2146"/>
      <c r="M2" s="2146"/>
      <c r="N2" s="2117"/>
    </row>
    <row r="3" spans="1:23" ht="16.5" x14ac:dyDescent="0.3">
      <c r="A3" s="1964"/>
      <c r="B3" s="1965"/>
      <c r="C3" s="1965"/>
      <c r="D3" s="1965"/>
      <c r="E3" s="1965"/>
      <c r="F3" s="1965"/>
      <c r="G3" s="1965"/>
      <c r="H3" s="1965"/>
      <c r="I3" s="1965"/>
      <c r="J3" s="1965"/>
      <c r="K3" s="1965"/>
      <c r="L3" s="1965"/>
      <c r="M3" s="1965"/>
      <c r="N3" s="2117"/>
    </row>
    <row r="4" spans="1:23" s="23" customFormat="1" ht="25.15" customHeight="1" x14ac:dyDescent="0.3">
      <c r="A4" s="131"/>
      <c r="B4" s="2143" t="s">
        <v>172</v>
      </c>
      <c r="C4" s="2143"/>
      <c r="D4" s="2143"/>
      <c r="E4" s="2143"/>
      <c r="F4" s="2143"/>
      <c r="G4" s="2143"/>
      <c r="H4" s="2143"/>
      <c r="I4" s="2143"/>
      <c r="J4" s="2143"/>
      <c r="K4" s="2143"/>
      <c r="L4" s="2143"/>
      <c r="M4" s="2143"/>
      <c r="N4" s="2114"/>
      <c r="O4" s="704"/>
      <c r="P4" s="704"/>
    </row>
    <row r="5" spans="1:23" s="23" customFormat="1" ht="25.15" customHeight="1" x14ac:dyDescent="0.3">
      <c r="A5" s="131"/>
      <c r="B5" s="2144" t="s">
        <v>1132</v>
      </c>
      <c r="C5" s="2144"/>
      <c r="D5" s="2144"/>
      <c r="E5" s="2144"/>
      <c r="F5" s="2144"/>
      <c r="G5" s="2144"/>
      <c r="H5" s="2144"/>
      <c r="I5" s="2144"/>
      <c r="J5" s="2144"/>
      <c r="K5" s="2144"/>
      <c r="L5" s="2144"/>
      <c r="M5" s="2144"/>
      <c r="N5" s="2115"/>
      <c r="O5" s="704"/>
      <c r="P5" s="704"/>
    </row>
    <row r="6" spans="1:23" s="786" customFormat="1" ht="15" x14ac:dyDescent="0.3">
      <c r="A6" s="131"/>
      <c r="B6" s="785"/>
      <c r="C6" s="785"/>
      <c r="D6" s="785"/>
      <c r="E6" s="785"/>
      <c r="F6" s="785"/>
      <c r="G6" s="451"/>
      <c r="H6" s="451"/>
      <c r="I6" s="290"/>
      <c r="J6" s="290"/>
      <c r="K6" s="293"/>
      <c r="L6" s="1732"/>
      <c r="M6" s="293" t="s">
        <v>0</v>
      </c>
      <c r="N6" s="293"/>
      <c r="O6" s="290"/>
      <c r="P6" s="290"/>
    </row>
    <row r="7" spans="1:23" s="789" customFormat="1" ht="18" customHeight="1" thickBot="1" x14ac:dyDescent="0.35">
      <c r="A7" s="131"/>
      <c r="B7" s="787" t="s">
        <v>1</v>
      </c>
      <c r="C7" s="787" t="s">
        <v>3</v>
      </c>
      <c r="D7" s="787" t="s">
        <v>2</v>
      </c>
      <c r="E7" s="787" t="s">
        <v>4</v>
      </c>
      <c r="F7" s="787" t="s">
        <v>5</v>
      </c>
      <c r="G7" s="788" t="s">
        <v>15</v>
      </c>
      <c r="H7" s="788" t="s">
        <v>16</v>
      </c>
      <c r="I7" s="788" t="s">
        <v>17</v>
      </c>
      <c r="J7" s="788" t="s">
        <v>36</v>
      </c>
      <c r="K7" s="788" t="s">
        <v>30</v>
      </c>
      <c r="L7" s="61" t="s">
        <v>23</v>
      </c>
      <c r="M7" s="130" t="s">
        <v>37</v>
      </c>
      <c r="N7" s="130"/>
      <c r="O7" s="2112"/>
      <c r="P7" s="2112"/>
    </row>
    <row r="8" spans="1:23" s="72" customFormat="1" ht="80.099999999999994" customHeight="1" thickBot="1" x14ac:dyDescent="0.35">
      <c r="A8" s="884"/>
      <c r="B8" s="393" t="s">
        <v>18</v>
      </c>
      <c r="C8" s="394" t="s">
        <v>19</v>
      </c>
      <c r="D8" s="392" t="s">
        <v>660</v>
      </c>
      <c r="E8" s="392" t="s">
        <v>661</v>
      </c>
      <c r="F8" s="395" t="s">
        <v>6</v>
      </c>
      <c r="G8" s="396" t="s">
        <v>651</v>
      </c>
      <c r="H8" s="306" t="s">
        <v>628</v>
      </c>
      <c r="I8" s="1670" t="s">
        <v>877</v>
      </c>
      <c r="J8" s="1870" t="s">
        <v>1026</v>
      </c>
      <c r="K8" s="1867" t="s">
        <v>1157</v>
      </c>
      <c r="L8" s="1290" t="s">
        <v>123</v>
      </c>
      <c r="M8" s="1275" t="s">
        <v>1248</v>
      </c>
      <c r="N8" s="2120"/>
      <c r="O8" s="84"/>
      <c r="P8" s="84"/>
      <c r="Q8" s="84"/>
      <c r="R8" s="84"/>
      <c r="S8" s="84"/>
      <c r="T8" s="84"/>
      <c r="U8" s="84"/>
      <c r="V8" s="84"/>
      <c r="W8" s="84"/>
    </row>
    <row r="9" spans="1:23" s="254" customFormat="1" ht="36" customHeight="1" x14ac:dyDescent="0.35">
      <c r="A9" s="884">
        <v>1</v>
      </c>
      <c r="B9" s="378"/>
      <c r="C9" s="250"/>
      <c r="D9" s="251">
        <v>1</v>
      </c>
      <c r="E9" s="251"/>
      <c r="F9" s="252" t="s">
        <v>143</v>
      </c>
      <c r="G9" s="397">
        <f t="shared" ref="G9:M9" si="0">SUM(G10,G17,G27,G33,G35,G16,G32)</f>
        <v>14062643</v>
      </c>
      <c r="H9" s="397">
        <f t="shared" si="0"/>
        <v>12977517</v>
      </c>
      <c r="I9" s="397">
        <f t="shared" si="0"/>
        <v>14853364</v>
      </c>
      <c r="J9" s="1282">
        <f t="shared" si="0"/>
        <v>15115259</v>
      </c>
      <c r="K9" s="397">
        <f t="shared" si="0"/>
        <v>14936663</v>
      </c>
      <c r="L9" s="1299">
        <f>SUM(L10,L17,L27,L33,L35,L16,L32)</f>
        <v>2913897</v>
      </c>
      <c r="M9" s="1788">
        <f t="shared" si="0"/>
        <v>17850560</v>
      </c>
      <c r="N9" s="65"/>
      <c r="O9" s="253"/>
      <c r="P9" s="253"/>
      <c r="Q9" s="253"/>
      <c r="R9" s="253"/>
      <c r="S9" s="253"/>
      <c r="T9" s="253"/>
      <c r="U9" s="253"/>
      <c r="V9" s="253"/>
      <c r="W9" s="253"/>
    </row>
    <row r="10" spans="1:23" s="254" customFormat="1" ht="36" customHeight="1" x14ac:dyDescent="0.35">
      <c r="A10" s="884">
        <v>2</v>
      </c>
      <c r="B10" s="379">
        <v>18</v>
      </c>
      <c r="C10" s="255"/>
      <c r="D10" s="256"/>
      <c r="E10" s="256">
        <v>1</v>
      </c>
      <c r="F10" s="255" t="s">
        <v>173</v>
      </c>
      <c r="G10" s="65">
        <f t="shared" ref="G10:M10" si="1">SUM(G11,G14:G14)</f>
        <v>3706565</v>
      </c>
      <c r="H10" s="65">
        <f t="shared" si="1"/>
        <v>3419289</v>
      </c>
      <c r="I10" s="65">
        <f t="shared" si="1"/>
        <v>4483032</v>
      </c>
      <c r="J10" s="1283">
        <f t="shared" si="1"/>
        <v>4404208</v>
      </c>
      <c r="K10" s="65">
        <f t="shared" si="1"/>
        <v>5177314</v>
      </c>
      <c r="L10" s="1300">
        <f t="shared" si="1"/>
        <v>1573694</v>
      </c>
      <c r="M10" s="1789">
        <f t="shared" si="1"/>
        <v>6751008</v>
      </c>
      <c r="N10" s="65"/>
      <c r="O10" s="253"/>
      <c r="P10" s="253"/>
      <c r="Q10" s="253"/>
      <c r="R10" s="253"/>
      <c r="S10" s="253"/>
      <c r="T10" s="253"/>
      <c r="U10" s="253"/>
      <c r="V10" s="253"/>
      <c r="W10" s="253"/>
    </row>
    <row r="11" spans="1:23" s="257" customFormat="1" x14ac:dyDescent="0.35">
      <c r="A11" s="884">
        <v>3</v>
      </c>
      <c r="B11" s="121"/>
      <c r="C11" s="187"/>
      <c r="D11" s="145"/>
      <c r="E11" s="145"/>
      <c r="F11" s="2137" t="s">
        <v>174</v>
      </c>
      <c r="G11" s="10">
        <f t="shared" ref="G11:M11" si="2">SUM(G12:G13)</f>
        <v>3341151</v>
      </c>
      <c r="H11" s="10">
        <f t="shared" si="2"/>
        <v>3194545</v>
      </c>
      <c r="I11" s="10">
        <f t="shared" si="2"/>
        <v>3563207</v>
      </c>
      <c r="J11" s="1284">
        <f t="shared" si="2"/>
        <v>3066627</v>
      </c>
      <c r="K11" s="1294">
        <f>SUM(K12:K13)</f>
        <v>3416582</v>
      </c>
      <c r="L11" s="1294">
        <f t="shared" si="2"/>
        <v>1538961</v>
      </c>
      <c r="M11" s="1276">
        <f t="shared" si="2"/>
        <v>4955543</v>
      </c>
      <c r="N11" s="1294"/>
      <c r="O11" s="1630"/>
      <c r="P11" s="1630"/>
    </row>
    <row r="12" spans="1:23" ht="33" customHeight="1" x14ac:dyDescent="0.35">
      <c r="A12" s="884">
        <v>4</v>
      </c>
      <c r="B12" s="124"/>
      <c r="C12" s="258"/>
      <c r="D12" s="258"/>
      <c r="E12" s="258"/>
      <c r="F12" s="67" t="s">
        <v>1347</v>
      </c>
      <c r="G12" s="2">
        <v>3286398</v>
      </c>
      <c r="H12" s="2">
        <v>3194545</v>
      </c>
      <c r="I12" s="2">
        <v>3533067</v>
      </c>
      <c r="J12" s="1872">
        <v>3066627</v>
      </c>
      <c r="K12" s="1653">
        <v>3388865</v>
      </c>
      <c r="L12" s="1657"/>
      <c r="M12" s="1276">
        <f>SUM(K12:L12)</f>
        <v>3388865</v>
      </c>
      <c r="N12" s="1294"/>
    </row>
    <row r="13" spans="1:23" ht="33.75" x14ac:dyDescent="0.35">
      <c r="A13" s="884">
        <v>5</v>
      </c>
      <c r="B13" s="121"/>
      <c r="C13" s="258"/>
      <c r="D13" s="258"/>
      <c r="E13" s="258"/>
      <c r="F13" s="67" t="s">
        <v>175</v>
      </c>
      <c r="G13" s="2">
        <v>54753</v>
      </c>
      <c r="H13" s="2"/>
      <c r="I13" s="2">
        <v>30140</v>
      </c>
      <c r="J13" s="1872"/>
      <c r="K13" s="1653">
        <v>27717</v>
      </c>
      <c r="L13" s="1657">
        <v>1538961</v>
      </c>
      <c r="M13" s="1276">
        <f>SUM(K13:L13)</f>
        <v>1566678</v>
      </c>
      <c r="N13" s="1294"/>
    </row>
    <row r="14" spans="1:23" s="257" customFormat="1" x14ac:dyDescent="0.35">
      <c r="A14" s="884">
        <v>6</v>
      </c>
      <c r="B14" s="121"/>
      <c r="C14" s="259"/>
      <c r="D14" s="258"/>
      <c r="E14" s="258"/>
      <c r="F14" s="2136" t="s">
        <v>176</v>
      </c>
      <c r="G14" s="10">
        <v>365414</v>
      </c>
      <c r="H14" s="10">
        <v>224744</v>
      </c>
      <c r="I14" s="10">
        <v>919825</v>
      </c>
      <c r="J14" s="1871">
        <v>1337581</v>
      </c>
      <c r="K14" s="1294">
        <v>1760732</v>
      </c>
      <c r="L14" s="1767">
        <v>34733</v>
      </c>
      <c r="M14" s="1276">
        <f>SUM(K14:L14)</f>
        <v>1795465</v>
      </c>
      <c r="N14" s="1294"/>
      <c r="O14" s="1630"/>
      <c r="P14" s="1630"/>
    </row>
    <row r="15" spans="1:23" ht="16.5" customHeight="1" x14ac:dyDescent="0.35">
      <c r="A15" s="884">
        <v>7</v>
      </c>
      <c r="B15" s="121"/>
      <c r="C15" s="258"/>
      <c r="D15" s="258"/>
      <c r="E15" s="258"/>
      <c r="F15" s="67" t="s">
        <v>177</v>
      </c>
      <c r="G15" s="2">
        <v>148540</v>
      </c>
      <c r="H15" s="2">
        <v>147600</v>
      </c>
      <c r="I15" s="2">
        <v>160234</v>
      </c>
      <c r="J15" s="1872">
        <v>180000</v>
      </c>
      <c r="K15" s="1653">
        <v>222056</v>
      </c>
      <c r="L15" s="1657"/>
      <c r="M15" s="1276">
        <f>SUM(K15:L15)</f>
        <v>222056</v>
      </c>
      <c r="N15" s="1294"/>
    </row>
    <row r="16" spans="1:23" ht="36" customHeight="1" x14ac:dyDescent="0.35">
      <c r="A16" s="884">
        <v>8</v>
      </c>
      <c r="B16" s="380" t="s">
        <v>544</v>
      </c>
      <c r="C16" s="258"/>
      <c r="D16" s="258"/>
      <c r="E16" s="307">
        <v>2</v>
      </c>
      <c r="F16" s="255" t="s">
        <v>954</v>
      </c>
      <c r="G16" s="10">
        <v>216590</v>
      </c>
      <c r="H16" s="10">
        <v>117496</v>
      </c>
      <c r="I16" s="10">
        <v>317352</v>
      </c>
      <c r="J16" s="1871">
        <v>236049</v>
      </c>
      <c r="K16" s="1294">
        <v>260862</v>
      </c>
      <c r="L16" s="1613">
        <v>44608</v>
      </c>
      <c r="M16" s="1276">
        <f>SUM(K16:L16)</f>
        <v>305470</v>
      </c>
      <c r="N16" s="1294"/>
    </row>
    <row r="17" spans="1:16" s="148" customFormat="1" ht="36" customHeight="1" x14ac:dyDescent="0.35">
      <c r="A17" s="884">
        <v>9</v>
      </c>
      <c r="B17" s="121">
        <v>18</v>
      </c>
      <c r="C17" s="187"/>
      <c r="D17" s="145"/>
      <c r="E17" s="145">
        <v>3</v>
      </c>
      <c r="F17" s="188" t="s">
        <v>178</v>
      </c>
      <c r="G17" s="68">
        <f>SUM(G18,G26:G26)</f>
        <v>8049548</v>
      </c>
      <c r="H17" s="68">
        <f>SUM(H18,H26:H26)</f>
        <v>7765600</v>
      </c>
      <c r="I17" s="68">
        <f>SUM(I18,I26:I26)</f>
        <v>8108452</v>
      </c>
      <c r="J17" s="1284">
        <f>SUM(J18,J26:J26)</f>
        <v>7945120</v>
      </c>
      <c r="K17" s="1294">
        <f>SUM(K18,K26:K26)</f>
        <v>7380120</v>
      </c>
      <c r="L17" s="1767">
        <f t="shared" ref="L17:M17" si="3">SUM(L18,L26:L26)</f>
        <v>1283563</v>
      </c>
      <c r="M17" s="1276">
        <f t="shared" si="3"/>
        <v>8663683</v>
      </c>
      <c r="N17" s="1294"/>
      <c r="O17" s="1294"/>
      <c r="P17" s="1294"/>
    </row>
    <row r="18" spans="1:16" s="257" customFormat="1" x14ac:dyDescent="0.35">
      <c r="A18" s="884">
        <v>10</v>
      </c>
      <c r="B18" s="121"/>
      <c r="C18" s="187"/>
      <c r="D18" s="145"/>
      <c r="E18" s="145"/>
      <c r="F18" s="2136" t="s">
        <v>179</v>
      </c>
      <c r="G18" s="10">
        <f>SUM(G19:G25)</f>
        <v>8043412</v>
      </c>
      <c r="H18" s="10">
        <f>SUM(H19:H25)</f>
        <v>7760000</v>
      </c>
      <c r="I18" s="10">
        <f>SUM(I19:I25)</f>
        <v>8100342</v>
      </c>
      <c r="J18" s="1284">
        <f>SUM(J19:J25)</f>
        <v>7940000</v>
      </c>
      <c r="K18" s="1294">
        <f>SUM(K19:K25)</f>
        <v>7375000</v>
      </c>
      <c r="L18" s="1767">
        <f t="shared" ref="L18:M18" si="4">SUM(L19:L25)</f>
        <v>1281603</v>
      </c>
      <c r="M18" s="1276">
        <f t="shared" si="4"/>
        <v>8656603</v>
      </c>
      <c r="N18" s="1294"/>
      <c r="O18" s="1294"/>
      <c r="P18" s="1294"/>
    </row>
    <row r="19" spans="1:16" x14ac:dyDescent="0.35">
      <c r="A19" s="884">
        <v>11</v>
      </c>
      <c r="B19" s="121"/>
      <c r="C19" s="145"/>
      <c r="D19" s="145"/>
      <c r="E19" s="145"/>
      <c r="F19" s="67" t="s">
        <v>132</v>
      </c>
      <c r="G19" s="2">
        <v>1300333</v>
      </c>
      <c r="H19" s="2">
        <v>1300000</v>
      </c>
      <c r="I19" s="2">
        <v>1353716</v>
      </c>
      <c r="J19" s="1872">
        <v>1320000</v>
      </c>
      <c r="K19" s="1653">
        <v>1320000</v>
      </c>
      <c r="L19" s="1657">
        <v>-18069</v>
      </c>
      <c r="M19" s="1276">
        <f>SUM(K19:L19)</f>
        <v>1301931</v>
      </c>
      <c r="N19" s="1294"/>
    </row>
    <row r="20" spans="1:16" x14ac:dyDescent="0.35">
      <c r="A20" s="884">
        <v>12</v>
      </c>
      <c r="B20" s="121"/>
      <c r="C20" s="145"/>
      <c r="D20" s="145"/>
      <c r="E20" s="145"/>
      <c r="F20" s="67" t="s">
        <v>135</v>
      </c>
      <c r="G20" s="2">
        <v>44141</v>
      </c>
      <c r="H20" s="2">
        <v>45000</v>
      </c>
      <c r="I20" s="2">
        <v>45085</v>
      </c>
      <c r="J20" s="1872">
        <v>55000</v>
      </c>
      <c r="K20" s="1653">
        <v>10000</v>
      </c>
      <c r="L20" s="1657">
        <v>1646</v>
      </c>
      <c r="M20" s="1276">
        <f t="shared" ref="M20:M26" si="5">SUM(K20:L20)</f>
        <v>11646</v>
      </c>
      <c r="N20" s="1294"/>
    </row>
    <row r="21" spans="1:16" x14ac:dyDescent="0.35">
      <c r="A21" s="884">
        <v>13</v>
      </c>
      <c r="B21" s="121"/>
      <c r="C21" s="145"/>
      <c r="D21" s="145"/>
      <c r="E21" s="145"/>
      <c r="F21" s="67" t="s">
        <v>134</v>
      </c>
      <c r="G21" s="2">
        <v>143422</v>
      </c>
      <c r="H21" s="2">
        <v>145000</v>
      </c>
      <c r="I21" s="2">
        <v>142925</v>
      </c>
      <c r="J21" s="1872">
        <v>143000</v>
      </c>
      <c r="K21" s="1653">
        <v>143000</v>
      </c>
      <c r="L21" s="1657">
        <v>-1560</v>
      </c>
      <c r="M21" s="1276">
        <f t="shared" si="5"/>
        <v>141440</v>
      </c>
      <c r="N21" s="1294"/>
    </row>
    <row r="22" spans="1:16" x14ac:dyDescent="0.35">
      <c r="A22" s="884">
        <v>14</v>
      </c>
      <c r="B22" s="121"/>
      <c r="C22" s="145"/>
      <c r="D22" s="145"/>
      <c r="E22" s="145"/>
      <c r="F22" s="67" t="s">
        <v>133</v>
      </c>
      <c r="G22" s="2">
        <v>95735</v>
      </c>
      <c r="H22" s="2">
        <v>95000</v>
      </c>
      <c r="I22" s="2">
        <v>91186</v>
      </c>
      <c r="J22" s="1872">
        <v>92000</v>
      </c>
      <c r="K22" s="1653">
        <v>92000</v>
      </c>
      <c r="L22" s="1657">
        <v>4484</v>
      </c>
      <c r="M22" s="1276">
        <f t="shared" si="5"/>
        <v>96484</v>
      </c>
      <c r="N22" s="1294"/>
    </row>
    <row r="23" spans="1:16" x14ac:dyDescent="0.35">
      <c r="A23" s="884">
        <v>15</v>
      </c>
      <c r="B23" s="121"/>
      <c r="C23" s="145"/>
      <c r="D23" s="145"/>
      <c r="E23" s="145"/>
      <c r="F23" s="67" t="s">
        <v>131</v>
      </c>
      <c r="G23" s="2">
        <v>6222826</v>
      </c>
      <c r="H23" s="2">
        <v>5950000</v>
      </c>
      <c r="I23" s="2">
        <v>6222920</v>
      </c>
      <c r="J23" s="1872">
        <v>6100000</v>
      </c>
      <c r="K23" s="1653">
        <v>5800000</v>
      </c>
      <c r="L23" s="1657">
        <v>1290255</v>
      </c>
      <c r="M23" s="1276">
        <f t="shared" si="5"/>
        <v>7090255</v>
      </c>
      <c r="N23" s="1294"/>
    </row>
    <row r="24" spans="1:16" x14ac:dyDescent="0.35">
      <c r="A24" s="884">
        <v>16</v>
      </c>
      <c r="B24" s="121"/>
      <c r="C24" s="145"/>
      <c r="D24" s="145"/>
      <c r="E24" s="145"/>
      <c r="F24" s="67" t="s">
        <v>136</v>
      </c>
      <c r="G24" s="2">
        <v>215843</v>
      </c>
      <c r="H24" s="2">
        <v>210000</v>
      </c>
      <c r="I24" s="2">
        <v>230151</v>
      </c>
      <c r="J24" s="1872">
        <v>220000</v>
      </c>
      <c r="K24" s="1653">
        <v>0</v>
      </c>
      <c r="L24" s="1657"/>
      <c r="M24" s="1276">
        <f t="shared" si="5"/>
        <v>0</v>
      </c>
      <c r="N24" s="1294"/>
    </row>
    <row r="25" spans="1:16" x14ac:dyDescent="0.35">
      <c r="A25" s="884">
        <v>17</v>
      </c>
      <c r="B25" s="121"/>
      <c r="C25" s="145"/>
      <c r="D25" s="145"/>
      <c r="E25" s="145"/>
      <c r="F25" s="67" t="s">
        <v>180</v>
      </c>
      <c r="G25" s="2">
        <v>21112</v>
      </c>
      <c r="H25" s="2">
        <v>15000</v>
      </c>
      <c r="I25" s="2">
        <v>14359</v>
      </c>
      <c r="J25" s="1872">
        <v>10000</v>
      </c>
      <c r="K25" s="1653">
        <v>10000</v>
      </c>
      <c r="L25" s="1657">
        <v>4847</v>
      </c>
      <c r="M25" s="1276">
        <f t="shared" si="5"/>
        <v>14847</v>
      </c>
      <c r="N25" s="1294"/>
    </row>
    <row r="26" spans="1:16" s="257" customFormat="1" ht="34.5" x14ac:dyDescent="0.35">
      <c r="A26" s="884">
        <v>18</v>
      </c>
      <c r="B26" s="121"/>
      <c r="C26" s="187"/>
      <c r="D26" s="145"/>
      <c r="E26" s="145"/>
      <c r="F26" s="2136" t="s">
        <v>181</v>
      </c>
      <c r="G26" s="10">
        <v>6136</v>
      </c>
      <c r="H26" s="10">
        <v>5600</v>
      </c>
      <c r="I26" s="10">
        <v>8110</v>
      </c>
      <c r="J26" s="1871">
        <v>5120</v>
      </c>
      <c r="K26" s="1294">
        <v>5120</v>
      </c>
      <c r="L26" s="1613">
        <v>1960</v>
      </c>
      <c r="M26" s="1276">
        <f t="shared" si="5"/>
        <v>7080</v>
      </c>
      <c r="N26" s="1294"/>
      <c r="O26" s="1630"/>
      <c r="P26" s="71"/>
    </row>
    <row r="27" spans="1:16" s="148" customFormat="1" ht="36" customHeight="1" x14ac:dyDescent="0.35">
      <c r="A27" s="884">
        <v>19</v>
      </c>
      <c r="B27" s="121">
        <v>18</v>
      </c>
      <c r="C27" s="187"/>
      <c r="D27" s="145"/>
      <c r="E27" s="145">
        <v>4</v>
      </c>
      <c r="F27" s="188" t="s">
        <v>146</v>
      </c>
      <c r="G27" s="68">
        <f>SUM(G28:G31)</f>
        <v>1035546</v>
      </c>
      <c r="H27" s="68">
        <f>SUM(H28:H31)</f>
        <v>765238</v>
      </c>
      <c r="I27" s="68">
        <f>SUM(I28:I31)</f>
        <v>818620</v>
      </c>
      <c r="J27" s="1284">
        <f>SUM(J28:J31)</f>
        <v>1501270</v>
      </c>
      <c r="K27" s="1294">
        <f>SUM(K28:K31)</f>
        <v>1135874</v>
      </c>
      <c r="L27" s="1294">
        <f t="shared" ref="L27:M27" si="6">SUM(L28:L31)</f>
        <v>1396</v>
      </c>
      <c r="M27" s="1276">
        <f t="shared" si="6"/>
        <v>1137270</v>
      </c>
      <c r="N27" s="1294"/>
      <c r="O27" s="1925"/>
      <c r="P27" s="1925"/>
    </row>
    <row r="28" spans="1:16" ht="16.5" customHeight="1" x14ac:dyDescent="0.35">
      <c r="A28" s="884">
        <v>20</v>
      </c>
      <c r="B28" s="121"/>
      <c r="C28" s="145"/>
      <c r="D28" s="145"/>
      <c r="E28" s="145"/>
      <c r="F28" s="67" t="s">
        <v>293</v>
      </c>
      <c r="G28" s="2">
        <v>319006</v>
      </c>
      <c r="H28" s="2">
        <v>367526</v>
      </c>
      <c r="I28" s="2">
        <v>335480</v>
      </c>
      <c r="J28" s="1872">
        <v>327392</v>
      </c>
      <c r="K28" s="1653">
        <v>265102</v>
      </c>
      <c r="L28" s="1657">
        <v>1099</v>
      </c>
      <c r="M28" s="1276">
        <f>SUM(K28:L28)</f>
        <v>266201</v>
      </c>
      <c r="N28" s="1294"/>
    </row>
    <row r="29" spans="1:16" ht="16.5" customHeight="1" x14ac:dyDescent="0.35">
      <c r="A29" s="884">
        <v>21</v>
      </c>
      <c r="B29" s="121"/>
      <c r="C29" s="145"/>
      <c r="D29" s="145"/>
      <c r="E29" s="145"/>
      <c r="F29" s="67" t="s">
        <v>294</v>
      </c>
      <c r="G29" s="2">
        <v>155541</v>
      </c>
      <c r="H29" s="2">
        <v>192783</v>
      </c>
      <c r="I29" s="2">
        <v>219462</v>
      </c>
      <c r="J29" s="1872">
        <v>280770</v>
      </c>
      <c r="K29" s="1653">
        <v>281284</v>
      </c>
      <c r="L29" s="1657"/>
      <c r="M29" s="1276">
        <f t="shared" ref="M29:M31" si="7">SUM(K29:L29)</f>
        <v>281284</v>
      </c>
      <c r="N29" s="1294"/>
    </row>
    <row r="30" spans="1:16" ht="16.5" customHeight="1" x14ac:dyDescent="0.35">
      <c r="A30" s="884">
        <v>22</v>
      </c>
      <c r="B30" s="121"/>
      <c r="C30" s="145"/>
      <c r="D30" s="145"/>
      <c r="E30" s="145"/>
      <c r="F30" s="67" t="s">
        <v>295</v>
      </c>
      <c r="G30" s="2">
        <v>490423</v>
      </c>
      <c r="H30" s="2">
        <v>204929</v>
      </c>
      <c r="I30" s="2">
        <v>219034</v>
      </c>
      <c r="J30" s="1872">
        <v>889171</v>
      </c>
      <c r="K30" s="1653">
        <v>585023</v>
      </c>
      <c r="L30" s="1781">
        <v>297</v>
      </c>
      <c r="M30" s="1276">
        <f t="shared" si="7"/>
        <v>585320</v>
      </c>
      <c r="N30" s="1294"/>
    </row>
    <row r="31" spans="1:16" ht="16.5" customHeight="1" x14ac:dyDescent="0.35">
      <c r="A31" s="884">
        <v>23</v>
      </c>
      <c r="B31" s="121"/>
      <c r="C31" s="145"/>
      <c r="D31" s="145"/>
      <c r="E31" s="145"/>
      <c r="F31" s="67" t="s">
        <v>296</v>
      </c>
      <c r="G31" s="2">
        <v>70576</v>
      </c>
      <c r="H31" s="2"/>
      <c r="I31" s="2">
        <v>44644</v>
      </c>
      <c r="J31" s="1872">
        <v>3937</v>
      </c>
      <c r="K31" s="1653">
        <v>4465</v>
      </c>
      <c r="L31" s="1781"/>
      <c r="M31" s="1276">
        <f t="shared" si="7"/>
        <v>4465</v>
      </c>
      <c r="N31" s="1294"/>
    </row>
    <row r="32" spans="1:16" s="148" customFormat="1" ht="36" customHeight="1" x14ac:dyDescent="0.35">
      <c r="A32" s="884">
        <v>24</v>
      </c>
      <c r="B32" s="381" t="s">
        <v>544</v>
      </c>
      <c r="C32" s="187"/>
      <c r="D32" s="145"/>
      <c r="E32" s="145">
        <v>5</v>
      </c>
      <c r="F32" s="188" t="s">
        <v>182</v>
      </c>
      <c r="G32" s="68">
        <v>998980</v>
      </c>
      <c r="H32" s="68">
        <v>909894</v>
      </c>
      <c r="I32" s="68">
        <v>1111879</v>
      </c>
      <c r="J32" s="1873">
        <v>1028612</v>
      </c>
      <c r="K32" s="1294">
        <v>843329</v>
      </c>
      <c r="L32" s="1665">
        <v>-910</v>
      </c>
      <c r="M32" s="1276">
        <f>SUM(K32:L32)</f>
        <v>842419</v>
      </c>
      <c r="N32" s="1294"/>
      <c r="O32" s="1925"/>
      <c r="P32" s="1925"/>
    </row>
    <row r="33" spans="1:23" s="148" customFormat="1" ht="36" customHeight="1" x14ac:dyDescent="0.35">
      <c r="A33" s="884">
        <v>25</v>
      </c>
      <c r="B33" s="121">
        <v>18</v>
      </c>
      <c r="C33" s="187"/>
      <c r="D33" s="145"/>
      <c r="E33" s="145">
        <v>6</v>
      </c>
      <c r="F33" s="188" t="s">
        <v>183</v>
      </c>
      <c r="G33" s="68">
        <v>41080</v>
      </c>
      <c r="H33" s="68"/>
      <c r="I33" s="68">
        <v>5713</v>
      </c>
      <c r="J33" s="1873"/>
      <c r="K33" s="1294">
        <v>133945</v>
      </c>
      <c r="L33" s="1665"/>
      <c r="M33" s="1276">
        <f>SUM(K33:L33)</f>
        <v>133945</v>
      </c>
      <c r="N33" s="1294"/>
      <c r="O33" s="1925"/>
      <c r="P33" s="1925"/>
    </row>
    <row r="34" spans="1:23" s="148" customFormat="1" ht="18" customHeight="1" x14ac:dyDescent="0.35">
      <c r="A34" s="884">
        <v>26</v>
      </c>
      <c r="B34" s="121"/>
      <c r="C34" s="187"/>
      <c r="D34" s="145"/>
      <c r="E34" s="145"/>
      <c r="F34" s="67" t="s">
        <v>1002</v>
      </c>
      <c r="G34" s="68"/>
      <c r="H34" s="68"/>
      <c r="I34" s="68"/>
      <c r="J34" s="1873"/>
      <c r="K34" s="1653">
        <v>6120</v>
      </c>
      <c r="L34" s="1768"/>
      <c r="M34" s="1277">
        <f>SUM(K34:L34)</f>
        <v>6120</v>
      </c>
      <c r="N34" s="1653"/>
      <c r="O34" s="1925"/>
      <c r="P34" s="1925"/>
    </row>
    <row r="35" spans="1:23" s="257" customFormat="1" ht="36" customHeight="1" x14ac:dyDescent="0.35">
      <c r="A35" s="884">
        <v>27</v>
      </c>
      <c r="B35" s="382" t="s">
        <v>544</v>
      </c>
      <c r="C35" s="260"/>
      <c r="D35" s="260"/>
      <c r="E35" s="261">
        <v>7</v>
      </c>
      <c r="F35" s="262" t="s">
        <v>184</v>
      </c>
      <c r="G35" s="398">
        <v>14334</v>
      </c>
      <c r="H35" s="398"/>
      <c r="I35" s="398">
        <v>8316</v>
      </c>
      <c r="J35" s="1874"/>
      <c r="K35" s="1868">
        <v>5219</v>
      </c>
      <c r="L35" s="1613">
        <v>11546</v>
      </c>
      <c r="M35" s="1276">
        <f>SUM(K35:L35)</f>
        <v>16765</v>
      </c>
      <c r="N35" s="1294"/>
      <c r="O35" s="1630"/>
      <c r="P35" s="1630"/>
    </row>
    <row r="36" spans="1:23" s="254" customFormat="1" ht="36" customHeight="1" x14ac:dyDescent="0.35">
      <c r="A36" s="884">
        <v>28</v>
      </c>
      <c r="B36" s="383"/>
      <c r="C36" s="263"/>
      <c r="D36" s="264">
        <v>2</v>
      </c>
      <c r="E36" s="264"/>
      <c r="F36" s="265" t="s">
        <v>144</v>
      </c>
      <c r="G36" s="399">
        <f>SUM(G37,G40:G41,G43:G45)</f>
        <v>12772481</v>
      </c>
      <c r="H36" s="399">
        <f>SUM(H37,H40:H41,H43:H45)</f>
        <v>5648160</v>
      </c>
      <c r="I36" s="1301">
        <f>SUM(I37,I40:I41,I43:I45)</f>
        <v>6259786</v>
      </c>
      <c r="J36" s="1875">
        <f>SUM(J37,J40:J41,J43:J45)</f>
        <v>8363612</v>
      </c>
      <c r="K36" s="399">
        <f>SUM(K37,K40:K41,K43:K45)</f>
        <v>10290377</v>
      </c>
      <c r="L36" s="1301">
        <f t="shared" ref="L36:M36" si="8">SUM(L37,L40:L41,L43:L45)</f>
        <v>3154333</v>
      </c>
      <c r="M36" s="1790">
        <f t="shared" si="8"/>
        <v>13444710</v>
      </c>
      <c r="N36" s="65"/>
      <c r="O36" s="253"/>
      <c r="P36" s="253"/>
      <c r="Q36" s="253"/>
      <c r="R36" s="253"/>
      <c r="S36" s="253"/>
      <c r="T36" s="253"/>
      <c r="U36" s="253"/>
      <c r="V36" s="253"/>
      <c r="W36" s="253"/>
    </row>
    <row r="37" spans="1:23" s="148" customFormat="1" ht="36" customHeight="1" x14ac:dyDescent="0.35">
      <c r="A37" s="884">
        <v>29</v>
      </c>
      <c r="B37" s="121"/>
      <c r="C37" s="187"/>
      <c r="D37" s="145"/>
      <c r="E37" s="145">
        <v>8</v>
      </c>
      <c r="F37" s="188" t="s">
        <v>185</v>
      </c>
      <c r="G37" s="68">
        <f>SUM(G38,G39)</f>
        <v>12588575</v>
      </c>
      <c r="H37" s="68">
        <f>SUM(H38,H39)</f>
        <v>5270260</v>
      </c>
      <c r="I37" s="68">
        <f>SUM(I38,I39)</f>
        <v>5463793</v>
      </c>
      <c r="J37" s="1284">
        <f>SUM(J38,J39)</f>
        <v>8162019</v>
      </c>
      <c r="K37" s="1294">
        <f>SUM(K38,K39)</f>
        <v>10088120</v>
      </c>
      <c r="L37" s="1294">
        <f t="shared" ref="L37:M37" si="9">SUM(L38,L39)</f>
        <v>3306994</v>
      </c>
      <c r="M37" s="1276">
        <f t="shared" si="9"/>
        <v>13395114</v>
      </c>
      <c r="N37" s="1294"/>
      <c r="O37" s="1925"/>
      <c r="P37" s="1925"/>
    </row>
    <row r="38" spans="1:23" s="257" customFormat="1" x14ac:dyDescent="0.35">
      <c r="A38" s="884">
        <v>30</v>
      </c>
      <c r="B38" s="121">
        <v>18</v>
      </c>
      <c r="C38" s="187"/>
      <c r="D38" s="145"/>
      <c r="E38" s="145"/>
      <c r="F38" s="2136" t="s">
        <v>186</v>
      </c>
      <c r="G38" s="10">
        <v>4325400</v>
      </c>
      <c r="H38" s="10"/>
      <c r="I38" s="10">
        <v>6456</v>
      </c>
      <c r="J38" s="1871"/>
      <c r="K38" s="1294"/>
      <c r="L38" s="1613"/>
      <c r="M38" s="1276"/>
      <c r="N38" s="1294"/>
      <c r="O38" s="1630"/>
      <c r="P38" s="1630"/>
    </row>
    <row r="39" spans="1:23" s="257" customFormat="1" x14ac:dyDescent="0.35">
      <c r="A39" s="884">
        <v>31</v>
      </c>
      <c r="B39" s="121">
        <v>18</v>
      </c>
      <c r="C39" s="259"/>
      <c r="D39" s="258"/>
      <c r="E39" s="258"/>
      <c r="F39" s="2136" t="s">
        <v>187</v>
      </c>
      <c r="G39" s="10">
        <v>8263175</v>
      </c>
      <c r="H39" s="10">
        <v>5270260</v>
      </c>
      <c r="I39" s="10">
        <v>5457337</v>
      </c>
      <c r="J39" s="1284">
        <v>8162019</v>
      </c>
      <c r="K39" s="1294">
        <v>10088120</v>
      </c>
      <c r="L39" s="1657">
        <v>3306994</v>
      </c>
      <c r="M39" s="1276">
        <f>SUM(K39:L39)</f>
        <v>13395114</v>
      </c>
      <c r="N39" s="1294"/>
      <c r="O39" s="1630"/>
      <c r="P39" s="1630"/>
    </row>
    <row r="40" spans="1:23" s="257" customFormat="1" ht="36" customHeight="1" x14ac:dyDescent="0.35">
      <c r="A40" s="884">
        <v>32</v>
      </c>
      <c r="B40" s="382" t="s">
        <v>544</v>
      </c>
      <c r="C40" s="259"/>
      <c r="D40" s="259"/>
      <c r="E40" s="258">
        <v>9</v>
      </c>
      <c r="F40" s="2136" t="s">
        <v>188</v>
      </c>
      <c r="G40" s="10">
        <v>40469</v>
      </c>
      <c r="H40" s="10">
        <v>2900</v>
      </c>
      <c r="I40" s="10">
        <v>14183</v>
      </c>
      <c r="J40" s="1871">
        <v>4050</v>
      </c>
      <c r="K40" s="1294">
        <v>4385</v>
      </c>
      <c r="L40" s="1613"/>
      <c r="M40" s="1276">
        <f>SUM(K40:L40)</f>
        <v>4385</v>
      </c>
      <c r="N40" s="1294"/>
      <c r="O40" s="1630"/>
      <c r="P40" s="1630"/>
    </row>
    <row r="41" spans="1:23" s="148" customFormat="1" ht="36" customHeight="1" x14ac:dyDescent="0.35">
      <c r="A41" s="884">
        <v>33</v>
      </c>
      <c r="B41" s="121">
        <v>18</v>
      </c>
      <c r="C41" s="187"/>
      <c r="D41" s="145"/>
      <c r="E41" s="145">
        <v>10</v>
      </c>
      <c r="F41" s="188" t="s">
        <v>189</v>
      </c>
      <c r="G41" s="68">
        <f>SUM(G42:G42)</f>
        <v>136583</v>
      </c>
      <c r="H41" s="68">
        <f>SUM(H42:H42)</f>
        <v>225000</v>
      </c>
      <c r="I41" s="68">
        <f>SUM(I42:I42)</f>
        <v>153966</v>
      </c>
      <c r="J41" s="1284">
        <f>SUM(J42:J42)</f>
        <v>190000</v>
      </c>
      <c r="K41" s="1294">
        <f>SUM(K42:K42)</f>
        <v>190000</v>
      </c>
      <c r="L41" s="1294">
        <f t="shared" ref="L41:M41" si="10">SUM(L42:L42)</f>
        <v>-152661</v>
      </c>
      <c r="M41" s="1276">
        <f t="shared" si="10"/>
        <v>37339</v>
      </c>
      <c r="N41" s="1294"/>
      <c r="O41" s="1925"/>
      <c r="P41" s="1925"/>
    </row>
    <row r="42" spans="1:23" x14ac:dyDescent="0.35">
      <c r="A42" s="884">
        <v>34</v>
      </c>
      <c r="B42" s="121"/>
      <c r="C42" s="145"/>
      <c r="D42" s="145"/>
      <c r="E42" s="145"/>
      <c r="F42" s="67" t="s">
        <v>190</v>
      </c>
      <c r="G42" s="2">
        <v>136583</v>
      </c>
      <c r="H42" s="2">
        <v>225000</v>
      </c>
      <c r="I42" s="2">
        <v>153966</v>
      </c>
      <c r="J42" s="1872">
        <v>190000</v>
      </c>
      <c r="K42" s="1653">
        <v>190000</v>
      </c>
      <c r="L42" s="1657">
        <v>-152661</v>
      </c>
      <c r="M42" s="1276">
        <f>SUM(K42:L42)</f>
        <v>37339</v>
      </c>
      <c r="N42" s="1294"/>
    </row>
    <row r="43" spans="1:23" ht="36" customHeight="1" x14ac:dyDescent="0.35">
      <c r="A43" s="884">
        <v>35</v>
      </c>
      <c r="B43" s="121"/>
      <c r="C43" s="145"/>
      <c r="D43" s="145"/>
      <c r="E43" s="145">
        <v>11</v>
      </c>
      <c r="F43" s="2136" t="s">
        <v>191</v>
      </c>
      <c r="G43" s="10">
        <v>957</v>
      </c>
      <c r="H43" s="10"/>
      <c r="I43" s="10">
        <v>939</v>
      </c>
      <c r="J43" s="1871">
        <v>7543</v>
      </c>
      <c r="K43" s="1294">
        <v>5372</v>
      </c>
      <c r="L43" s="1657"/>
      <c r="M43" s="1276">
        <f>SUM(K43:L43)</f>
        <v>5372</v>
      </c>
      <c r="N43" s="1294"/>
    </row>
    <row r="44" spans="1:23" s="148" customFormat="1" ht="36" customHeight="1" x14ac:dyDescent="0.35">
      <c r="A44" s="884">
        <v>36</v>
      </c>
      <c r="B44" s="121">
        <v>18</v>
      </c>
      <c r="C44" s="187"/>
      <c r="D44" s="145"/>
      <c r="E44" s="145">
        <v>12</v>
      </c>
      <c r="F44" s="188" t="s">
        <v>192</v>
      </c>
      <c r="G44" s="68">
        <v>5897</v>
      </c>
      <c r="H44" s="68">
        <v>150000</v>
      </c>
      <c r="I44" s="68">
        <v>626905</v>
      </c>
      <c r="J44" s="1873"/>
      <c r="K44" s="1294">
        <v>2500</v>
      </c>
      <c r="L44" s="1665"/>
      <c r="M44" s="1276">
        <f>SUM(K44:L44)</f>
        <v>2500</v>
      </c>
      <c r="N44" s="1294"/>
      <c r="O44" s="1925"/>
      <c r="P44" s="1925"/>
    </row>
    <row r="45" spans="1:23" s="257" customFormat="1" ht="36" customHeight="1" x14ac:dyDescent="0.35">
      <c r="A45" s="884">
        <v>37</v>
      </c>
      <c r="B45" s="382" t="s">
        <v>544</v>
      </c>
      <c r="C45" s="259"/>
      <c r="D45" s="259"/>
      <c r="E45" s="258">
        <v>13</v>
      </c>
      <c r="F45" s="266" t="s">
        <v>193</v>
      </c>
      <c r="G45" s="10"/>
      <c r="H45" s="10"/>
      <c r="I45" s="10"/>
      <c r="J45" s="1871"/>
      <c r="K45" s="1294"/>
      <c r="L45" s="1613"/>
      <c r="M45" s="1276"/>
      <c r="N45" s="1294"/>
      <c r="O45" s="1630"/>
      <c r="P45" s="1630"/>
    </row>
    <row r="46" spans="1:23" s="30" customFormat="1" ht="36" customHeight="1" x14ac:dyDescent="0.3">
      <c r="A46" s="884">
        <v>38</v>
      </c>
      <c r="B46" s="27">
        <v>18</v>
      </c>
      <c r="C46" s="267"/>
      <c r="D46" s="268"/>
      <c r="E46" s="268"/>
      <c r="F46" s="571" t="s">
        <v>194</v>
      </c>
      <c r="G46" s="69">
        <f>SUM(G47:G47)</f>
        <v>700</v>
      </c>
      <c r="H46" s="69">
        <f>SUM(H47:H47)</f>
        <v>0</v>
      </c>
      <c r="I46" s="69">
        <f>SUM(I47:I47)</f>
        <v>183</v>
      </c>
      <c r="J46" s="1285">
        <f>SUM(J47:J47)</f>
        <v>0</v>
      </c>
      <c r="K46" s="1291">
        <f>SUM(K47:K47)</f>
        <v>0</v>
      </c>
      <c r="L46" s="1291">
        <f t="shared" ref="L46:M46" si="11">SUM(L47:L47)</f>
        <v>0</v>
      </c>
      <c r="M46" s="1278">
        <f t="shared" si="11"/>
        <v>0</v>
      </c>
      <c r="N46" s="1297"/>
      <c r="O46" s="2113"/>
      <c r="P46" s="2113"/>
    </row>
    <row r="47" spans="1:23" ht="33.75" x14ac:dyDescent="0.35">
      <c r="A47" s="884">
        <v>39</v>
      </c>
      <c r="B47" s="121"/>
      <c r="C47" s="269"/>
      <c r="D47" s="269"/>
      <c r="E47" s="269"/>
      <c r="F47" s="572" t="s">
        <v>259</v>
      </c>
      <c r="G47" s="70">
        <v>700</v>
      </c>
      <c r="H47" s="70"/>
      <c r="I47" s="70">
        <v>183</v>
      </c>
      <c r="J47" s="1876"/>
      <c r="K47" s="1869"/>
      <c r="L47" s="1733"/>
      <c r="M47" s="1278"/>
      <c r="N47" s="1297"/>
    </row>
    <row r="48" spans="1:23" s="30" customFormat="1" ht="40.15" customHeight="1" thickBot="1" x14ac:dyDescent="0.35">
      <c r="A48" s="884">
        <v>40</v>
      </c>
      <c r="B48" s="384"/>
      <c r="C48" s="270"/>
      <c r="D48" s="271"/>
      <c r="E48" s="271"/>
      <c r="F48" s="272" t="s">
        <v>195</v>
      </c>
      <c r="G48" s="400">
        <f t="shared" ref="G48:L48" si="12">SUM(G9,G36,G46)</f>
        <v>26835824</v>
      </c>
      <c r="H48" s="400">
        <f t="shared" si="12"/>
        <v>18625677</v>
      </c>
      <c r="I48" s="400">
        <f t="shared" si="12"/>
        <v>21113333</v>
      </c>
      <c r="J48" s="1286">
        <f t="shared" si="12"/>
        <v>23478871</v>
      </c>
      <c r="K48" s="1295">
        <f t="shared" si="12"/>
        <v>25227040</v>
      </c>
      <c r="L48" s="1295">
        <f t="shared" si="12"/>
        <v>6068230</v>
      </c>
      <c r="M48" s="1586">
        <f t="shared" ref="M48" si="13">SUM(M9,M36,M46)</f>
        <v>31295270</v>
      </c>
      <c r="N48" s="1297"/>
      <c r="O48" s="2113"/>
      <c r="P48" s="2113"/>
    </row>
    <row r="49" spans="1:16" s="30" customFormat="1" ht="40.15" customHeight="1" thickTop="1" thickBot="1" x14ac:dyDescent="0.35">
      <c r="A49" s="884">
        <v>41</v>
      </c>
      <c r="B49" s="385"/>
      <c r="C49" s="273"/>
      <c r="D49" s="274"/>
      <c r="E49" s="274"/>
      <c r="F49" s="275" t="s">
        <v>196</v>
      </c>
      <c r="G49" s="1054">
        <f>+G48-'2.Onki'!G35</f>
        <v>6257189</v>
      </c>
      <c r="H49" s="1054">
        <f>+H48-'2.Onki'!H35</f>
        <v>-8870872</v>
      </c>
      <c r="I49" s="1054">
        <f>+I48-'2.Onki'!I35</f>
        <v>1177920</v>
      </c>
      <c r="J49" s="1287">
        <f>J48-'2.Onki'!J35</f>
        <v>-14073403</v>
      </c>
      <c r="K49" s="1296">
        <f>+K48-'2.Onki'!K35</f>
        <v>-15255267</v>
      </c>
      <c r="L49" s="1296">
        <f>+L48-'2.Onki'!L35</f>
        <v>221722</v>
      </c>
      <c r="M49" s="1791">
        <f>+M48-'2.Onki'!M35</f>
        <v>-15033545</v>
      </c>
      <c r="N49" s="1297"/>
      <c r="O49" s="2113"/>
      <c r="P49" s="2113"/>
    </row>
    <row r="50" spans="1:16" s="30" customFormat="1" ht="36" customHeight="1" x14ac:dyDescent="0.3">
      <c r="A50" s="884">
        <v>42</v>
      </c>
      <c r="B50" s="27"/>
      <c r="C50" s="2126"/>
      <c r="D50" s="249"/>
      <c r="E50" s="249">
        <v>14</v>
      </c>
      <c r="F50" s="198" t="s">
        <v>197</v>
      </c>
      <c r="G50" s="401">
        <f t="shared" ref="G50:M50" si="14">SUM(G52,G61)+G51</f>
        <v>7032676</v>
      </c>
      <c r="H50" s="401">
        <f t="shared" si="14"/>
        <v>9080507</v>
      </c>
      <c r="I50" s="401">
        <f t="shared" si="14"/>
        <v>13278366</v>
      </c>
      <c r="J50" s="1288">
        <f t="shared" si="14"/>
        <v>14293174</v>
      </c>
      <c r="K50" s="1297">
        <f t="shared" si="14"/>
        <v>15475038</v>
      </c>
      <c r="L50" s="1297">
        <f t="shared" si="14"/>
        <v>106642</v>
      </c>
      <c r="M50" s="1280">
        <f t="shared" si="14"/>
        <v>15581680</v>
      </c>
      <c r="N50" s="1297"/>
      <c r="O50" s="2113"/>
      <c r="P50" s="2113"/>
    </row>
    <row r="51" spans="1:16" s="30" customFormat="1" ht="36" customHeight="1" x14ac:dyDescent="0.3">
      <c r="A51" s="884">
        <v>43</v>
      </c>
      <c r="B51" s="27"/>
      <c r="C51" s="2126"/>
      <c r="D51" s="249">
        <v>1</v>
      </c>
      <c r="E51" s="249"/>
      <c r="F51" s="198" t="s">
        <v>263</v>
      </c>
      <c r="G51" s="401">
        <v>107506</v>
      </c>
      <c r="H51" s="401"/>
      <c r="I51" s="401">
        <v>143801</v>
      </c>
      <c r="J51" s="1877"/>
      <c r="K51" s="1297"/>
      <c r="L51" s="1734">
        <v>328363</v>
      </c>
      <c r="M51" s="1280">
        <f>SUM(L51)</f>
        <v>328363</v>
      </c>
      <c r="N51" s="1297"/>
      <c r="O51" s="2113"/>
      <c r="P51" s="2113"/>
    </row>
    <row r="52" spans="1:16" s="30" customFormat="1" ht="33" customHeight="1" x14ac:dyDescent="0.3">
      <c r="A52" s="884">
        <v>44</v>
      </c>
      <c r="B52" s="386"/>
      <c r="C52" s="267"/>
      <c r="D52" s="268"/>
      <c r="E52" s="268"/>
      <c r="F52" s="276" t="s">
        <v>297</v>
      </c>
      <c r="G52" s="69">
        <f>SUM(G53,G57)</f>
        <v>6873658</v>
      </c>
      <c r="H52" s="69">
        <f>SUM(H53,H57)</f>
        <v>8404019</v>
      </c>
      <c r="I52" s="69">
        <f>SUM(I53,I57)</f>
        <v>13087077</v>
      </c>
      <c r="J52" s="1285">
        <f>SUM(J53,J57)</f>
        <v>12883374</v>
      </c>
      <c r="K52" s="1291">
        <f>SUM(K53,K57)</f>
        <v>14215038</v>
      </c>
      <c r="L52" s="1291">
        <f t="shared" ref="L52:M52" si="15">SUM(L53,L57)</f>
        <v>-221721</v>
      </c>
      <c r="M52" s="1278">
        <f t="shared" si="15"/>
        <v>13993317</v>
      </c>
      <c r="N52" s="1297"/>
      <c r="O52" s="2113"/>
      <c r="P52" s="2113"/>
    </row>
    <row r="53" spans="1:16" s="148" customFormat="1" ht="24" customHeight="1" x14ac:dyDescent="0.35">
      <c r="A53" s="884">
        <v>45</v>
      </c>
      <c r="B53" s="121"/>
      <c r="C53" s="187"/>
      <c r="D53" s="145">
        <v>1</v>
      </c>
      <c r="E53" s="145"/>
      <c r="F53" s="188" t="s">
        <v>261</v>
      </c>
      <c r="G53" s="68">
        <f>SUM(G54:G56)</f>
        <v>1957723</v>
      </c>
      <c r="H53" s="68">
        <f>SUM(H54:H56)</f>
        <v>1315949</v>
      </c>
      <c r="I53" s="68">
        <f>SUM(I54:I56)</f>
        <v>2879946</v>
      </c>
      <c r="J53" s="1284">
        <f>SUM(J54:J56)</f>
        <v>1081085</v>
      </c>
      <c r="K53" s="1294">
        <f>SUM(K54:K56)</f>
        <v>2384006</v>
      </c>
      <c r="L53" s="1294">
        <f t="shared" ref="L53:M53" si="16">SUM(L54:L56)</f>
        <v>-221721</v>
      </c>
      <c r="M53" s="1276">
        <f t="shared" si="16"/>
        <v>2162285</v>
      </c>
      <c r="N53" s="1294"/>
      <c r="O53" s="1925"/>
      <c r="P53" s="1925"/>
    </row>
    <row r="54" spans="1:16" x14ac:dyDescent="0.35">
      <c r="A54" s="884">
        <v>46</v>
      </c>
      <c r="B54" s="380" t="s">
        <v>421</v>
      </c>
      <c r="C54" s="145"/>
      <c r="D54" s="145"/>
      <c r="E54" s="145"/>
      <c r="F54" s="67" t="s">
        <v>198</v>
      </c>
      <c r="G54" s="2">
        <v>612577</v>
      </c>
      <c r="H54" s="2">
        <v>137936</v>
      </c>
      <c r="I54" s="2">
        <v>573305</v>
      </c>
      <c r="J54" s="1872">
        <v>31301</v>
      </c>
      <c r="K54" s="1653">
        <v>661346</v>
      </c>
      <c r="L54" s="1657">
        <v>525</v>
      </c>
      <c r="M54" s="1276">
        <f>SUM(K54:L54)</f>
        <v>661871</v>
      </c>
      <c r="N54" s="1294"/>
    </row>
    <row r="55" spans="1:16" x14ac:dyDescent="0.35">
      <c r="A55" s="884">
        <v>47</v>
      </c>
      <c r="B55" s="121">
        <v>17</v>
      </c>
      <c r="C55" s="145"/>
      <c r="D55" s="145"/>
      <c r="E55" s="145"/>
      <c r="F55" s="67" t="s">
        <v>199</v>
      </c>
      <c r="G55" s="2">
        <v>251672</v>
      </c>
      <c r="H55" s="2">
        <v>14861</v>
      </c>
      <c r="I55" s="2">
        <v>294771</v>
      </c>
      <c r="J55" s="1872">
        <v>75474</v>
      </c>
      <c r="K55" s="1653">
        <v>360284</v>
      </c>
      <c r="L55" s="1657">
        <v>61</v>
      </c>
      <c r="M55" s="1276">
        <f t="shared" ref="M55:M56" si="17">SUM(K55:L55)</f>
        <v>360345</v>
      </c>
      <c r="N55" s="1294"/>
    </row>
    <row r="56" spans="1:16" x14ac:dyDescent="0.35">
      <c r="A56" s="884">
        <v>48</v>
      </c>
      <c r="B56" s="121">
        <v>18</v>
      </c>
      <c r="C56" s="145"/>
      <c r="D56" s="145"/>
      <c r="E56" s="145"/>
      <c r="F56" s="67" t="s">
        <v>127</v>
      </c>
      <c r="G56" s="2">
        <v>1093474</v>
      </c>
      <c r="H56" s="2">
        <v>1163152</v>
      </c>
      <c r="I56" s="2">
        <v>2011870</v>
      </c>
      <c r="J56" s="1872">
        <v>974310</v>
      </c>
      <c r="K56" s="1653">
        <v>1362376</v>
      </c>
      <c r="L56" s="1657">
        <v>-222307</v>
      </c>
      <c r="M56" s="1276">
        <f t="shared" si="17"/>
        <v>1140069</v>
      </c>
      <c r="N56" s="1294"/>
    </row>
    <row r="57" spans="1:16" s="148" customFormat="1" ht="24" customHeight="1" x14ac:dyDescent="0.35">
      <c r="A57" s="884">
        <v>49</v>
      </c>
      <c r="B57" s="121"/>
      <c r="C57" s="187"/>
      <c r="D57" s="145">
        <v>2</v>
      </c>
      <c r="E57" s="145"/>
      <c r="F57" s="188" t="s">
        <v>260</v>
      </c>
      <c r="G57" s="68">
        <f>SUM(G58:G60)</f>
        <v>4915935</v>
      </c>
      <c r="H57" s="68">
        <f>H58+H60</f>
        <v>7088070</v>
      </c>
      <c r="I57" s="68">
        <f>SUM(I58:I60)</f>
        <v>10207131</v>
      </c>
      <c r="J57" s="1284">
        <f>SUM(J58:J60)</f>
        <v>11802289</v>
      </c>
      <c r="K57" s="1294">
        <f>SUM(K58:K60)</f>
        <v>11831032</v>
      </c>
      <c r="L57" s="1294">
        <f t="shared" ref="L57:M57" si="18">SUM(L58:L60)</f>
        <v>0</v>
      </c>
      <c r="M57" s="1276">
        <f t="shared" si="18"/>
        <v>11831032</v>
      </c>
      <c r="N57" s="1294"/>
      <c r="O57" s="1925"/>
      <c r="P57" s="1925"/>
    </row>
    <row r="58" spans="1:16" s="257" customFormat="1" x14ac:dyDescent="0.35">
      <c r="A58" s="884">
        <v>50</v>
      </c>
      <c r="B58" s="381" t="s">
        <v>421</v>
      </c>
      <c r="C58" s="145"/>
      <c r="D58" s="145"/>
      <c r="E58" s="145"/>
      <c r="F58" s="277" t="s">
        <v>198</v>
      </c>
      <c r="G58" s="2">
        <v>48512</v>
      </c>
      <c r="H58" s="2">
        <v>58070</v>
      </c>
      <c r="I58" s="2">
        <v>127144</v>
      </c>
      <c r="J58" s="1872">
        <v>12621</v>
      </c>
      <c r="K58" s="1653">
        <v>27970</v>
      </c>
      <c r="L58" s="1657"/>
      <c r="M58" s="1276">
        <f>SUM(K58:L58)</f>
        <v>27970</v>
      </c>
      <c r="N58" s="1294"/>
      <c r="O58" s="1630"/>
      <c r="P58" s="1630"/>
    </row>
    <row r="59" spans="1:16" s="257" customFormat="1" x14ac:dyDescent="0.35">
      <c r="A59" s="884">
        <v>51</v>
      </c>
      <c r="B59" s="381" t="s">
        <v>319</v>
      </c>
      <c r="C59" s="145"/>
      <c r="D59" s="145"/>
      <c r="E59" s="145"/>
      <c r="F59" s="67" t="s">
        <v>199</v>
      </c>
      <c r="G59" s="2">
        <v>16696</v>
      </c>
      <c r="H59" s="2"/>
      <c r="I59" s="2">
        <v>24251</v>
      </c>
      <c r="J59" s="1872">
        <v>16985</v>
      </c>
      <c r="K59" s="1653">
        <v>24177</v>
      </c>
      <c r="L59" s="1657"/>
      <c r="M59" s="1276">
        <f t="shared" ref="M59:M60" si="19">SUM(K59:L59)</f>
        <v>24177</v>
      </c>
      <c r="N59" s="1294"/>
      <c r="O59" s="1630"/>
      <c r="P59" s="1630"/>
    </row>
    <row r="60" spans="1:16" s="257" customFormat="1" x14ac:dyDescent="0.35">
      <c r="A60" s="884">
        <v>52</v>
      </c>
      <c r="B60" s="121">
        <v>18</v>
      </c>
      <c r="C60" s="145"/>
      <c r="D60" s="145"/>
      <c r="E60" s="145"/>
      <c r="F60" s="277" t="s">
        <v>411</v>
      </c>
      <c r="G60" s="2">
        <v>4850727</v>
      </c>
      <c r="H60" s="2">
        <v>7030000</v>
      </c>
      <c r="I60" s="2">
        <v>10055736</v>
      </c>
      <c r="J60" s="1872">
        <v>11772683</v>
      </c>
      <c r="K60" s="1653">
        <v>11778885</v>
      </c>
      <c r="L60" s="1657"/>
      <c r="M60" s="1276">
        <f t="shared" si="19"/>
        <v>11778885</v>
      </c>
      <c r="N60" s="1294"/>
      <c r="O60" s="1630"/>
      <c r="P60" s="1630"/>
    </row>
    <row r="61" spans="1:16" s="30" customFormat="1" ht="30" customHeight="1" x14ac:dyDescent="0.3">
      <c r="A61" s="884">
        <v>53</v>
      </c>
      <c r="B61" s="386"/>
      <c r="C61" s="267"/>
      <c r="D61" s="268"/>
      <c r="E61" s="268"/>
      <c r="F61" s="276" t="s">
        <v>298</v>
      </c>
      <c r="G61" s="69">
        <f>SUM(G62:G64)</f>
        <v>51512</v>
      </c>
      <c r="H61" s="69">
        <f>SUM(H62:H64)</f>
        <v>676488</v>
      </c>
      <c r="I61" s="69">
        <f>SUM(I62:I64)</f>
        <v>47488</v>
      </c>
      <c r="J61" s="1285">
        <f>SUM(J62:J64)</f>
        <v>1409800</v>
      </c>
      <c r="K61" s="1291">
        <f>SUM(K62:K64)</f>
        <v>1260000</v>
      </c>
      <c r="L61" s="1291">
        <f t="shared" ref="L61:M61" si="20">SUM(L62:L64)</f>
        <v>0</v>
      </c>
      <c r="M61" s="1278">
        <f t="shared" si="20"/>
        <v>1260000</v>
      </c>
      <c r="N61" s="1297"/>
      <c r="O61" s="2113"/>
      <c r="P61" s="2113"/>
    </row>
    <row r="62" spans="1:16" s="148" customFormat="1" ht="24" customHeight="1" x14ac:dyDescent="0.35">
      <c r="A62" s="884">
        <v>54</v>
      </c>
      <c r="B62" s="121">
        <v>18</v>
      </c>
      <c r="C62" s="187"/>
      <c r="D62" s="145">
        <v>2</v>
      </c>
      <c r="E62" s="145"/>
      <c r="F62" s="188" t="s">
        <v>200</v>
      </c>
      <c r="G62" s="68"/>
      <c r="H62" s="68"/>
      <c r="I62" s="68"/>
      <c r="J62" s="1873"/>
      <c r="K62" s="1294"/>
      <c r="L62" s="1665"/>
      <c r="M62" s="1292"/>
      <c r="N62" s="1297"/>
      <c r="O62" s="1925"/>
      <c r="P62" s="1925"/>
    </row>
    <row r="63" spans="1:16" x14ac:dyDescent="0.35">
      <c r="A63" s="884">
        <v>55</v>
      </c>
      <c r="B63" s="121"/>
      <c r="C63" s="145"/>
      <c r="D63" s="145"/>
      <c r="E63" s="145"/>
      <c r="F63" s="67" t="s">
        <v>200</v>
      </c>
      <c r="G63" s="2"/>
      <c r="H63" s="2">
        <v>629000</v>
      </c>
      <c r="I63" s="2"/>
      <c r="J63" s="1872">
        <v>780800</v>
      </c>
      <c r="K63" s="1653">
        <v>631000</v>
      </c>
      <c r="L63" s="1657"/>
      <c r="M63" s="1276">
        <f>SUM(K63:L63)</f>
        <v>631000</v>
      </c>
      <c r="N63" s="1294"/>
    </row>
    <row r="64" spans="1:16" x14ac:dyDescent="0.35">
      <c r="A64" s="884">
        <v>56</v>
      </c>
      <c r="B64" s="121"/>
      <c r="C64" s="145"/>
      <c r="D64" s="145"/>
      <c r="E64" s="145"/>
      <c r="F64" s="278" t="s">
        <v>201</v>
      </c>
      <c r="G64" s="70">
        <v>51512</v>
      </c>
      <c r="H64" s="70">
        <v>47488</v>
      </c>
      <c r="I64" s="70">
        <v>47488</v>
      </c>
      <c r="J64" s="1872">
        <v>629000</v>
      </c>
      <c r="K64" s="1653">
        <v>629000</v>
      </c>
      <c r="L64" s="1735"/>
      <c r="M64" s="1279">
        <f>SUM(K64:L64)</f>
        <v>629000</v>
      </c>
      <c r="N64" s="1653"/>
    </row>
    <row r="65" spans="1:16" s="30" customFormat="1" ht="36" customHeight="1" thickBot="1" x14ac:dyDescent="0.35">
      <c r="A65" s="884">
        <v>57</v>
      </c>
      <c r="B65" s="387"/>
      <c r="C65" s="279"/>
      <c r="D65" s="280"/>
      <c r="E65" s="280"/>
      <c r="F65" s="281" t="s">
        <v>202</v>
      </c>
      <c r="G65" s="402">
        <f t="shared" ref="G65:M65" si="21">SUM(G48,G50)</f>
        <v>33868500</v>
      </c>
      <c r="H65" s="402">
        <f t="shared" si="21"/>
        <v>27706184</v>
      </c>
      <c r="I65" s="402">
        <f t="shared" si="21"/>
        <v>34391699</v>
      </c>
      <c r="J65" s="1289">
        <f t="shared" si="21"/>
        <v>37772045</v>
      </c>
      <c r="K65" s="1298">
        <f t="shared" si="21"/>
        <v>40702078</v>
      </c>
      <c r="L65" s="1298">
        <f t="shared" si="21"/>
        <v>6174872</v>
      </c>
      <c r="M65" s="1792">
        <f t="shared" si="21"/>
        <v>46876950</v>
      </c>
      <c r="N65" s="1297"/>
      <c r="O65" s="2113"/>
      <c r="P65" s="2113"/>
    </row>
  </sheetData>
  <mergeCells count="4">
    <mergeCell ref="B4:M4"/>
    <mergeCell ref="B5:M5"/>
    <mergeCell ref="B1:M1"/>
    <mergeCell ref="B2:M2"/>
  </mergeCells>
  <printOptions horizontalCentered="1"/>
  <pageMargins left="0.19685039370078741" right="0.19685039370078741" top="0.59055118110236227" bottom="0.59055118110236227" header="0.31496062992125984" footer="0.31496062992125984"/>
  <pageSetup paperSize="9" scale="54" fitToHeight="2" orientation="portrait" r:id="rId1"/>
  <headerFooter alignWithMargins="0">
    <oddFooter>&amp;C- &amp;P -</oddFooter>
  </headerFooter>
  <rowBreaks count="1" manualBreakCount="1">
    <brk id="43" max="12" man="1"/>
  </rowBreaks>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IR33"/>
  <sheetViews>
    <sheetView view="pageBreakPreview" zoomScaleNormal="100" zoomScaleSheetLayoutView="100" workbookViewId="0">
      <selection activeCell="D16" sqref="D16"/>
    </sheetView>
  </sheetViews>
  <sheetFormatPr defaultColWidth="3" defaultRowHeight="17.25" x14ac:dyDescent="0.3"/>
  <cols>
    <col min="1" max="1" width="3.28515625" style="603" bestFit="1" customWidth="1"/>
    <col min="2" max="2" width="5.140625" style="608" customWidth="1"/>
    <col min="3" max="3" width="4.42578125" style="609" customWidth="1"/>
    <col min="4" max="4" width="58.140625" style="609" customWidth="1"/>
    <col min="5" max="5" width="16" style="610" customWidth="1"/>
    <col min="6" max="6" width="15.85546875" style="607" customWidth="1"/>
    <col min="7" max="250" width="8" style="607" customWidth="1"/>
    <col min="251" max="251" width="3" style="607" bestFit="1" customWidth="1"/>
    <col min="252" max="16384" width="3" style="41"/>
  </cols>
  <sheetData>
    <row r="1" spans="1:252" x14ac:dyDescent="0.3">
      <c r="B1" s="2454" t="s">
        <v>897</v>
      </c>
      <c r="C1" s="2454"/>
      <c r="D1" s="2455"/>
      <c r="E1" s="604"/>
      <c r="F1" s="605"/>
      <c r="G1" s="605"/>
      <c r="H1" s="605"/>
      <c r="I1" s="605"/>
      <c r="J1" s="605"/>
      <c r="K1" s="605"/>
      <c r="L1" s="605"/>
      <c r="M1" s="605"/>
      <c r="N1" s="605"/>
      <c r="O1" s="605"/>
      <c r="P1" s="605"/>
      <c r="Q1" s="605"/>
      <c r="R1" s="605"/>
      <c r="S1" s="605"/>
      <c r="T1" s="605"/>
      <c r="U1" s="605"/>
      <c r="V1" s="605"/>
      <c r="W1" s="605"/>
      <c r="X1" s="605"/>
      <c r="Y1" s="605"/>
      <c r="Z1" s="605"/>
      <c r="AA1" s="605"/>
      <c r="AB1" s="605"/>
      <c r="AC1" s="605"/>
      <c r="AD1" s="605"/>
      <c r="AE1" s="605"/>
      <c r="AF1" s="605"/>
      <c r="AG1" s="605"/>
      <c r="AH1" s="605"/>
      <c r="AI1" s="605"/>
      <c r="AJ1" s="605"/>
      <c r="AK1" s="605"/>
      <c r="AL1" s="605"/>
      <c r="AM1" s="605"/>
      <c r="AN1" s="605"/>
      <c r="AO1" s="605"/>
      <c r="AP1" s="605"/>
      <c r="AQ1" s="605"/>
      <c r="AR1" s="605"/>
      <c r="AS1" s="605"/>
      <c r="AT1" s="605"/>
      <c r="AU1" s="605"/>
      <c r="AV1" s="605"/>
      <c r="AW1" s="605"/>
      <c r="AX1" s="605"/>
      <c r="AY1" s="605"/>
      <c r="AZ1" s="605"/>
      <c r="BA1" s="605"/>
      <c r="BB1" s="605"/>
      <c r="BC1" s="605"/>
      <c r="BD1" s="605"/>
      <c r="BE1" s="605"/>
      <c r="BF1" s="605"/>
      <c r="BG1" s="605"/>
      <c r="BH1" s="605"/>
      <c r="BI1" s="605"/>
      <c r="BJ1" s="605"/>
      <c r="BK1" s="605"/>
      <c r="BL1" s="605"/>
      <c r="BM1" s="605"/>
      <c r="BN1" s="605"/>
      <c r="BO1" s="605"/>
      <c r="BP1" s="605"/>
      <c r="BQ1" s="605"/>
      <c r="BR1" s="605"/>
      <c r="BS1" s="605"/>
      <c r="BT1" s="605"/>
      <c r="BU1" s="605"/>
      <c r="BV1" s="605"/>
      <c r="BW1" s="605"/>
      <c r="BX1" s="605"/>
      <c r="BY1" s="605"/>
      <c r="BZ1" s="605"/>
      <c r="CA1" s="605"/>
      <c r="CB1" s="605"/>
      <c r="CC1" s="605"/>
      <c r="CD1" s="605"/>
      <c r="CE1" s="605"/>
      <c r="CF1" s="605"/>
      <c r="CG1" s="605"/>
      <c r="CH1" s="605"/>
      <c r="CI1" s="605"/>
      <c r="CJ1" s="605"/>
      <c r="CK1" s="605"/>
      <c r="CL1" s="605"/>
      <c r="CM1" s="605"/>
      <c r="CN1" s="605"/>
      <c r="CO1" s="605"/>
      <c r="CP1" s="605"/>
      <c r="CQ1" s="605"/>
      <c r="CR1" s="605"/>
      <c r="CS1" s="605"/>
      <c r="CT1" s="605"/>
      <c r="CU1" s="605"/>
      <c r="CV1" s="605"/>
      <c r="CW1" s="605"/>
      <c r="CX1" s="605"/>
      <c r="CY1" s="605"/>
      <c r="CZ1" s="605"/>
      <c r="DA1" s="605"/>
      <c r="DB1" s="605"/>
      <c r="DC1" s="605"/>
      <c r="DD1" s="605"/>
      <c r="DE1" s="605"/>
      <c r="DF1" s="605"/>
      <c r="DG1" s="605"/>
      <c r="DH1" s="605"/>
      <c r="DI1" s="605"/>
      <c r="DJ1" s="605"/>
      <c r="DK1" s="605"/>
      <c r="DL1" s="605"/>
      <c r="DM1" s="605"/>
      <c r="DN1" s="605"/>
      <c r="DO1" s="605"/>
      <c r="DP1" s="605"/>
      <c r="DQ1" s="605"/>
      <c r="DR1" s="605"/>
      <c r="DS1" s="605"/>
      <c r="DT1" s="605"/>
      <c r="DU1" s="605"/>
      <c r="DV1" s="605"/>
      <c r="DW1" s="605"/>
      <c r="DX1" s="605"/>
      <c r="DY1" s="605"/>
      <c r="DZ1" s="605"/>
      <c r="EA1" s="605"/>
      <c r="EB1" s="605"/>
      <c r="EC1" s="605"/>
      <c r="ED1" s="605"/>
      <c r="EE1" s="605"/>
      <c r="EF1" s="605"/>
      <c r="EG1" s="605"/>
      <c r="EH1" s="605"/>
      <c r="EI1" s="605"/>
      <c r="EJ1" s="605"/>
      <c r="EK1" s="605"/>
      <c r="EL1" s="605"/>
      <c r="EM1" s="605"/>
      <c r="EN1" s="605"/>
      <c r="EO1" s="605"/>
      <c r="EP1" s="605"/>
      <c r="EQ1" s="605"/>
      <c r="ER1" s="605"/>
      <c r="ES1" s="605"/>
      <c r="ET1" s="605"/>
      <c r="EU1" s="605"/>
      <c r="EV1" s="605"/>
      <c r="EW1" s="605"/>
      <c r="EX1" s="605"/>
      <c r="EY1" s="605"/>
      <c r="EZ1" s="605"/>
      <c r="FA1" s="605"/>
      <c r="FB1" s="605"/>
      <c r="FC1" s="605"/>
      <c r="FD1" s="605"/>
      <c r="FE1" s="605"/>
      <c r="FF1" s="605"/>
      <c r="FG1" s="605"/>
      <c r="FH1" s="605"/>
      <c r="FI1" s="605"/>
      <c r="FJ1" s="605"/>
      <c r="FK1" s="605"/>
      <c r="FL1" s="605"/>
      <c r="FM1" s="605"/>
      <c r="FN1" s="605"/>
      <c r="FO1" s="605"/>
      <c r="FP1" s="605"/>
      <c r="FQ1" s="605"/>
      <c r="FR1" s="605"/>
      <c r="FS1" s="605"/>
      <c r="FT1" s="605"/>
      <c r="FU1" s="605"/>
      <c r="FV1" s="605"/>
      <c r="FW1" s="605"/>
      <c r="FX1" s="605"/>
      <c r="FY1" s="605"/>
      <c r="FZ1" s="605"/>
      <c r="GA1" s="605"/>
      <c r="GB1" s="605"/>
      <c r="GC1" s="605"/>
      <c r="GD1" s="605"/>
      <c r="GE1" s="605"/>
      <c r="GF1" s="605"/>
      <c r="GG1" s="605"/>
      <c r="GH1" s="605"/>
      <c r="GI1" s="605"/>
      <c r="GJ1" s="605"/>
      <c r="GK1" s="605"/>
      <c r="GL1" s="605"/>
      <c r="GM1" s="605"/>
      <c r="GN1" s="605"/>
      <c r="GO1" s="605"/>
      <c r="GP1" s="605"/>
      <c r="GQ1" s="605"/>
      <c r="GR1" s="605"/>
      <c r="GS1" s="605"/>
      <c r="GT1" s="605"/>
      <c r="GU1" s="605"/>
      <c r="GV1" s="605"/>
      <c r="GW1" s="605"/>
      <c r="GX1" s="605"/>
      <c r="GY1" s="605"/>
      <c r="GZ1" s="605"/>
      <c r="HA1" s="605"/>
      <c r="HB1" s="605"/>
      <c r="HC1" s="605"/>
      <c r="HD1" s="605"/>
      <c r="HE1" s="605"/>
      <c r="HF1" s="605"/>
      <c r="HG1" s="605"/>
      <c r="HH1" s="605"/>
      <c r="HI1" s="605"/>
      <c r="HJ1" s="605"/>
      <c r="HK1" s="605"/>
      <c r="HL1" s="605"/>
      <c r="HM1" s="605"/>
      <c r="HN1" s="605"/>
      <c r="HO1" s="605"/>
      <c r="HP1" s="605"/>
      <c r="HQ1" s="605"/>
      <c r="HR1" s="605"/>
      <c r="HS1" s="605"/>
      <c r="HT1" s="605"/>
      <c r="HU1" s="605"/>
      <c r="HV1" s="605"/>
      <c r="HW1" s="605"/>
      <c r="HX1" s="605"/>
      <c r="HY1" s="605"/>
      <c r="HZ1" s="605"/>
      <c r="IA1" s="605"/>
      <c r="IB1" s="605"/>
      <c r="IC1" s="605"/>
      <c r="ID1" s="605"/>
      <c r="IE1" s="605"/>
      <c r="IF1" s="605"/>
      <c r="IG1" s="605"/>
      <c r="IH1" s="605"/>
      <c r="II1" s="605"/>
      <c r="IJ1" s="605"/>
      <c r="IK1" s="605"/>
      <c r="IL1" s="605"/>
      <c r="IM1" s="605"/>
      <c r="IN1" s="605"/>
      <c r="IO1" s="605"/>
      <c r="IP1" s="605"/>
      <c r="IQ1" s="605"/>
      <c r="IR1" s="237"/>
    </row>
    <row r="2" spans="1:252" x14ac:dyDescent="0.3">
      <c r="B2" s="1106"/>
      <c r="C2" s="1106"/>
      <c r="D2" s="1106"/>
      <c r="E2" s="604"/>
      <c r="F2" s="605"/>
      <c r="G2" s="605"/>
      <c r="H2" s="605"/>
      <c r="I2" s="605"/>
      <c r="J2" s="605"/>
      <c r="K2" s="605"/>
      <c r="L2" s="605"/>
      <c r="M2" s="605"/>
      <c r="N2" s="605"/>
      <c r="O2" s="605"/>
      <c r="P2" s="605"/>
      <c r="Q2" s="605"/>
      <c r="R2" s="605"/>
      <c r="S2" s="605"/>
      <c r="T2" s="605"/>
      <c r="U2" s="605"/>
      <c r="V2" s="605"/>
      <c r="W2" s="605"/>
      <c r="X2" s="605"/>
      <c r="Y2" s="605"/>
      <c r="Z2" s="605"/>
      <c r="AA2" s="605"/>
      <c r="AB2" s="605"/>
      <c r="AC2" s="605"/>
      <c r="AD2" s="605"/>
      <c r="AE2" s="605"/>
      <c r="AF2" s="605"/>
      <c r="AG2" s="605"/>
      <c r="AH2" s="605"/>
      <c r="AI2" s="605"/>
      <c r="AJ2" s="605"/>
      <c r="AK2" s="605"/>
      <c r="AL2" s="605"/>
      <c r="AM2" s="605"/>
      <c r="AN2" s="605"/>
      <c r="AO2" s="605"/>
      <c r="AP2" s="605"/>
      <c r="AQ2" s="605"/>
      <c r="AR2" s="605"/>
      <c r="AS2" s="605"/>
      <c r="AT2" s="605"/>
      <c r="AU2" s="605"/>
      <c r="AV2" s="605"/>
      <c r="AW2" s="605"/>
      <c r="AX2" s="605"/>
      <c r="AY2" s="605"/>
      <c r="AZ2" s="605"/>
      <c r="BA2" s="605"/>
      <c r="BB2" s="605"/>
      <c r="BC2" s="605"/>
      <c r="BD2" s="605"/>
      <c r="BE2" s="605"/>
      <c r="BF2" s="605"/>
      <c r="BG2" s="605"/>
      <c r="BH2" s="605"/>
      <c r="BI2" s="605"/>
      <c r="BJ2" s="605"/>
      <c r="BK2" s="605"/>
      <c r="BL2" s="605"/>
      <c r="BM2" s="605"/>
      <c r="BN2" s="605"/>
      <c r="BO2" s="605"/>
      <c r="BP2" s="605"/>
      <c r="BQ2" s="605"/>
      <c r="BR2" s="605"/>
      <c r="BS2" s="605"/>
      <c r="BT2" s="605"/>
      <c r="BU2" s="605"/>
      <c r="BV2" s="605"/>
      <c r="BW2" s="605"/>
      <c r="BX2" s="605"/>
      <c r="BY2" s="605"/>
      <c r="BZ2" s="605"/>
      <c r="CA2" s="605"/>
      <c r="CB2" s="605"/>
      <c r="CC2" s="605"/>
      <c r="CD2" s="605"/>
      <c r="CE2" s="605"/>
      <c r="CF2" s="605"/>
      <c r="CG2" s="605"/>
      <c r="CH2" s="605"/>
      <c r="CI2" s="605"/>
      <c r="CJ2" s="605"/>
      <c r="CK2" s="605"/>
      <c r="CL2" s="605"/>
      <c r="CM2" s="605"/>
      <c r="CN2" s="605"/>
      <c r="CO2" s="605"/>
      <c r="CP2" s="605"/>
      <c r="CQ2" s="605"/>
      <c r="CR2" s="605"/>
      <c r="CS2" s="605"/>
      <c r="CT2" s="605"/>
      <c r="CU2" s="605"/>
      <c r="CV2" s="605"/>
      <c r="CW2" s="605"/>
      <c r="CX2" s="605"/>
      <c r="CY2" s="605"/>
      <c r="CZ2" s="605"/>
      <c r="DA2" s="605"/>
      <c r="DB2" s="605"/>
      <c r="DC2" s="605"/>
      <c r="DD2" s="605"/>
      <c r="DE2" s="605"/>
      <c r="DF2" s="605"/>
      <c r="DG2" s="605"/>
      <c r="DH2" s="605"/>
      <c r="DI2" s="605"/>
      <c r="DJ2" s="605"/>
      <c r="DK2" s="605"/>
      <c r="DL2" s="605"/>
      <c r="DM2" s="605"/>
      <c r="DN2" s="605"/>
      <c r="DO2" s="605"/>
      <c r="DP2" s="605"/>
      <c r="DQ2" s="605"/>
      <c r="DR2" s="605"/>
      <c r="DS2" s="605"/>
      <c r="DT2" s="605"/>
      <c r="DU2" s="605"/>
      <c r="DV2" s="605"/>
      <c r="DW2" s="605"/>
      <c r="DX2" s="605"/>
      <c r="DY2" s="605"/>
      <c r="DZ2" s="605"/>
      <c r="EA2" s="605"/>
      <c r="EB2" s="605"/>
      <c r="EC2" s="605"/>
      <c r="ED2" s="605"/>
      <c r="EE2" s="605"/>
      <c r="EF2" s="605"/>
      <c r="EG2" s="605"/>
      <c r="EH2" s="605"/>
      <c r="EI2" s="605"/>
      <c r="EJ2" s="605"/>
      <c r="EK2" s="605"/>
      <c r="EL2" s="605"/>
      <c r="EM2" s="605"/>
      <c r="EN2" s="605"/>
      <c r="EO2" s="605"/>
      <c r="EP2" s="605"/>
      <c r="EQ2" s="605"/>
      <c r="ER2" s="605"/>
      <c r="ES2" s="605"/>
      <c r="ET2" s="605"/>
      <c r="EU2" s="605"/>
      <c r="EV2" s="605"/>
      <c r="EW2" s="605"/>
      <c r="EX2" s="605"/>
      <c r="EY2" s="605"/>
      <c r="EZ2" s="605"/>
      <c r="FA2" s="605"/>
      <c r="FB2" s="605"/>
      <c r="FC2" s="605"/>
      <c r="FD2" s="605"/>
      <c r="FE2" s="605"/>
      <c r="FF2" s="605"/>
      <c r="FG2" s="605"/>
      <c r="FH2" s="605"/>
      <c r="FI2" s="605"/>
      <c r="FJ2" s="605"/>
      <c r="FK2" s="605"/>
      <c r="FL2" s="605"/>
      <c r="FM2" s="605"/>
      <c r="FN2" s="605"/>
      <c r="FO2" s="605"/>
      <c r="FP2" s="605"/>
      <c r="FQ2" s="605"/>
      <c r="FR2" s="605"/>
      <c r="FS2" s="605"/>
      <c r="FT2" s="605"/>
      <c r="FU2" s="605"/>
      <c r="FV2" s="605"/>
      <c r="FW2" s="605"/>
      <c r="FX2" s="605"/>
      <c r="FY2" s="605"/>
      <c r="FZ2" s="605"/>
      <c r="GA2" s="605"/>
      <c r="GB2" s="605"/>
      <c r="GC2" s="605"/>
      <c r="GD2" s="605"/>
      <c r="GE2" s="605"/>
      <c r="GF2" s="605"/>
      <c r="GG2" s="605"/>
      <c r="GH2" s="605"/>
      <c r="GI2" s="605"/>
      <c r="GJ2" s="605"/>
      <c r="GK2" s="605"/>
      <c r="GL2" s="605"/>
      <c r="GM2" s="605"/>
      <c r="GN2" s="605"/>
      <c r="GO2" s="605"/>
      <c r="GP2" s="605"/>
      <c r="GQ2" s="605"/>
      <c r="GR2" s="605"/>
      <c r="GS2" s="605"/>
      <c r="GT2" s="605"/>
      <c r="GU2" s="605"/>
      <c r="GV2" s="605"/>
      <c r="GW2" s="605"/>
      <c r="GX2" s="605"/>
      <c r="GY2" s="605"/>
      <c r="GZ2" s="605"/>
      <c r="HA2" s="605"/>
      <c r="HB2" s="605"/>
      <c r="HC2" s="605"/>
      <c r="HD2" s="605"/>
      <c r="HE2" s="605"/>
      <c r="HF2" s="605"/>
      <c r="HG2" s="605"/>
      <c r="HH2" s="605"/>
      <c r="HI2" s="605"/>
      <c r="HJ2" s="605"/>
      <c r="HK2" s="605"/>
      <c r="HL2" s="605"/>
      <c r="HM2" s="605"/>
      <c r="HN2" s="605"/>
      <c r="HO2" s="605"/>
      <c r="HP2" s="605"/>
      <c r="HQ2" s="605"/>
      <c r="HR2" s="605"/>
      <c r="HS2" s="605"/>
      <c r="HT2" s="605"/>
      <c r="HU2" s="605"/>
      <c r="HV2" s="605"/>
      <c r="HW2" s="605"/>
      <c r="HX2" s="605"/>
      <c r="HY2" s="605"/>
      <c r="HZ2" s="605"/>
      <c r="IA2" s="605"/>
      <c r="IB2" s="605"/>
      <c r="IC2" s="605"/>
      <c r="ID2" s="605"/>
      <c r="IE2" s="605"/>
      <c r="IF2" s="605"/>
      <c r="IG2" s="605"/>
      <c r="IH2" s="605"/>
      <c r="II2" s="605"/>
      <c r="IJ2" s="605"/>
      <c r="IK2" s="605"/>
      <c r="IL2" s="605"/>
      <c r="IM2" s="605"/>
      <c r="IN2" s="605"/>
      <c r="IO2" s="605"/>
      <c r="IP2" s="605"/>
      <c r="IQ2" s="605"/>
      <c r="IR2" s="237"/>
    </row>
    <row r="3" spans="1:252" x14ac:dyDescent="0.35">
      <c r="B3" s="2456" t="s">
        <v>900</v>
      </c>
      <c r="C3" s="2456"/>
      <c r="D3" s="2456"/>
      <c r="E3" s="2456"/>
      <c r="F3" s="2456"/>
      <c r="G3" s="606"/>
      <c r="H3" s="606"/>
      <c r="I3" s="606"/>
      <c r="J3" s="606"/>
      <c r="K3" s="606"/>
      <c r="L3" s="606"/>
      <c r="M3" s="606"/>
      <c r="N3" s="606"/>
      <c r="O3" s="606"/>
      <c r="P3" s="606"/>
      <c r="Q3" s="606"/>
      <c r="R3" s="606"/>
      <c r="S3" s="606"/>
      <c r="T3" s="606"/>
      <c r="U3" s="606"/>
      <c r="V3" s="606"/>
      <c r="W3" s="606"/>
      <c r="X3" s="606"/>
      <c r="Y3" s="606"/>
      <c r="Z3" s="606"/>
      <c r="AA3" s="606"/>
      <c r="AB3" s="606"/>
      <c r="AC3" s="606"/>
      <c r="AD3" s="606"/>
      <c r="AE3" s="606"/>
      <c r="AF3" s="606"/>
      <c r="AG3" s="606"/>
      <c r="AH3" s="606"/>
      <c r="AI3" s="606"/>
      <c r="AJ3" s="606"/>
      <c r="AK3" s="606"/>
      <c r="AL3" s="606"/>
      <c r="AM3" s="606"/>
      <c r="AN3" s="606"/>
      <c r="AO3" s="606"/>
      <c r="AP3" s="606"/>
      <c r="AQ3" s="606"/>
      <c r="AR3" s="606"/>
      <c r="AS3" s="606"/>
      <c r="AT3" s="606"/>
      <c r="AU3" s="606"/>
      <c r="AV3" s="606"/>
      <c r="AW3" s="606"/>
      <c r="AX3" s="606"/>
      <c r="AY3" s="606"/>
      <c r="AZ3" s="606"/>
      <c r="BA3" s="606"/>
      <c r="BB3" s="606"/>
      <c r="BC3" s="606"/>
      <c r="BD3" s="606"/>
      <c r="BE3" s="606"/>
      <c r="BF3" s="606"/>
      <c r="BG3" s="606"/>
      <c r="BH3" s="606"/>
      <c r="BI3" s="606"/>
      <c r="BJ3" s="606"/>
      <c r="BK3" s="606"/>
      <c r="BL3" s="606"/>
      <c r="BM3" s="606"/>
      <c r="BN3" s="606"/>
      <c r="BO3" s="606"/>
      <c r="BP3" s="606"/>
      <c r="BQ3" s="606"/>
      <c r="BR3" s="606"/>
      <c r="BS3" s="606"/>
      <c r="BT3" s="606"/>
      <c r="BU3" s="606"/>
      <c r="BV3" s="606"/>
      <c r="BW3" s="606"/>
      <c r="BX3" s="606"/>
      <c r="BY3" s="606"/>
      <c r="BZ3" s="606"/>
      <c r="CA3" s="606"/>
      <c r="CB3" s="606"/>
      <c r="CC3" s="606"/>
      <c r="CD3" s="606"/>
      <c r="CE3" s="606"/>
      <c r="CF3" s="606"/>
      <c r="CG3" s="606"/>
      <c r="CH3" s="606"/>
      <c r="CI3" s="606"/>
      <c r="CJ3" s="606"/>
      <c r="CK3" s="606"/>
      <c r="CL3" s="606"/>
      <c r="CM3" s="606"/>
      <c r="CN3" s="606"/>
      <c r="CO3" s="606"/>
      <c r="CP3" s="606"/>
      <c r="CQ3" s="606"/>
      <c r="CR3" s="606"/>
      <c r="CS3" s="606"/>
      <c r="CT3" s="606"/>
      <c r="CU3" s="606"/>
      <c r="CV3" s="606"/>
      <c r="CW3" s="606"/>
      <c r="CX3" s="606"/>
      <c r="CY3" s="606"/>
      <c r="CZ3" s="606"/>
      <c r="DA3" s="606"/>
      <c r="DB3" s="606"/>
      <c r="DC3" s="606"/>
      <c r="DD3" s="606"/>
      <c r="DE3" s="606"/>
      <c r="DF3" s="606"/>
      <c r="DG3" s="606"/>
      <c r="DH3" s="606"/>
      <c r="DI3" s="606"/>
      <c r="DJ3" s="606"/>
      <c r="DK3" s="606"/>
      <c r="DL3" s="606"/>
      <c r="DM3" s="606"/>
      <c r="DN3" s="606"/>
      <c r="DO3" s="606"/>
      <c r="DP3" s="606"/>
      <c r="DQ3" s="606"/>
      <c r="DR3" s="606"/>
      <c r="DS3" s="606"/>
      <c r="DT3" s="606"/>
      <c r="DU3" s="606"/>
      <c r="DV3" s="606"/>
      <c r="DW3" s="606"/>
      <c r="DX3" s="606"/>
      <c r="DY3" s="606"/>
      <c r="DZ3" s="606"/>
      <c r="EA3" s="606"/>
      <c r="EB3" s="606"/>
      <c r="EC3" s="606"/>
      <c r="ED3" s="606"/>
      <c r="EE3" s="606"/>
      <c r="EF3" s="606"/>
      <c r="EG3" s="606"/>
      <c r="EH3" s="606"/>
      <c r="EI3" s="606"/>
      <c r="EJ3" s="606"/>
      <c r="EK3" s="606"/>
      <c r="EL3" s="606"/>
      <c r="EM3" s="606"/>
      <c r="EN3" s="606"/>
      <c r="EO3" s="606"/>
      <c r="EP3" s="606"/>
      <c r="EQ3" s="606"/>
      <c r="ER3" s="606"/>
      <c r="ES3" s="606"/>
      <c r="ET3" s="606"/>
      <c r="EU3" s="606"/>
      <c r="EV3" s="606"/>
      <c r="EW3" s="606"/>
      <c r="EX3" s="606"/>
      <c r="EY3" s="606"/>
      <c r="EZ3" s="606"/>
      <c r="FA3" s="606"/>
      <c r="FB3" s="606"/>
      <c r="FC3" s="606"/>
      <c r="FD3" s="606"/>
      <c r="FE3" s="606"/>
      <c r="FF3" s="606"/>
      <c r="FG3" s="606"/>
      <c r="FH3" s="606"/>
      <c r="FI3" s="606"/>
      <c r="FJ3" s="606"/>
      <c r="FK3" s="606"/>
      <c r="FL3" s="606"/>
      <c r="FM3" s="606"/>
      <c r="FN3" s="606"/>
      <c r="FO3" s="606"/>
      <c r="FP3" s="606"/>
      <c r="FQ3" s="606"/>
      <c r="FR3" s="606"/>
      <c r="FS3" s="606"/>
      <c r="FT3" s="606"/>
      <c r="FU3" s="606"/>
      <c r="FV3" s="606"/>
      <c r="FW3" s="606"/>
      <c r="FX3" s="606"/>
      <c r="FY3" s="606"/>
      <c r="FZ3" s="606"/>
      <c r="GA3" s="606"/>
      <c r="GB3" s="606"/>
      <c r="GC3" s="606"/>
      <c r="GD3" s="606"/>
      <c r="GE3" s="606"/>
      <c r="GF3" s="606"/>
      <c r="GG3" s="606"/>
      <c r="GH3" s="606"/>
      <c r="GI3" s="606"/>
      <c r="GJ3" s="606"/>
      <c r="GK3" s="606"/>
      <c r="GL3" s="606"/>
      <c r="GM3" s="606"/>
      <c r="GN3" s="606"/>
      <c r="GO3" s="606"/>
      <c r="GP3" s="606"/>
      <c r="GQ3" s="606"/>
      <c r="GR3" s="606"/>
      <c r="GS3" s="606"/>
      <c r="GT3" s="606"/>
      <c r="GU3" s="606"/>
      <c r="GV3" s="606"/>
      <c r="GW3" s="606"/>
      <c r="GX3" s="606"/>
      <c r="GY3" s="606"/>
      <c r="GZ3" s="606"/>
      <c r="HA3" s="606"/>
      <c r="HB3" s="606"/>
      <c r="HC3" s="606"/>
      <c r="HD3" s="606"/>
      <c r="HE3" s="606"/>
      <c r="HF3" s="606"/>
      <c r="HG3" s="606"/>
      <c r="HH3" s="606"/>
      <c r="HI3" s="606"/>
      <c r="HJ3" s="606"/>
      <c r="HK3" s="606"/>
      <c r="HL3" s="606"/>
      <c r="HM3" s="606"/>
      <c r="HN3" s="606"/>
      <c r="HO3" s="606"/>
      <c r="HP3" s="606"/>
      <c r="HQ3" s="606"/>
      <c r="HR3" s="606"/>
      <c r="HS3" s="606"/>
      <c r="HT3" s="606"/>
      <c r="HU3" s="606"/>
      <c r="HV3" s="606"/>
      <c r="HW3" s="606"/>
      <c r="HX3" s="606"/>
      <c r="HY3" s="606"/>
      <c r="HZ3" s="606"/>
      <c r="IA3" s="606"/>
      <c r="IB3" s="606"/>
      <c r="IC3" s="606"/>
      <c r="ID3" s="606"/>
      <c r="IE3" s="606"/>
      <c r="IF3" s="606"/>
      <c r="IG3" s="606"/>
      <c r="IH3" s="606"/>
      <c r="II3" s="606"/>
      <c r="IJ3" s="606"/>
      <c r="IK3" s="606"/>
      <c r="IL3" s="606"/>
      <c r="IM3" s="606"/>
      <c r="IN3" s="606"/>
      <c r="IO3" s="606"/>
      <c r="IP3" s="606"/>
      <c r="IQ3" s="606"/>
      <c r="IR3" s="44"/>
    </row>
    <row r="4" spans="1:252" x14ac:dyDescent="0.3">
      <c r="B4" s="2457" t="s">
        <v>903</v>
      </c>
      <c r="C4" s="2457"/>
      <c r="D4" s="2457"/>
      <c r="E4" s="2457"/>
      <c r="F4" s="2457"/>
    </row>
    <row r="5" spans="1:252" x14ac:dyDescent="0.3">
      <c r="B5" s="1251"/>
      <c r="C5" s="1251"/>
      <c r="D5" s="1251"/>
      <c r="E5" s="1251"/>
      <c r="F5" s="1251"/>
    </row>
    <row r="6" spans="1:252" x14ac:dyDescent="0.3">
      <c r="B6" s="1095"/>
      <c r="C6" s="1095"/>
      <c r="D6" s="1095"/>
      <c r="E6" s="1095"/>
      <c r="F6" s="670" t="s">
        <v>0</v>
      </c>
    </row>
    <row r="7" spans="1:252" thickBot="1" x14ac:dyDescent="0.35">
      <c r="B7" s="2463" t="s">
        <v>1</v>
      </c>
      <c r="C7" s="2463"/>
      <c r="D7" s="2463"/>
      <c r="E7" s="612" t="s">
        <v>3</v>
      </c>
      <c r="F7" s="631" t="s">
        <v>2</v>
      </c>
    </row>
    <row r="8" spans="1:252" ht="35.25" customHeight="1" thickBot="1" x14ac:dyDescent="0.35">
      <c r="A8" s="1107">
        <v>1</v>
      </c>
      <c r="B8" s="2451" t="s">
        <v>838</v>
      </c>
      <c r="C8" s="2452"/>
      <c r="D8" s="2453"/>
      <c r="E8" s="1108" t="s">
        <v>858</v>
      </c>
      <c r="F8" s="1108" t="s">
        <v>859</v>
      </c>
      <c r="G8" s="631"/>
      <c r="H8" s="631"/>
      <c r="I8" s="631"/>
      <c r="J8" s="631"/>
      <c r="K8" s="631"/>
      <c r="L8" s="631"/>
      <c r="M8" s="631"/>
      <c r="N8" s="631"/>
      <c r="O8" s="631"/>
      <c r="P8" s="631"/>
      <c r="Q8" s="631"/>
      <c r="R8" s="631"/>
      <c r="S8" s="631"/>
      <c r="T8" s="631"/>
      <c r="U8" s="631"/>
      <c r="V8" s="631"/>
      <c r="W8" s="631"/>
      <c r="X8" s="631"/>
      <c r="Y8" s="631"/>
      <c r="Z8" s="631"/>
      <c r="AA8" s="631"/>
      <c r="AB8" s="631"/>
      <c r="AC8" s="631"/>
      <c r="AD8" s="631"/>
      <c r="AE8" s="631"/>
      <c r="AF8" s="631"/>
      <c r="AG8" s="631"/>
      <c r="AH8" s="631"/>
      <c r="AI8" s="631"/>
      <c r="AJ8" s="631"/>
      <c r="AK8" s="631"/>
      <c r="AL8" s="631"/>
      <c r="AM8" s="631"/>
      <c r="AN8" s="631"/>
      <c r="AO8" s="631"/>
      <c r="AP8" s="631"/>
      <c r="AQ8" s="631"/>
      <c r="AR8" s="631"/>
      <c r="AS8" s="631"/>
      <c r="AT8" s="631"/>
      <c r="AU8" s="631"/>
      <c r="AV8" s="631"/>
      <c r="AW8" s="631"/>
      <c r="AX8" s="631"/>
      <c r="AY8" s="631"/>
      <c r="AZ8" s="631"/>
      <c r="BA8" s="631"/>
      <c r="BB8" s="631"/>
      <c r="BC8" s="631"/>
      <c r="BD8" s="631"/>
      <c r="BE8" s="631"/>
      <c r="BF8" s="631"/>
      <c r="BG8" s="631"/>
      <c r="BH8" s="631"/>
      <c r="BI8" s="631"/>
      <c r="BJ8" s="631"/>
      <c r="BK8" s="631"/>
      <c r="BL8" s="631"/>
      <c r="BM8" s="631"/>
      <c r="BN8" s="631"/>
      <c r="BO8" s="631"/>
      <c r="BP8" s="631"/>
      <c r="BQ8" s="631"/>
      <c r="BR8" s="631"/>
      <c r="BS8" s="631"/>
      <c r="BT8" s="631"/>
      <c r="BU8" s="631"/>
      <c r="BV8" s="631"/>
      <c r="BW8" s="631"/>
      <c r="BX8" s="631"/>
      <c r="BY8" s="631"/>
      <c r="BZ8" s="631"/>
      <c r="CA8" s="631"/>
      <c r="CB8" s="631"/>
      <c r="CC8" s="631"/>
      <c r="CD8" s="631"/>
      <c r="CE8" s="631"/>
      <c r="CF8" s="631"/>
      <c r="CG8" s="631"/>
      <c r="CH8" s="631"/>
      <c r="CI8" s="631"/>
      <c r="CJ8" s="631"/>
      <c r="CK8" s="631"/>
      <c r="CL8" s="631"/>
      <c r="CM8" s="631"/>
      <c r="CN8" s="631"/>
      <c r="CO8" s="631"/>
      <c r="CP8" s="631"/>
      <c r="CQ8" s="631"/>
      <c r="CR8" s="631"/>
      <c r="CS8" s="631"/>
      <c r="CT8" s="631"/>
      <c r="CU8" s="631"/>
      <c r="CV8" s="631"/>
      <c r="CW8" s="631"/>
      <c r="CX8" s="631"/>
      <c r="CY8" s="631"/>
      <c r="CZ8" s="631"/>
      <c r="DA8" s="631"/>
      <c r="DB8" s="631"/>
      <c r="DC8" s="631"/>
      <c r="DD8" s="631"/>
      <c r="DE8" s="631"/>
      <c r="DF8" s="631"/>
      <c r="DG8" s="631"/>
      <c r="DH8" s="631"/>
      <c r="DI8" s="631"/>
      <c r="DJ8" s="631"/>
      <c r="DK8" s="631"/>
      <c r="DL8" s="631"/>
      <c r="DM8" s="631"/>
      <c r="DN8" s="631"/>
      <c r="DO8" s="631"/>
      <c r="DP8" s="631"/>
      <c r="DQ8" s="631"/>
      <c r="DR8" s="631"/>
      <c r="DS8" s="631"/>
      <c r="DT8" s="631"/>
      <c r="DU8" s="631"/>
      <c r="DV8" s="631"/>
      <c r="DW8" s="631"/>
      <c r="DX8" s="631"/>
      <c r="DY8" s="631"/>
      <c r="DZ8" s="631"/>
      <c r="EA8" s="631"/>
      <c r="EB8" s="631"/>
      <c r="EC8" s="631"/>
      <c r="ED8" s="631"/>
      <c r="EE8" s="631"/>
      <c r="EF8" s="631"/>
      <c r="EG8" s="631"/>
      <c r="EH8" s="631"/>
      <c r="EI8" s="631"/>
      <c r="EJ8" s="631"/>
      <c r="EK8" s="631"/>
      <c r="EL8" s="631"/>
      <c r="EM8" s="631"/>
      <c r="EN8" s="631"/>
      <c r="EO8" s="631"/>
      <c r="EP8" s="631"/>
      <c r="EQ8" s="631"/>
      <c r="ER8" s="631"/>
      <c r="ES8" s="631"/>
      <c r="ET8" s="631"/>
      <c r="EU8" s="631"/>
      <c r="EV8" s="631"/>
      <c r="EW8" s="631"/>
      <c r="EX8" s="631"/>
      <c r="EY8" s="631"/>
      <c r="EZ8" s="631"/>
      <c r="FA8" s="631"/>
      <c r="FB8" s="631"/>
      <c r="FC8" s="631"/>
      <c r="FD8" s="631"/>
      <c r="FE8" s="631"/>
      <c r="FF8" s="631"/>
      <c r="FG8" s="631"/>
      <c r="FH8" s="631"/>
      <c r="FI8" s="631"/>
      <c r="FJ8" s="631"/>
      <c r="FK8" s="631"/>
      <c r="FL8" s="631"/>
      <c r="FM8" s="631"/>
      <c r="FN8" s="631"/>
      <c r="FO8" s="631"/>
      <c r="FP8" s="631"/>
      <c r="FQ8" s="631"/>
      <c r="FR8" s="631"/>
      <c r="FS8" s="631"/>
      <c r="FT8" s="631"/>
      <c r="FU8" s="631"/>
      <c r="FV8" s="631"/>
      <c r="FW8" s="631"/>
      <c r="FX8" s="631"/>
      <c r="FY8" s="631"/>
      <c r="FZ8" s="631"/>
      <c r="GA8" s="631"/>
      <c r="GB8" s="631"/>
      <c r="GC8" s="631"/>
      <c r="GD8" s="631"/>
      <c r="GE8" s="631"/>
      <c r="GF8" s="631"/>
      <c r="GG8" s="631"/>
      <c r="GH8" s="631"/>
      <c r="GI8" s="631"/>
      <c r="GJ8" s="631"/>
      <c r="GK8" s="631"/>
      <c r="GL8" s="631"/>
      <c r="GM8" s="631"/>
      <c r="GN8" s="631"/>
      <c r="GO8" s="631"/>
      <c r="GP8" s="631"/>
      <c r="GQ8" s="631"/>
      <c r="GR8" s="631"/>
      <c r="GS8" s="631"/>
      <c r="GT8" s="631"/>
      <c r="GU8" s="631"/>
      <c r="GV8" s="631"/>
      <c r="GW8" s="631"/>
      <c r="GX8" s="631"/>
      <c r="GY8" s="631"/>
      <c r="GZ8" s="631"/>
      <c r="HA8" s="631"/>
      <c r="HB8" s="631"/>
      <c r="HC8" s="631"/>
      <c r="HD8" s="631"/>
      <c r="HE8" s="631"/>
      <c r="HF8" s="631"/>
      <c r="HG8" s="631"/>
      <c r="HH8" s="631"/>
      <c r="HI8" s="631"/>
      <c r="HJ8" s="631"/>
      <c r="HK8" s="631"/>
      <c r="HL8" s="631"/>
      <c r="HM8" s="631"/>
      <c r="HN8" s="631"/>
      <c r="HO8" s="631"/>
      <c r="HP8" s="631"/>
      <c r="HQ8" s="631"/>
      <c r="HR8" s="631"/>
      <c r="HS8" s="631"/>
      <c r="HT8" s="631"/>
      <c r="HU8" s="631"/>
      <c r="HV8" s="631"/>
      <c r="HW8" s="631"/>
      <c r="HX8" s="631"/>
      <c r="HY8" s="631"/>
      <c r="HZ8" s="631"/>
      <c r="IA8" s="631"/>
      <c r="IB8" s="631"/>
      <c r="IC8" s="631"/>
      <c r="ID8" s="631"/>
      <c r="IE8" s="631"/>
      <c r="IF8" s="631"/>
      <c r="IG8" s="631"/>
      <c r="IH8" s="631"/>
      <c r="II8" s="631"/>
      <c r="IJ8" s="631"/>
      <c r="IK8" s="631"/>
      <c r="IL8" s="631"/>
      <c r="IM8" s="631"/>
      <c r="IN8" s="631"/>
      <c r="IO8" s="631"/>
      <c r="IP8" s="631"/>
      <c r="IQ8" s="631"/>
      <c r="IR8" s="44"/>
    </row>
    <row r="9" spans="1:252" ht="66.95" customHeight="1" x14ac:dyDescent="0.3">
      <c r="A9" s="2465">
        <v>2</v>
      </c>
      <c r="B9" s="2466">
        <v>1</v>
      </c>
      <c r="C9" s="2469" t="s">
        <v>860</v>
      </c>
      <c r="D9" s="2470"/>
      <c r="E9" s="2471">
        <v>50000</v>
      </c>
      <c r="F9" s="2480"/>
    </row>
    <row r="10" spans="1:252" ht="16.5" customHeight="1" thickBot="1" x14ac:dyDescent="0.35">
      <c r="A10" s="2465"/>
      <c r="B10" s="2468"/>
      <c r="C10" s="1109"/>
      <c r="D10" s="1110" t="s">
        <v>719</v>
      </c>
      <c r="E10" s="2473"/>
      <c r="F10" s="2481"/>
      <c r="G10" s="606"/>
      <c r="H10" s="606"/>
      <c r="I10" s="606"/>
      <c r="J10" s="606"/>
      <c r="K10" s="606"/>
      <c r="L10" s="606"/>
      <c r="M10" s="606"/>
      <c r="N10" s="606"/>
      <c r="O10" s="606"/>
      <c r="P10" s="606"/>
      <c r="Q10" s="606"/>
      <c r="R10" s="606"/>
      <c r="S10" s="606"/>
      <c r="T10" s="606"/>
      <c r="U10" s="606"/>
      <c r="V10" s="606"/>
      <c r="W10" s="606"/>
      <c r="X10" s="606"/>
      <c r="Y10" s="606"/>
      <c r="Z10" s="606"/>
      <c r="AA10" s="606"/>
      <c r="AB10" s="606"/>
      <c r="AC10" s="606"/>
      <c r="AD10" s="606"/>
      <c r="AE10" s="606"/>
      <c r="AF10" s="606"/>
      <c r="AG10" s="606"/>
      <c r="AH10" s="606"/>
      <c r="AI10" s="606"/>
      <c r="AJ10" s="606"/>
      <c r="AK10" s="606"/>
      <c r="AL10" s="606"/>
      <c r="AM10" s="606"/>
      <c r="AN10" s="606"/>
      <c r="AO10" s="606"/>
      <c r="AP10" s="606"/>
      <c r="AQ10" s="606"/>
      <c r="AR10" s="606"/>
      <c r="AS10" s="606"/>
      <c r="AT10" s="606"/>
      <c r="AU10" s="606"/>
      <c r="AV10" s="606"/>
      <c r="AW10" s="606"/>
      <c r="AX10" s="606"/>
      <c r="AY10" s="606"/>
      <c r="AZ10" s="606"/>
      <c r="BA10" s="606"/>
      <c r="BB10" s="606"/>
      <c r="BC10" s="606"/>
      <c r="BD10" s="606"/>
      <c r="BE10" s="606"/>
      <c r="BF10" s="606"/>
      <c r="BG10" s="606"/>
      <c r="BH10" s="606"/>
      <c r="BI10" s="606"/>
      <c r="BJ10" s="606"/>
      <c r="BK10" s="606"/>
      <c r="BL10" s="606"/>
      <c r="BM10" s="606"/>
      <c r="BN10" s="606"/>
      <c r="BO10" s="606"/>
      <c r="BP10" s="606"/>
      <c r="BQ10" s="606"/>
      <c r="BR10" s="606"/>
      <c r="BS10" s="606"/>
      <c r="BT10" s="606"/>
      <c r="BU10" s="606"/>
      <c r="BV10" s="606"/>
      <c r="BW10" s="606"/>
      <c r="BX10" s="606"/>
      <c r="BY10" s="606"/>
      <c r="BZ10" s="606"/>
      <c r="CA10" s="606"/>
      <c r="CB10" s="606"/>
      <c r="CC10" s="606"/>
      <c r="CD10" s="606"/>
      <c r="CE10" s="606"/>
      <c r="CF10" s="606"/>
      <c r="CG10" s="606"/>
      <c r="CH10" s="606"/>
      <c r="CI10" s="606"/>
      <c r="CJ10" s="606"/>
      <c r="CK10" s="606"/>
      <c r="CL10" s="606"/>
      <c r="CM10" s="606"/>
      <c r="CN10" s="606"/>
      <c r="CO10" s="606"/>
      <c r="CP10" s="606"/>
      <c r="CQ10" s="606"/>
      <c r="CR10" s="606"/>
      <c r="CS10" s="606"/>
      <c r="CT10" s="606"/>
      <c r="CU10" s="606"/>
      <c r="CV10" s="606"/>
      <c r="CW10" s="606"/>
      <c r="CX10" s="606"/>
      <c r="CY10" s="606"/>
      <c r="CZ10" s="606"/>
      <c r="DA10" s="606"/>
      <c r="DB10" s="606"/>
      <c r="DC10" s="606"/>
      <c r="DD10" s="606"/>
      <c r="DE10" s="606"/>
      <c r="DF10" s="606"/>
      <c r="DG10" s="606"/>
      <c r="DH10" s="606"/>
      <c r="DI10" s="606"/>
      <c r="DJ10" s="606"/>
      <c r="DK10" s="606"/>
      <c r="DL10" s="606"/>
      <c r="DM10" s="606"/>
      <c r="DN10" s="606"/>
      <c r="DO10" s="606"/>
      <c r="DP10" s="606"/>
      <c r="DQ10" s="606"/>
      <c r="DR10" s="606"/>
      <c r="DS10" s="606"/>
      <c r="DT10" s="606"/>
      <c r="DU10" s="606"/>
      <c r="DV10" s="606"/>
      <c r="DW10" s="606"/>
      <c r="DX10" s="606"/>
      <c r="DY10" s="606"/>
      <c r="DZ10" s="606"/>
      <c r="EA10" s="606"/>
      <c r="EB10" s="606"/>
      <c r="EC10" s="606"/>
      <c r="ED10" s="606"/>
      <c r="EE10" s="606"/>
      <c r="EF10" s="606"/>
      <c r="EG10" s="606"/>
      <c r="EH10" s="606"/>
      <c r="EI10" s="606"/>
      <c r="EJ10" s="606"/>
      <c r="EK10" s="606"/>
      <c r="EL10" s="606"/>
      <c r="EM10" s="606"/>
      <c r="EN10" s="606"/>
      <c r="EO10" s="606"/>
      <c r="EP10" s="606"/>
      <c r="EQ10" s="606"/>
      <c r="ER10" s="606"/>
      <c r="ES10" s="606"/>
      <c r="ET10" s="606"/>
      <c r="EU10" s="606"/>
      <c r="EV10" s="606"/>
      <c r="EW10" s="606"/>
      <c r="EX10" s="606"/>
      <c r="EY10" s="606"/>
      <c r="EZ10" s="606"/>
      <c r="FA10" s="606"/>
      <c r="FB10" s="606"/>
      <c r="FC10" s="606"/>
      <c r="FD10" s="606"/>
      <c r="FE10" s="606"/>
      <c r="FF10" s="606"/>
      <c r="FG10" s="606"/>
      <c r="FH10" s="606"/>
      <c r="FI10" s="606"/>
      <c r="FJ10" s="606"/>
      <c r="FK10" s="606"/>
      <c r="FL10" s="606"/>
      <c r="FM10" s="606"/>
      <c r="FN10" s="606"/>
      <c r="FO10" s="606"/>
      <c r="FP10" s="606"/>
      <c r="FQ10" s="606"/>
      <c r="FR10" s="606"/>
      <c r="FS10" s="606"/>
      <c r="FT10" s="606"/>
      <c r="FU10" s="606"/>
      <c r="FV10" s="606"/>
      <c r="FW10" s="606"/>
      <c r="FX10" s="606"/>
      <c r="FY10" s="606"/>
      <c r="FZ10" s="606"/>
      <c r="GA10" s="606"/>
      <c r="GB10" s="606"/>
      <c r="GC10" s="606"/>
      <c r="GD10" s="606"/>
      <c r="GE10" s="606"/>
      <c r="GF10" s="606"/>
      <c r="GG10" s="606"/>
      <c r="GH10" s="606"/>
      <c r="GI10" s="606"/>
      <c r="GJ10" s="606"/>
      <c r="GK10" s="606"/>
      <c r="GL10" s="606"/>
      <c r="GM10" s="606"/>
      <c r="GN10" s="606"/>
      <c r="GO10" s="606"/>
      <c r="GP10" s="606"/>
      <c r="GQ10" s="606"/>
      <c r="GR10" s="606"/>
      <c r="GS10" s="606"/>
      <c r="GT10" s="606"/>
      <c r="GU10" s="606"/>
      <c r="GV10" s="606"/>
      <c r="GW10" s="606"/>
      <c r="GX10" s="606"/>
      <c r="GY10" s="606"/>
      <c r="GZ10" s="606"/>
      <c r="HA10" s="606"/>
      <c r="HB10" s="606"/>
      <c r="HC10" s="606"/>
      <c r="HD10" s="606"/>
      <c r="HE10" s="606"/>
      <c r="HF10" s="606"/>
      <c r="HG10" s="606"/>
      <c r="HH10" s="606"/>
      <c r="HI10" s="606"/>
      <c r="HJ10" s="606"/>
      <c r="HK10" s="606"/>
      <c r="HL10" s="606"/>
      <c r="HM10" s="606"/>
      <c r="HN10" s="606"/>
      <c r="HO10" s="606"/>
      <c r="HP10" s="606"/>
      <c r="HQ10" s="606"/>
      <c r="HR10" s="606"/>
      <c r="HS10" s="606"/>
      <c r="HT10" s="606"/>
      <c r="HU10" s="606"/>
      <c r="HV10" s="606"/>
      <c r="HW10" s="606"/>
      <c r="HX10" s="606"/>
      <c r="HY10" s="606"/>
      <c r="HZ10" s="606"/>
      <c r="IA10" s="606"/>
      <c r="IB10" s="606"/>
      <c r="IC10" s="606"/>
      <c r="ID10" s="606"/>
      <c r="IE10" s="606"/>
      <c r="IF10" s="606"/>
      <c r="IG10" s="606"/>
      <c r="IH10" s="606"/>
      <c r="II10" s="606"/>
      <c r="IJ10" s="606"/>
      <c r="IK10" s="606"/>
      <c r="IL10" s="606"/>
      <c r="IM10" s="606"/>
      <c r="IN10" s="606"/>
      <c r="IO10" s="606"/>
      <c r="IP10" s="606"/>
      <c r="IQ10" s="606"/>
      <c r="IR10" s="44"/>
    </row>
    <row r="11" spans="1:252" ht="36.950000000000003" customHeight="1" x14ac:dyDescent="0.3">
      <c r="A11" s="2465">
        <v>3</v>
      </c>
      <c r="B11" s="2466">
        <v>2</v>
      </c>
      <c r="C11" s="2469" t="s">
        <v>861</v>
      </c>
      <c r="D11" s="2470"/>
      <c r="E11" s="2471">
        <v>50000</v>
      </c>
      <c r="F11" s="2474">
        <v>184000</v>
      </c>
      <c r="G11" s="606"/>
      <c r="H11" s="606"/>
      <c r="I11" s="606"/>
      <c r="J11" s="606"/>
      <c r="K11" s="606"/>
      <c r="L11" s="606"/>
      <c r="M11" s="606"/>
      <c r="N11" s="606" t="s">
        <v>252</v>
      </c>
      <c r="O11" s="606"/>
      <c r="P11" s="606"/>
      <c r="Q11" s="606"/>
      <c r="R11" s="606"/>
      <c r="S11" s="606"/>
      <c r="T11" s="606"/>
      <c r="U11" s="606"/>
      <c r="V11" s="606"/>
      <c r="W11" s="606"/>
      <c r="X11" s="606"/>
      <c r="Y11" s="606"/>
      <c r="Z11" s="606"/>
      <c r="AA11" s="606"/>
      <c r="AB11" s="606"/>
      <c r="AC11" s="606"/>
      <c r="AD11" s="606"/>
      <c r="AE11" s="606"/>
      <c r="AF11" s="606"/>
      <c r="AG11" s="606"/>
      <c r="AH11" s="606"/>
      <c r="AI11" s="606"/>
      <c r="AJ11" s="606"/>
      <c r="AK11" s="606"/>
      <c r="AL11" s="606"/>
      <c r="AM11" s="606"/>
      <c r="AN11" s="606"/>
      <c r="AO11" s="606"/>
      <c r="AP11" s="606"/>
      <c r="AQ11" s="606"/>
      <c r="AR11" s="606"/>
      <c r="AS11" s="606"/>
      <c r="AT11" s="606"/>
      <c r="AU11" s="606"/>
      <c r="AV11" s="606"/>
      <c r="AW11" s="606"/>
      <c r="AX11" s="606"/>
      <c r="AY11" s="606"/>
      <c r="AZ11" s="606"/>
      <c r="BA11" s="606"/>
      <c r="BB11" s="606"/>
      <c r="BC11" s="606"/>
      <c r="BD11" s="606"/>
      <c r="BE11" s="606"/>
      <c r="BF11" s="606"/>
      <c r="BG11" s="606"/>
      <c r="BH11" s="606"/>
      <c r="BI11" s="606"/>
      <c r="BJ11" s="606"/>
      <c r="BK11" s="606"/>
      <c r="BL11" s="606"/>
      <c r="BM11" s="606"/>
      <c r="BN11" s="606"/>
      <c r="BO11" s="606"/>
      <c r="BP11" s="606"/>
      <c r="BQ11" s="606"/>
      <c r="BR11" s="606"/>
      <c r="BS11" s="606"/>
      <c r="BT11" s="606"/>
      <c r="BU11" s="606"/>
      <c r="BV11" s="606"/>
      <c r="BW11" s="606"/>
      <c r="BX11" s="606"/>
      <c r="BY11" s="606"/>
      <c r="BZ11" s="606"/>
      <c r="CA11" s="606"/>
      <c r="CB11" s="606"/>
      <c r="CC11" s="606"/>
      <c r="CD11" s="606"/>
      <c r="CE11" s="606"/>
      <c r="CF11" s="606"/>
      <c r="CG11" s="606"/>
      <c r="CH11" s="606"/>
      <c r="CI11" s="606"/>
      <c r="CJ11" s="606"/>
      <c r="CK11" s="606"/>
      <c r="CL11" s="606"/>
      <c r="CM11" s="606"/>
      <c r="CN11" s="606"/>
      <c r="CO11" s="606"/>
      <c r="CP11" s="606"/>
      <c r="CQ11" s="606"/>
      <c r="CR11" s="606"/>
      <c r="CS11" s="606"/>
      <c r="CT11" s="606"/>
      <c r="CU11" s="606"/>
      <c r="CV11" s="606"/>
      <c r="CW11" s="606"/>
      <c r="CX11" s="606"/>
      <c r="CY11" s="606"/>
      <c r="CZ11" s="606"/>
      <c r="DA11" s="606"/>
      <c r="DB11" s="606"/>
      <c r="DC11" s="606"/>
      <c r="DD11" s="606"/>
      <c r="DE11" s="606"/>
      <c r="DF11" s="606"/>
      <c r="DG11" s="606"/>
      <c r="DH11" s="606"/>
      <c r="DI11" s="606"/>
      <c r="DJ11" s="606"/>
      <c r="DK11" s="606"/>
      <c r="DL11" s="606"/>
      <c r="DM11" s="606"/>
      <c r="DN11" s="606"/>
      <c r="DO11" s="606"/>
      <c r="DP11" s="606"/>
      <c r="DQ11" s="606"/>
      <c r="DR11" s="606"/>
      <c r="DS11" s="606"/>
      <c r="DT11" s="606"/>
      <c r="DU11" s="606"/>
      <c r="DV11" s="606"/>
      <c r="DW11" s="606"/>
      <c r="DX11" s="606"/>
      <c r="DY11" s="606"/>
      <c r="DZ11" s="606"/>
      <c r="EA11" s="606"/>
      <c r="EB11" s="606"/>
      <c r="EC11" s="606"/>
      <c r="ED11" s="606"/>
      <c r="EE11" s="606"/>
      <c r="EF11" s="606"/>
      <c r="EG11" s="606"/>
      <c r="EH11" s="606"/>
      <c r="EI11" s="606"/>
      <c r="EJ11" s="606"/>
      <c r="EK11" s="606"/>
      <c r="EL11" s="606"/>
      <c r="EM11" s="606"/>
      <c r="EN11" s="606"/>
      <c r="EO11" s="606"/>
      <c r="EP11" s="606"/>
      <c r="EQ11" s="606"/>
      <c r="ER11" s="606"/>
      <c r="ES11" s="606"/>
      <c r="ET11" s="606"/>
      <c r="EU11" s="606"/>
      <c r="EV11" s="606"/>
      <c r="EW11" s="606"/>
      <c r="EX11" s="606"/>
      <c r="EY11" s="606"/>
      <c r="EZ11" s="606"/>
      <c r="FA11" s="606"/>
      <c r="FB11" s="606"/>
      <c r="FC11" s="606"/>
      <c r="FD11" s="606"/>
      <c r="FE11" s="606"/>
      <c r="FF11" s="606"/>
      <c r="FG11" s="606"/>
      <c r="FH11" s="606"/>
      <c r="FI11" s="606"/>
      <c r="FJ11" s="606"/>
      <c r="FK11" s="606"/>
      <c r="FL11" s="606"/>
      <c r="FM11" s="606"/>
      <c r="FN11" s="606"/>
      <c r="FO11" s="606"/>
      <c r="FP11" s="606"/>
      <c r="FQ11" s="606"/>
      <c r="FR11" s="606"/>
      <c r="FS11" s="606"/>
      <c r="FT11" s="606"/>
      <c r="FU11" s="606"/>
      <c r="FV11" s="606"/>
      <c r="FW11" s="606"/>
      <c r="FX11" s="606"/>
      <c r="FY11" s="606"/>
      <c r="FZ11" s="606"/>
      <c r="GA11" s="606"/>
      <c r="GB11" s="606"/>
      <c r="GC11" s="606"/>
      <c r="GD11" s="606"/>
      <c r="GE11" s="606"/>
      <c r="GF11" s="606"/>
      <c r="GG11" s="606"/>
      <c r="GH11" s="606"/>
      <c r="GI11" s="606"/>
      <c r="GJ11" s="606"/>
      <c r="GK11" s="606"/>
      <c r="GL11" s="606"/>
      <c r="GM11" s="606"/>
      <c r="GN11" s="606"/>
      <c r="GO11" s="606"/>
      <c r="GP11" s="606"/>
      <c r="GQ11" s="606"/>
      <c r="GR11" s="606"/>
      <c r="GS11" s="606"/>
      <c r="GT11" s="606"/>
      <c r="GU11" s="606"/>
      <c r="GV11" s="606"/>
      <c r="GW11" s="606"/>
      <c r="GX11" s="606"/>
      <c r="GY11" s="606"/>
      <c r="GZ11" s="606"/>
      <c r="HA11" s="606"/>
      <c r="HB11" s="606"/>
      <c r="HC11" s="606"/>
      <c r="HD11" s="606"/>
      <c r="HE11" s="606"/>
      <c r="HF11" s="606"/>
      <c r="HG11" s="606"/>
      <c r="HH11" s="606"/>
      <c r="HI11" s="606"/>
      <c r="HJ11" s="606"/>
      <c r="HK11" s="606"/>
      <c r="HL11" s="606"/>
      <c r="HM11" s="606"/>
      <c r="HN11" s="606"/>
      <c r="HO11" s="606"/>
      <c r="HP11" s="606"/>
      <c r="HQ11" s="606"/>
      <c r="HR11" s="606"/>
      <c r="HS11" s="606"/>
      <c r="HT11" s="606"/>
      <c r="HU11" s="606"/>
      <c r="HV11" s="606"/>
      <c r="HW11" s="606"/>
      <c r="HX11" s="606"/>
      <c r="HY11" s="606"/>
      <c r="HZ11" s="606"/>
      <c r="IA11" s="606"/>
      <c r="IB11" s="606"/>
      <c r="IC11" s="606"/>
      <c r="ID11" s="606"/>
      <c r="IE11" s="606"/>
      <c r="IF11" s="606"/>
      <c r="IG11" s="606"/>
      <c r="IH11" s="606"/>
      <c r="II11" s="606"/>
      <c r="IJ11" s="606"/>
      <c r="IK11" s="606"/>
      <c r="IL11" s="606"/>
      <c r="IM11" s="606"/>
      <c r="IN11" s="606"/>
      <c r="IO11" s="606"/>
      <c r="IP11" s="606"/>
      <c r="IQ11" s="606"/>
      <c r="IR11" s="44"/>
    </row>
    <row r="12" spans="1:252" ht="15.95" customHeight="1" x14ac:dyDescent="0.3">
      <c r="A12" s="2465"/>
      <c r="B12" s="2467"/>
      <c r="C12" s="1111"/>
      <c r="D12" s="1112" t="s">
        <v>389</v>
      </c>
      <c r="E12" s="2472"/>
      <c r="F12" s="2475"/>
      <c r="G12" s="606"/>
      <c r="H12" s="606"/>
      <c r="I12" s="606"/>
      <c r="J12" s="606"/>
      <c r="K12" s="606"/>
      <c r="L12" s="606"/>
      <c r="M12" s="606"/>
      <c r="N12" s="606"/>
      <c r="O12" s="606"/>
      <c r="P12" s="606"/>
      <c r="Q12" s="606"/>
      <c r="R12" s="606"/>
      <c r="S12" s="606"/>
      <c r="T12" s="606"/>
      <c r="U12" s="606"/>
      <c r="V12" s="606"/>
      <c r="W12" s="606"/>
      <c r="X12" s="606"/>
      <c r="Y12" s="606"/>
      <c r="Z12" s="606"/>
      <c r="AA12" s="606"/>
      <c r="AB12" s="606"/>
      <c r="AC12" s="606"/>
      <c r="AD12" s="606"/>
      <c r="AE12" s="606"/>
      <c r="AF12" s="606"/>
      <c r="AG12" s="606"/>
      <c r="AH12" s="606"/>
      <c r="AI12" s="606"/>
      <c r="AJ12" s="606"/>
      <c r="AK12" s="606"/>
      <c r="AL12" s="606"/>
      <c r="AM12" s="606"/>
      <c r="AN12" s="606"/>
      <c r="AO12" s="606"/>
      <c r="AP12" s="606"/>
      <c r="AQ12" s="606"/>
      <c r="AR12" s="606"/>
      <c r="AS12" s="606"/>
      <c r="AT12" s="606"/>
      <c r="AU12" s="606"/>
      <c r="AV12" s="606"/>
      <c r="AW12" s="606"/>
      <c r="AX12" s="606"/>
      <c r="AY12" s="606"/>
      <c r="AZ12" s="606"/>
      <c r="BA12" s="606"/>
      <c r="BB12" s="606"/>
      <c r="BC12" s="606"/>
      <c r="BD12" s="606"/>
      <c r="BE12" s="606"/>
      <c r="BF12" s="606"/>
      <c r="BG12" s="606"/>
      <c r="BH12" s="606"/>
      <c r="BI12" s="606"/>
      <c r="BJ12" s="606"/>
      <c r="BK12" s="606"/>
      <c r="BL12" s="606"/>
      <c r="BM12" s="606"/>
      <c r="BN12" s="606"/>
      <c r="BO12" s="606"/>
      <c r="BP12" s="606"/>
      <c r="BQ12" s="606"/>
      <c r="BR12" s="606"/>
      <c r="BS12" s="606"/>
      <c r="BT12" s="606"/>
      <c r="BU12" s="606"/>
      <c r="BV12" s="606"/>
      <c r="BW12" s="606"/>
      <c r="BX12" s="606"/>
      <c r="BY12" s="606"/>
      <c r="BZ12" s="606"/>
      <c r="CA12" s="606"/>
      <c r="CB12" s="606"/>
      <c r="CC12" s="606"/>
      <c r="CD12" s="606"/>
      <c r="CE12" s="606"/>
      <c r="CF12" s="606"/>
      <c r="CG12" s="606"/>
      <c r="CH12" s="606"/>
      <c r="CI12" s="606"/>
      <c r="CJ12" s="606"/>
      <c r="CK12" s="606"/>
      <c r="CL12" s="606"/>
      <c r="CM12" s="606"/>
      <c r="CN12" s="606"/>
      <c r="CO12" s="606"/>
      <c r="CP12" s="606"/>
      <c r="CQ12" s="606"/>
      <c r="CR12" s="606"/>
      <c r="CS12" s="606"/>
      <c r="CT12" s="606"/>
      <c r="CU12" s="606"/>
      <c r="CV12" s="606"/>
      <c r="CW12" s="606"/>
      <c r="CX12" s="606"/>
      <c r="CY12" s="606"/>
      <c r="CZ12" s="606"/>
      <c r="DA12" s="606"/>
      <c r="DB12" s="606"/>
      <c r="DC12" s="606"/>
      <c r="DD12" s="606"/>
      <c r="DE12" s="606"/>
      <c r="DF12" s="606"/>
      <c r="DG12" s="606"/>
      <c r="DH12" s="606"/>
      <c r="DI12" s="606"/>
      <c r="DJ12" s="606"/>
      <c r="DK12" s="606"/>
      <c r="DL12" s="606"/>
      <c r="DM12" s="606"/>
      <c r="DN12" s="606"/>
      <c r="DO12" s="606"/>
      <c r="DP12" s="606"/>
      <c r="DQ12" s="606"/>
      <c r="DR12" s="606"/>
      <c r="DS12" s="606"/>
      <c r="DT12" s="606"/>
      <c r="DU12" s="606"/>
      <c r="DV12" s="606"/>
      <c r="DW12" s="606"/>
      <c r="DX12" s="606"/>
      <c r="DY12" s="606"/>
      <c r="DZ12" s="606"/>
      <c r="EA12" s="606"/>
      <c r="EB12" s="606"/>
      <c r="EC12" s="606"/>
      <c r="ED12" s="606"/>
      <c r="EE12" s="606"/>
      <c r="EF12" s="606"/>
      <c r="EG12" s="606"/>
      <c r="EH12" s="606"/>
      <c r="EI12" s="606"/>
      <c r="EJ12" s="606"/>
      <c r="EK12" s="606"/>
      <c r="EL12" s="606"/>
      <c r="EM12" s="606"/>
      <c r="EN12" s="606"/>
      <c r="EO12" s="606"/>
      <c r="EP12" s="606"/>
      <c r="EQ12" s="606"/>
      <c r="ER12" s="606"/>
      <c r="ES12" s="606"/>
      <c r="ET12" s="606"/>
      <c r="EU12" s="606"/>
      <c r="EV12" s="606"/>
      <c r="EW12" s="606"/>
      <c r="EX12" s="606"/>
      <c r="EY12" s="606"/>
      <c r="EZ12" s="606"/>
      <c r="FA12" s="606"/>
      <c r="FB12" s="606"/>
      <c r="FC12" s="606"/>
      <c r="FD12" s="606"/>
      <c r="FE12" s="606"/>
      <c r="FF12" s="606"/>
      <c r="FG12" s="606"/>
      <c r="FH12" s="606"/>
      <c r="FI12" s="606"/>
      <c r="FJ12" s="606"/>
      <c r="FK12" s="606"/>
      <c r="FL12" s="606"/>
      <c r="FM12" s="606"/>
      <c r="FN12" s="606"/>
      <c r="FO12" s="606"/>
      <c r="FP12" s="606"/>
      <c r="FQ12" s="606"/>
      <c r="FR12" s="606"/>
      <c r="FS12" s="606"/>
      <c r="FT12" s="606"/>
      <c r="FU12" s="606"/>
      <c r="FV12" s="606"/>
      <c r="FW12" s="606"/>
      <c r="FX12" s="606"/>
      <c r="FY12" s="606"/>
      <c r="FZ12" s="606"/>
      <c r="GA12" s="606"/>
      <c r="GB12" s="606"/>
      <c r="GC12" s="606"/>
      <c r="GD12" s="606"/>
      <c r="GE12" s="606"/>
      <c r="GF12" s="606"/>
      <c r="GG12" s="606"/>
      <c r="GH12" s="606"/>
      <c r="GI12" s="606"/>
      <c r="GJ12" s="606"/>
      <c r="GK12" s="606"/>
      <c r="GL12" s="606"/>
      <c r="GM12" s="606"/>
      <c r="GN12" s="606"/>
      <c r="GO12" s="606"/>
      <c r="GP12" s="606"/>
      <c r="GQ12" s="606"/>
      <c r="GR12" s="606"/>
      <c r="GS12" s="606"/>
      <c r="GT12" s="606"/>
      <c r="GU12" s="606"/>
      <c r="GV12" s="606"/>
      <c r="GW12" s="606"/>
      <c r="GX12" s="606"/>
      <c r="GY12" s="606"/>
      <c r="GZ12" s="606"/>
      <c r="HA12" s="606"/>
      <c r="HB12" s="606"/>
      <c r="HC12" s="606"/>
      <c r="HD12" s="606"/>
      <c r="HE12" s="606"/>
      <c r="HF12" s="606"/>
      <c r="HG12" s="606"/>
      <c r="HH12" s="606"/>
      <c r="HI12" s="606"/>
      <c r="HJ12" s="606"/>
      <c r="HK12" s="606"/>
      <c r="HL12" s="606"/>
      <c r="HM12" s="606"/>
      <c r="HN12" s="606"/>
      <c r="HO12" s="606"/>
      <c r="HP12" s="606"/>
      <c r="HQ12" s="606"/>
      <c r="HR12" s="606"/>
      <c r="HS12" s="606"/>
      <c r="HT12" s="606"/>
      <c r="HU12" s="606"/>
      <c r="HV12" s="606"/>
      <c r="HW12" s="606"/>
      <c r="HX12" s="606"/>
      <c r="HY12" s="606"/>
      <c r="HZ12" s="606"/>
      <c r="IA12" s="606"/>
      <c r="IB12" s="606"/>
      <c r="IC12" s="606"/>
      <c r="ID12" s="606"/>
      <c r="IE12" s="606"/>
      <c r="IF12" s="606"/>
      <c r="IG12" s="606"/>
      <c r="IH12" s="606"/>
      <c r="II12" s="606"/>
      <c r="IJ12" s="606"/>
      <c r="IK12" s="606"/>
      <c r="IL12" s="606"/>
      <c r="IM12" s="606"/>
      <c r="IN12" s="606"/>
      <c r="IO12" s="606"/>
      <c r="IP12" s="606"/>
      <c r="IQ12" s="606"/>
      <c r="IR12" s="44"/>
    </row>
    <row r="13" spans="1:252" ht="17.25" customHeight="1" thickBot="1" x14ac:dyDescent="0.35">
      <c r="A13" s="2465"/>
      <c r="B13" s="2468"/>
      <c r="C13" s="1109"/>
      <c r="D13" s="1110" t="s">
        <v>605</v>
      </c>
      <c r="E13" s="2473"/>
      <c r="F13" s="2476"/>
      <c r="IL13" s="41"/>
      <c r="IM13" s="41"/>
      <c r="IN13" s="41"/>
      <c r="IO13" s="41"/>
      <c r="IP13" s="41"/>
      <c r="IQ13" s="41"/>
    </row>
    <row r="14" spans="1:252" ht="54" customHeight="1" x14ac:dyDescent="0.3">
      <c r="A14" s="2465">
        <v>4</v>
      </c>
      <c r="B14" s="2466">
        <v>3</v>
      </c>
      <c r="C14" s="2477" t="s">
        <v>862</v>
      </c>
      <c r="D14" s="2470"/>
      <c r="E14" s="2471">
        <v>232000</v>
      </c>
      <c r="F14" s="2474">
        <v>109000</v>
      </c>
    </row>
    <row r="15" spans="1:252" ht="33" x14ac:dyDescent="0.3">
      <c r="A15" s="2465"/>
      <c r="B15" s="2467"/>
      <c r="C15" s="1111"/>
      <c r="D15" s="1112" t="s">
        <v>863</v>
      </c>
      <c r="E15" s="2472"/>
      <c r="F15" s="2475"/>
    </row>
    <row r="16" spans="1:252" ht="33" x14ac:dyDescent="0.3">
      <c r="A16" s="2465"/>
      <c r="B16" s="2467"/>
      <c r="C16" s="1111"/>
      <c r="D16" s="1112" t="s">
        <v>864</v>
      </c>
      <c r="E16" s="2472"/>
      <c r="F16" s="2475"/>
    </row>
    <row r="17" spans="1:6" ht="16.5" x14ac:dyDescent="0.3">
      <c r="A17" s="2465"/>
      <c r="B17" s="2467"/>
      <c r="C17" s="1111"/>
      <c r="D17" s="1112" t="s">
        <v>865</v>
      </c>
      <c r="E17" s="2472"/>
      <c r="F17" s="2475"/>
    </row>
    <row r="18" spans="1:6" ht="33.75" thickBot="1" x14ac:dyDescent="0.35">
      <c r="A18" s="2465"/>
      <c r="B18" s="2468"/>
      <c r="C18" s="1109"/>
      <c r="D18" s="1110" t="s">
        <v>866</v>
      </c>
      <c r="E18" s="2473"/>
      <c r="F18" s="2476"/>
    </row>
    <row r="19" spans="1:6" ht="53.1" customHeight="1" x14ac:dyDescent="0.3">
      <c r="A19" s="2465">
        <v>5</v>
      </c>
      <c r="B19" s="2466">
        <v>4</v>
      </c>
      <c r="C19" s="2477" t="s">
        <v>867</v>
      </c>
      <c r="D19" s="2470"/>
      <c r="E19" s="2478"/>
      <c r="F19" s="2474">
        <v>44000</v>
      </c>
    </row>
    <row r="20" spans="1:6" ht="14.1" customHeight="1" x14ac:dyDescent="0.3">
      <c r="A20" s="2465"/>
      <c r="B20" s="2467"/>
      <c r="C20" s="1111"/>
      <c r="D20" s="1112" t="s">
        <v>868</v>
      </c>
      <c r="E20" s="2479"/>
      <c r="F20" s="2475"/>
    </row>
    <row r="21" spans="1:6" ht="15.95" customHeight="1" thickBot="1" x14ac:dyDescent="0.35">
      <c r="A21" s="2465"/>
      <c r="B21" s="2467"/>
      <c r="C21" s="1109"/>
      <c r="D21" s="1110" t="s">
        <v>869</v>
      </c>
      <c r="E21" s="2479"/>
      <c r="F21" s="2475"/>
    </row>
    <row r="22" spans="1:6" ht="66.599999999999994" customHeight="1" x14ac:dyDescent="0.3">
      <c r="A22" s="2465">
        <v>6</v>
      </c>
      <c r="B22" s="2466">
        <v>5</v>
      </c>
      <c r="C22" s="2469" t="s">
        <v>870</v>
      </c>
      <c r="D22" s="2470"/>
      <c r="E22" s="2471">
        <v>297000</v>
      </c>
      <c r="F22" s="2474">
        <v>294000</v>
      </c>
    </row>
    <row r="23" spans="1:6" ht="16.5" x14ac:dyDescent="0.3">
      <c r="A23" s="2465"/>
      <c r="B23" s="2467"/>
      <c r="C23" s="1113"/>
      <c r="D23" s="1114" t="s">
        <v>871</v>
      </c>
      <c r="E23" s="2472"/>
      <c r="F23" s="2475"/>
    </row>
    <row r="24" spans="1:6" ht="33" x14ac:dyDescent="0.3">
      <c r="A24" s="2465"/>
      <c r="B24" s="2467"/>
      <c r="C24" s="1113"/>
      <c r="D24" s="1114" t="s">
        <v>745</v>
      </c>
      <c r="E24" s="2472"/>
      <c r="F24" s="2475"/>
    </row>
    <row r="25" spans="1:6" ht="16.5" x14ac:dyDescent="0.3">
      <c r="A25" s="2465"/>
      <c r="B25" s="2467"/>
      <c r="C25" s="1113"/>
      <c r="D25" s="1114" t="s">
        <v>872</v>
      </c>
      <c r="E25" s="2472"/>
      <c r="F25" s="2475"/>
    </row>
    <row r="26" spans="1:6" ht="33" x14ac:dyDescent="0.3">
      <c r="A26" s="2465"/>
      <c r="B26" s="2467"/>
      <c r="C26" s="1113"/>
      <c r="D26" s="1114" t="s">
        <v>873</v>
      </c>
      <c r="E26" s="2472"/>
      <c r="F26" s="2475"/>
    </row>
    <row r="27" spans="1:6" ht="16.5" x14ac:dyDescent="0.3">
      <c r="A27" s="2465"/>
      <c r="B27" s="2467"/>
      <c r="C27" s="1113"/>
      <c r="D27" s="1114" t="s">
        <v>750</v>
      </c>
      <c r="E27" s="2472"/>
      <c r="F27" s="2475"/>
    </row>
    <row r="28" spans="1:6" ht="16.5" x14ac:dyDescent="0.3">
      <c r="A28" s="2465"/>
      <c r="B28" s="2467"/>
      <c r="C28" s="1113"/>
      <c r="D28" s="1114" t="s">
        <v>718</v>
      </c>
      <c r="E28" s="2472"/>
      <c r="F28" s="2475"/>
    </row>
    <row r="29" spans="1:6" ht="16.5" x14ac:dyDescent="0.3">
      <c r="A29" s="2465"/>
      <c r="B29" s="2467"/>
      <c r="C29" s="1113"/>
      <c r="D29" s="1114" t="s">
        <v>720</v>
      </c>
      <c r="E29" s="2472"/>
      <c r="F29" s="2475"/>
    </row>
    <row r="30" spans="1:6" ht="38.25" customHeight="1" thickBot="1" x14ac:dyDescent="0.35">
      <c r="A30" s="2465"/>
      <c r="B30" s="2467"/>
      <c r="C30" s="1115"/>
      <c r="D30" s="1116" t="s">
        <v>677</v>
      </c>
      <c r="E30" s="2473"/>
      <c r="F30" s="2476"/>
    </row>
    <row r="31" spans="1:6" ht="22.5" customHeight="1" thickBot="1" x14ac:dyDescent="0.35">
      <c r="A31" s="1107">
        <v>7</v>
      </c>
      <c r="B31" s="2458" t="s">
        <v>599</v>
      </c>
      <c r="C31" s="2459"/>
      <c r="D31" s="2460"/>
      <c r="E31" s="1117">
        <v>629000</v>
      </c>
      <c r="F31" s="1118">
        <v>631000</v>
      </c>
    </row>
    <row r="32" spans="1:6" ht="22.5" customHeight="1" thickBot="1" x14ac:dyDescent="0.35">
      <c r="A32" s="1107">
        <v>8</v>
      </c>
      <c r="B32" s="2458" t="s">
        <v>874</v>
      </c>
      <c r="C32" s="2459"/>
      <c r="D32" s="2460"/>
      <c r="E32" s="2461">
        <v>1260000</v>
      </c>
      <c r="F32" s="2462"/>
    </row>
    <row r="33" spans="2:6" ht="63" customHeight="1" x14ac:dyDescent="0.3">
      <c r="B33" s="2464" t="s">
        <v>922</v>
      </c>
      <c r="C33" s="2464"/>
      <c r="D33" s="2464"/>
      <c r="E33" s="2464"/>
      <c r="F33" s="2464"/>
    </row>
  </sheetData>
  <mergeCells count="34">
    <mergeCell ref="A22:A30"/>
    <mergeCell ref="B22:B30"/>
    <mergeCell ref="C22:D22"/>
    <mergeCell ref="E22:E30"/>
    <mergeCell ref="F22:F30"/>
    <mergeCell ref="A9:A10"/>
    <mergeCell ref="B9:B10"/>
    <mergeCell ref="C9:D9"/>
    <mergeCell ref="E9:E10"/>
    <mergeCell ref="F9:F10"/>
    <mergeCell ref="B33:F33"/>
    <mergeCell ref="A11:A13"/>
    <mergeCell ref="B11:B13"/>
    <mergeCell ref="C11:D11"/>
    <mergeCell ref="E11:E13"/>
    <mergeCell ref="F11:F13"/>
    <mergeCell ref="A19:A21"/>
    <mergeCell ref="B19:B21"/>
    <mergeCell ref="C19:D19"/>
    <mergeCell ref="E19:E21"/>
    <mergeCell ref="F19:F21"/>
    <mergeCell ref="A14:A18"/>
    <mergeCell ref="B14:B18"/>
    <mergeCell ref="C14:D14"/>
    <mergeCell ref="E14:E18"/>
    <mergeCell ref="F14:F18"/>
    <mergeCell ref="B8:D8"/>
    <mergeCell ref="B1:D1"/>
    <mergeCell ref="B3:F3"/>
    <mergeCell ref="B4:F4"/>
    <mergeCell ref="B32:D32"/>
    <mergeCell ref="E32:F32"/>
    <mergeCell ref="B31:D31"/>
    <mergeCell ref="B7:D7"/>
  </mergeCells>
  <printOptions horizontalCentered="1"/>
  <pageMargins left="0.19685039370078741" right="0.19685039370078741" top="0.59055118110236227" bottom="0.59055118110236227" header="0.51181102362204722" footer="0.51181102362204722"/>
  <pageSetup paperSize="9" scale="84" orientation="portrait" r:id="rId1"/>
  <headerFooter>
    <oddFooter>&amp;C-&amp;P -</oddFooter>
  </headerFooter>
  <rowBreaks count="1" manualBreakCount="1">
    <brk id="21" max="5" man="1"/>
  </rowBreaks>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IR13"/>
  <sheetViews>
    <sheetView view="pageBreakPreview" zoomScaleNormal="100" zoomScaleSheetLayoutView="100" workbookViewId="0">
      <selection activeCell="K22" sqref="K22"/>
    </sheetView>
  </sheetViews>
  <sheetFormatPr defaultColWidth="3" defaultRowHeight="17.25" x14ac:dyDescent="0.3"/>
  <cols>
    <col min="1" max="1" width="4.42578125" style="603" customWidth="1"/>
    <col min="2" max="2" width="60.7109375" style="609" customWidth="1"/>
    <col min="3" max="3" width="16" style="610" customWidth="1"/>
    <col min="4" max="250" width="8" style="607" customWidth="1"/>
    <col min="251" max="251" width="3" style="607" bestFit="1" customWidth="1"/>
    <col min="252" max="16384" width="3" style="41"/>
  </cols>
  <sheetData>
    <row r="1" spans="1:252" x14ac:dyDescent="0.3">
      <c r="B1" s="1" t="s">
        <v>898</v>
      </c>
      <c r="C1" s="604"/>
      <c r="D1" s="605"/>
      <c r="E1" s="605"/>
      <c r="F1" s="605"/>
      <c r="G1" s="605"/>
      <c r="H1" s="605"/>
      <c r="I1" s="605"/>
      <c r="J1" s="605"/>
      <c r="K1" s="605"/>
      <c r="L1" s="605"/>
      <c r="M1" s="605"/>
      <c r="N1" s="605"/>
      <c r="O1" s="605"/>
      <c r="P1" s="605"/>
      <c r="Q1" s="605"/>
      <c r="R1" s="605"/>
      <c r="S1" s="605"/>
      <c r="T1" s="605"/>
      <c r="U1" s="605"/>
      <c r="V1" s="605"/>
      <c r="W1" s="605"/>
      <c r="X1" s="605"/>
      <c r="Y1" s="605"/>
      <c r="Z1" s="605"/>
      <c r="AA1" s="605"/>
      <c r="AB1" s="605"/>
      <c r="AC1" s="605"/>
      <c r="AD1" s="605"/>
      <c r="AE1" s="605"/>
      <c r="AF1" s="605"/>
      <c r="AG1" s="605"/>
      <c r="AH1" s="605"/>
      <c r="AI1" s="605"/>
      <c r="AJ1" s="605"/>
      <c r="AK1" s="605"/>
      <c r="AL1" s="605"/>
      <c r="AM1" s="605"/>
      <c r="AN1" s="605"/>
      <c r="AO1" s="605"/>
      <c r="AP1" s="605"/>
      <c r="AQ1" s="605"/>
      <c r="AR1" s="605"/>
      <c r="AS1" s="605"/>
      <c r="AT1" s="605"/>
      <c r="AU1" s="605"/>
      <c r="AV1" s="605"/>
      <c r="AW1" s="605"/>
      <c r="AX1" s="605"/>
      <c r="AY1" s="605"/>
      <c r="AZ1" s="605"/>
      <c r="BA1" s="605"/>
      <c r="BB1" s="605"/>
      <c r="BC1" s="605"/>
      <c r="BD1" s="605"/>
      <c r="BE1" s="605"/>
      <c r="BF1" s="605"/>
      <c r="BG1" s="605"/>
      <c r="BH1" s="605"/>
      <c r="BI1" s="605"/>
      <c r="BJ1" s="605"/>
      <c r="BK1" s="605"/>
      <c r="BL1" s="605"/>
      <c r="BM1" s="605"/>
      <c r="BN1" s="605"/>
      <c r="BO1" s="605"/>
      <c r="BP1" s="605"/>
      <c r="BQ1" s="605"/>
      <c r="BR1" s="605"/>
      <c r="BS1" s="605"/>
      <c r="BT1" s="605"/>
      <c r="BU1" s="605"/>
      <c r="BV1" s="605"/>
      <c r="BW1" s="605"/>
      <c r="BX1" s="605"/>
      <c r="BY1" s="605"/>
      <c r="BZ1" s="605"/>
      <c r="CA1" s="605"/>
      <c r="CB1" s="605"/>
      <c r="CC1" s="605"/>
      <c r="CD1" s="605"/>
      <c r="CE1" s="605"/>
      <c r="CF1" s="605"/>
      <c r="CG1" s="605"/>
      <c r="CH1" s="605"/>
      <c r="CI1" s="605"/>
      <c r="CJ1" s="605"/>
      <c r="CK1" s="605"/>
      <c r="CL1" s="605"/>
      <c r="CM1" s="605"/>
      <c r="CN1" s="605"/>
      <c r="CO1" s="605"/>
      <c r="CP1" s="605"/>
      <c r="CQ1" s="605"/>
      <c r="CR1" s="605"/>
      <c r="CS1" s="605"/>
      <c r="CT1" s="605"/>
      <c r="CU1" s="605"/>
      <c r="CV1" s="605"/>
      <c r="CW1" s="605"/>
      <c r="CX1" s="605"/>
      <c r="CY1" s="605"/>
      <c r="CZ1" s="605"/>
      <c r="DA1" s="605"/>
      <c r="DB1" s="605"/>
      <c r="DC1" s="605"/>
      <c r="DD1" s="605"/>
      <c r="DE1" s="605"/>
      <c r="DF1" s="605"/>
      <c r="DG1" s="605"/>
      <c r="DH1" s="605"/>
      <c r="DI1" s="605"/>
      <c r="DJ1" s="605"/>
      <c r="DK1" s="605"/>
      <c r="DL1" s="605"/>
      <c r="DM1" s="605"/>
      <c r="DN1" s="605"/>
      <c r="DO1" s="605"/>
      <c r="DP1" s="605"/>
      <c r="DQ1" s="605"/>
      <c r="DR1" s="605"/>
      <c r="DS1" s="605"/>
      <c r="DT1" s="605"/>
      <c r="DU1" s="605"/>
      <c r="DV1" s="605"/>
      <c r="DW1" s="605"/>
      <c r="DX1" s="605"/>
      <c r="DY1" s="605"/>
      <c r="DZ1" s="605"/>
      <c r="EA1" s="605"/>
      <c r="EB1" s="605"/>
      <c r="EC1" s="605"/>
      <c r="ED1" s="605"/>
      <c r="EE1" s="605"/>
      <c r="EF1" s="605"/>
      <c r="EG1" s="605"/>
      <c r="EH1" s="605"/>
      <c r="EI1" s="605"/>
      <c r="EJ1" s="605"/>
      <c r="EK1" s="605"/>
      <c r="EL1" s="605"/>
      <c r="EM1" s="605"/>
      <c r="EN1" s="605"/>
      <c r="EO1" s="605"/>
      <c r="EP1" s="605"/>
      <c r="EQ1" s="605"/>
      <c r="ER1" s="605"/>
      <c r="ES1" s="605"/>
      <c r="ET1" s="605"/>
      <c r="EU1" s="605"/>
      <c r="EV1" s="605"/>
      <c r="EW1" s="605"/>
      <c r="EX1" s="605"/>
      <c r="EY1" s="605"/>
      <c r="EZ1" s="605"/>
      <c r="FA1" s="605"/>
      <c r="FB1" s="605"/>
      <c r="FC1" s="605"/>
      <c r="FD1" s="605"/>
      <c r="FE1" s="605"/>
      <c r="FF1" s="605"/>
      <c r="FG1" s="605"/>
      <c r="FH1" s="605"/>
      <c r="FI1" s="605"/>
      <c r="FJ1" s="605"/>
      <c r="FK1" s="605"/>
      <c r="FL1" s="605"/>
      <c r="FM1" s="605"/>
      <c r="FN1" s="605"/>
      <c r="FO1" s="605"/>
      <c r="FP1" s="605"/>
      <c r="FQ1" s="605"/>
      <c r="FR1" s="605"/>
      <c r="FS1" s="605"/>
      <c r="FT1" s="605"/>
      <c r="FU1" s="605"/>
      <c r="FV1" s="605"/>
      <c r="FW1" s="605"/>
      <c r="FX1" s="605"/>
      <c r="FY1" s="605"/>
      <c r="FZ1" s="605"/>
      <c r="GA1" s="605"/>
      <c r="GB1" s="605"/>
      <c r="GC1" s="605"/>
      <c r="GD1" s="605"/>
      <c r="GE1" s="605"/>
      <c r="GF1" s="605"/>
      <c r="GG1" s="605"/>
      <c r="GH1" s="605"/>
      <c r="GI1" s="605"/>
      <c r="GJ1" s="605"/>
      <c r="GK1" s="605"/>
      <c r="GL1" s="605"/>
      <c r="GM1" s="605"/>
      <c r="GN1" s="605"/>
      <c r="GO1" s="605"/>
      <c r="GP1" s="605"/>
      <c r="GQ1" s="605"/>
      <c r="GR1" s="605"/>
      <c r="GS1" s="605"/>
      <c r="GT1" s="605"/>
      <c r="GU1" s="605"/>
      <c r="GV1" s="605"/>
      <c r="GW1" s="605"/>
      <c r="GX1" s="605"/>
      <c r="GY1" s="605"/>
      <c r="GZ1" s="605"/>
      <c r="HA1" s="605"/>
      <c r="HB1" s="605"/>
      <c r="HC1" s="605"/>
      <c r="HD1" s="605"/>
      <c r="HE1" s="605"/>
      <c r="HF1" s="605"/>
      <c r="HG1" s="605"/>
      <c r="HH1" s="605"/>
      <c r="HI1" s="605"/>
      <c r="HJ1" s="605"/>
      <c r="HK1" s="605"/>
      <c r="HL1" s="605"/>
      <c r="HM1" s="605"/>
      <c r="HN1" s="605"/>
      <c r="HO1" s="605"/>
      <c r="HP1" s="605"/>
      <c r="HQ1" s="605"/>
      <c r="HR1" s="605"/>
      <c r="HS1" s="605"/>
      <c r="HT1" s="605"/>
      <c r="HU1" s="605"/>
      <c r="HV1" s="605"/>
      <c r="HW1" s="605"/>
      <c r="HX1" s="605"/>
      <c r="HY1" s="605"/>
      <c r="HZ1" s="605"/>
      <c r="IA1" s="605"/>
      <c r="IB1" s="605"/>
      <c r="IC1" s="605"/>
      <c r="ID1" s="605"/>
      <c r="IE1" s="605"/>
      <c r="IF1" s="605"/>
      <c r="IG1" s="605"/>
      <c r="IH1" s="605"/>
      <c r="II1" s="605"/>
      <c r="IJ1" s="605"/>
      <c r="IK1" s="605"/>
      <c r="IL1" s="605"/>
      <c r="IM1" s="605"/>
      <c r="IN1" s="605"/>
      <c r="IO1" s="605"/>
      <c r="IP1" s="605"/>
      <c r="IQ1" s="605"/>
      <c r="IR1" s="237"/>
    </row>
    <row r="2" spans="1:252" x14ac:dyDescent="0.3">
      <c r="B2" s="629"/>
      <c r="C2" s="604"/>
      <c r="D2" s="605"/>
      <c r="E2" s="605"/>
      <c r="F2" s="605"/>
      <c r="G2" s="605"/>
      <c r="H2" s="605"/>
      <c r="I2" s="605"/>
      <c r="J2" s="605"/>
      <c r="K2" s="605"/>
      <c r="L2" s="605"/>
      <c r="M2" s="605"/>
      <c r="N2" s="605"/>
      <c r="O2" s="605"/>
      <c r="P2" s="605"/>
      <c r="Q2" s="605"/>
      <c r="R2" s="605"/>
      <c r="S2" s="605"/>
      <c r="T2" s="605"/>
      <c r="U2" s="605"/>
      <c r="V2" s="605"/>
      <c r="W2" s="605"/>
      <c r="X2" s="605"/>
      <c r="Y2" s="605"/>
      <c r="Z2" s="605"/>
      <c r="AA2" s="605"/>
      <c r="AB2" s="605"/>
      <c r="AC2" s="605"/>
      <c r="AD2" s="605"/>
      <c r="AE2" s="605"/>
      <c r="AF2" s="605"/>
      <c r="AG2" s="605"/>
      <c r="AH2" s="605"/>
      <c r="AI2" s="605"/>
      <c r="AJ2" s="605"/>
      <c r="AK2" s="605"/>
      <c r="AL2" s="605"/>
      <c r="AM2" s="605"/>
      <c r="AN2" s="605"/>
      <c r="AO2" s="605"/>
      <c r="AP2" s="605"/>
      <c r="AQ2" s="605"/>
      <c r="AR2" s="605"/>
      <c r="AS2" s="605"/>
      <c r="AT2" s="605"/>
      <c r="AU2" s="605"/>
      <c r="AV2" s="605"/>
      <c r="AW2" s="605"/>
      <c r="AX2" s="605"/>
      <c r="AY2" s="605"/>
      <c r="AZ2" s="605"/>
      <c r="BA2" s="605"/>
      <c r="BB2" s="605"/>
      <c r="BC2" s="605"/>
      <c r="BD2" s="605"/>
      <c r="BE2" s="605"/>
      <c r="BF2" s="605"/>
      <c r="BG2" s="605"/>
      <c r="BH2" s="605"/>
      <c r="BI2" s="605"/>
      <c r="BJ2" s="605"/>
      <c r="BK2" s="605"/>
      <c r="BL2" s="605"/>
      <c r="BM2" s="605"/>
      <c r="BN2" s="605"/>
      <c r="BO2" s="605"/>
      <c r="BP2" s="605"/>
      <c r="BQ2" s="605"/>
      <c r="BR2" s="605"/>
      <c r="BS2" s="605"/>
      <c r="BT2" s="605"/>
      <c r="BU2" s="605"/>
      <c r="BV2" s="605"/>
      <c r="BW2" s="605"/>
      <c r="BX2" s="605"/>
      <c r="BY2" s="605"/>
      <c r="BZ2" s="605"/>
      <c r="CA2" s="605"/>
      <c r="CB2" s="605"/>
      <c r="CC2" s="605"/>
      <c r="CD2" s="605"/>
      <c r="CE2" s="605"/>
      <c r="CF2" s="605"/>
      <c r="CG2" s="605"/>
      <c r="CH2" s="605"/>
      <c r="CI2" s="605"/>
      <c r="CJ2" s="605"/>
      <c r="CK2" s="605"/>
      <c r="CL2" s="605"/>
      <c r="CM2" s="605"/>
      <c r="CN2" s="605"/>
      <c r="CO2" s="605"/>
      <c r="CP2" s="605"/>
      <c r="CQ2" s="605"/>
      <c r="CR2" s="605"/>
      <c r="CS2" s="605"/>
      <c r="CT2" s="605"/>
      <c r="CU2" s="605"/>
      <c r="CV2" s="605"/>
      <c r="CW2" s="605"/>
      <c r="CX2" s="605"/>
      <c r="CY2" s="605"/>
      <c r="CZ2" s="605"/>
      <c r="DA2" s="605"/>
      <c r="DB2" s="605"/>
      <c r="DC2" s="605"/>
      <c r="DD2" s="605"/>
      <c r="DE2" s="605"/>
      <c r="DF2" s="605"/>
      <c r="DG2" s="605"/>
      <c r="DH2" s="605"/>
      <c r="DI2" s="605"/>
      <c r="DJ2" s="605"/>
      <c r="DK2" s="605"/>
      <c r="DL2" s="605"/>
      <c r="DM2" s="605"/>
      <c r="DN2" s="605"/>
      <c r="DO2" s="605"/>
      <c r="DP2" s="605"/>
      <c r="DQ2" s="605"/>
      <c r="DR2" s="605"/>
      <c r="DS2" s="605"/>
      <c r="DT2" s="605"/>
      <c r="DU2" s="605"/>
      <c r="DV2" s="605"/>
      <c r="DW2" s="605"/>
      <c r="DX2" s="605"/>
      <c r="DY2" s="605"/>
      <c r="DZ2" s="605"/>
      <c r="EA2" s="605"/>
      <c r="EB2" s="605"/>
      <c r="EC2" s="605"/>
      <c r="ED2" s="605"/>
      <c r="EE2" s="605"/>
      <c r="EF2" s="605"/>
      <c r="EG2" s="605"/>
      <c r="EH2" s="605"/>
      <c r="EI2" s="605"/>
      <c r="EJ2" s="605"/>
      <c r="EK2" s="605"/>
      <c r="EL2" s="605"/>
      <c r="EM2" s="605"/>
      <c r="EN2" s="605"/>
      <c r="EO2" s="605"/>
      <c r="EP2" s="605"/>
      <c r="EQ2" s="605"/>
      <c r="ER2" s="605"/>
      <c r="ES2" s="605"/>
      <c r="ET2" s="605"/>
      <c r="EU2" s="605"/>
      <c r="EV2" s="605"/>
      <c r="EW2" s="605"/>
      <c r="EX2" s="605"/>
      <c r="EY2" s="605"/>
      <c r="EZ2" s="605"/>
      <c r="FA2" s="605"/>
      <c r="FB2" s="605"/>
      <c r="FC2" s="605"/>
      <c r="FD2" s="605"/>
      <c r="FE2" s="605"/>
      <c r="FF2" s="605"/>
      <c r="FG2" s="605"/>
      <c r="FH2" s="605"/>
      <c r="FI2" s="605"/>
      <c r="FJ2" s="605"/>
      <c r="FK2" s="605"/>
      <c r="FL2" s="605"/>
      <c r="FM2" s="605"/>
      <c r="FN2" s="605"/>
      <c r="FO2" s="605"/>
      <c r="FP2" s="605"/>
      <c r="FQ2" s="605"/>
      <c r="FR2" s="605"/>
      <c r="FS2" s="605"/>
      <c r="FT2" s="605"/>
      <c r="FU2" s="605"/>
      <c r="FV2" s="605"/>
      <c r="FW2" s="605"/>
      <c r="FX2" s="605"/>
      <c r="FY2" s="605"/>
      <c r="FZ2" s="605"/>
      <c r="GA2" s="605"/>
      <c r="GB2" s="605"/>
      <c r="GC2" s="605"/>
      <c r="GD2" s="605"/>
      <c r="GE2" s="605"/>
      <c r="GF2" s="605"/>
      <c r="GG2" s="605"/>
      <c r="GH2" s="605"/>
      <c r="GI2" s="605"/>
      <c r="GJ2" s="605"/>
      <c r="GK2" s="605"/>
      <c r="GL2" s="605"/>
      <c r="GM2" s="605"/>
      <c r="GN2" s="605"/>
      <c r="GO2" s="605"/>
      <c r="GP2" s="605"/>
      <c r="GQ2" s="605"/>
      <c r="GR2" s="605"/>
      <c r="GS2" s="605"/>
      <c r="GT2" s="605"/>
      <c r="GU2" s="605"/>
      <c r="GV2" s="605"/>
      <c r="GW2" s="605"/>
      <c r="GX2" s="605"/>
      <c r="GY2" s="605"/>
      <c r="GZ2" s="605"/>
      <c r="HA2" s="605"/>
      <c r="HB2" s="605"/>
      <c r="HC2" s="605"/>
      <c r="HD2" s="605"/>
      <c r="HE2" s="605"/>
      <c r="HF2" s="605"/>
      <c r="HG2" s="605"/>
      <c r="HH2" s="605"/>
      <c r="HI2" s="605"/>
      <c r="HJ2" s="605"/>
      <c r="HK2" s="605"/>
      <c r="HL2" s="605"/>
      <c r="HM2" s="605"/>
      <c r="HN2" s="605"/>
      <c r="HO2" s="605"/>
      <c r="HP2" s="605"/>
      <c r="HQ2" s="605"/>
      <c r="HR2" s="605"/>
      <c r="HS2" s="605"/>
      <c r="HT2" s="605"/>
      <c r="HU2" s="605"/>
      <c r="HV2" s="605"/>
      <c r="HW2" s="605"/>
      <c r="HX2" s="605"/>
      <c r="HY2" s="605"/>
      <c r="HZ2" s="605"/>
      <c r="IA2" s="605"/>
      <c r="IB2" s="605"/>
      <c r="IC2" s="605"/>
      <c r="ID2" s="605"/>
      <c r="IE2" s="605"/>
      <c r="IF2" s="605"/>
      <c r="IG2" s="605"/>
      <c r="IH2" s="605"/>
      <c r="II2" s="605"/>
      <c r="IJ2" s="605"/>
      <c r="IK2" s="605"/>
      <c r="IL2" s="605"/>
      <c r="IM2" s="605"/>
      <c r="IN2" s="605"/>
      <c r="IO2" s="605"/>
      <c r="IP2" s="605"/>
      <c r="IQ2" s="605"/>
      <c r="IR2" s="237"/>
    </row>
    <row r="3" spans="1:252" x14ac:dyDescent="0.35">
      <c r="B3" s="2456" t="s">
        <v>837</v>
      </c>
      <c r="C3" s="2456"/>
      <c r="D3" s="606"/>
      <c r="E3" s="606"/>
      <c r="F3" s="606"/>
      <c r="G3" s="606"/>
      <c r="H3" s="606"/>
      <c r="I3" s="606"/>
      <c r="J3" s="606"/>
      <c r="K3" s="606"/>
      <c r="L3" s="606"/>
      <c r="M3" s="606"/>
      <c r="N3" s="606"/>
      <c r="O3" s="606"/>
      <c r="P3" s="606"/>
      <c r="Q3" s="606"/>
      <c r="R3" s="606"/>
      <c r="S3" s="606"/>
      <c r="T3" s="606"/>
      <c r="U3" s="606"/>
      <c r="V3" s="606"/>
      <c r="W3" s="606"/>
      <c r="X3" s="606"/>
      <c r="Y3" s="606"/>
      <c r="Z3" s="606"/>
      <c r="AA3" s="606"/>
      <c r="AB3" s="606"/>
      <c r="AC3" s="606"/>
      <c r="AD3" s="606"/>
      <c r="AE3" s="606"/>
      <c r="AF3" s="606"/>
      <c r="AG3" s="606"/>
      <c r="AH3" s="606"/>
      <c r="AI3" s="606"/>
      <c r="AJ3" s="606"/>
      <c r="AK3" s="606"/>
      <c r="AL3" s="606"/>
      <c r="AM3" s="606"/>
      <c r="AN3" s="606"/>
      <c r="AO3" s="606"/>
      <c r="AP3" s="606"/>
      <c r="AQ3" s="606"/>
      <c r="AR3" s="606"/>
      <c r="AS3" s="606"/>
      <c r="AT3" s="606"/>
      <c r="AU3" s="606"/>
      <c r="AV3" s="606"/>
      <c r="AW3" s="606"/>
      <c r="AX3" s="606"/>
      <c r="AY3" s="606"/>
      <c r="AZ3" s="606"/>
      <c r="BA3" s="606"/>
      <c r="BB3" s="606"/>
      <c r="BC3" s="606"/>
      <c r="BD3" s="606"/>
      <c r="BE3" s="606"/>
      <c r="BF3" s="606"/>
      <c r="BG3" s="606"/>
      <c r="BH3" s="606"/>
      <c r="BI3" s="606"/>
      <c r="BJ3" s="606"/>
      <c r="BK3" s="606"/>
      <c r="BL3" s="606"/>
      <c r="BM3" s="606"/>
      <c r="BN3" s="606"/>
      <c r="BO3" s="606"/>
      <c r="BP3" s="606"/>
      <c r="BQ3" s="606"/>
      <c r="BR3" s="606"/>
      <c r="BS3" s="606"/>
      <c r="BT3" s="606"/>
      <c r="BU3" s="606"/>
      <c r="BV3" s="606"/>
      <c r="BW3" s="606"/>
      <c r="BX3" s="606"/>
      <c r="BY3" s="606"/>
      <c r="BZ3" s="606"/>
      <c r="CA3" s="606"/>
      <c r="CB3" s="606"/>
      <c r="CC3" s="606"/>
      <c r="CD3" s="606"/>
      <c r="CE3" s="606"/>
      <c r="CF3" s="606"/>
      <c r="CG3" s="606"/>
      <c r="CH3" s="606"/>
      <c r="CI3" s="606"/>
      <c r="CJ3" s="606"/>
      <c r="CK3" s="606"/>
      <c r="CL3" s="606"/>
      <c r="CM3" s="606"/>
      <c r="CN3" s="606"/>
      <c r="CO3" s="606"/>
      <c r="CP3" s="606"/>
      <c r="CQ3" s="606"/>
      <c r="CR3" s="606"/>
      <c r="CS3" s="606"/>
      <c r="CT3" s="606"/>
      <c r="CU3" s="606"/>
      <c r="CV3" s="606"/>
      <c r="CW3" s="606"/>
      <c r="CX3" s="606"/>
      <c r="CY3" s="606"/>
      <c r="CZ3" s="606"/>
      <c r="DA3" s="606"/>
      <c r="DB3" s="606"/>
      <c r="DC3" s="606"/>
      <c r="DD3" s="606"/>
      <c r="DE3" s="606"/>
      <c r="DF3" s="606"/>
      <c r="DG3" s="606"/>
      <c r="DH3" s="606"/>
      <c r="DI3" s="606"/>
      <c r="DJ3" s="606"/>
      <c r="DK3" s="606"/>
      <c r="DL3" s="606"/>
      <c r="DM3" s="606"/>
      <c r="DN3" s="606"/>
      <c r="DO3" s="606"/>
      <c r="DP3" s="606"/>
      <c r="DQ3" s="606"/>
      <c r="DR3" s="606"/>
      <c r="DS3" s="606"/>
      <c r="DT3" s="606"/>
      <c r="DU3" s="606"/>
      <c r="DV3" s="606"/>
      <c r="DW3" s="606"/>
      <c r="DX3" s="606"/>
      <c r="DY3" s="606"/>
      <c r="DZ3" s="606"/>
      <c r="EA3" s="606"/>
      <c r="EB3" s="606"/>
      <c r="EC3" s="606"/>
      <c r="ED3" s="606"/>
      <c r="EE3" s="606"/>
      <c r="EF3" s="606"/>
      <c r="EG3" s="606"/>
      <c r="EH3" s="606"/>
      <c r="EI3" s="606"/>
      <c r="EJ3" s="606"/>
      <c r="EK3" s="606"/>
      <c r="EL3" s="606"/>
      <c r="EM3" s="606"/>
      <c r="EN3" s="606"/>
      <c r="EO3" s="606"/>
      <c r="EP3" s="606"/>
      <c r="EQ3" s="606"/>
      <c r="ER3" s="606"/>
      <c r="ES3" s="606"/>
      <c r="ET3" s="606"/>
      <c r="EU3" s="606"/>
      <c r="EV3" s="606"/>
      <c r="EW3" s="606"/>
      <c r="EX3" s="606"/>
      <c r="EY3" s="606"/>
      <c r="EZ3" s="606"/>
      <c r="FA3" s="606"/>
      <c r="FB3" s="606"/>
      <c r="FC3" s="606"/>
      <c r="FD3" s="606"/>
      <c r="FE3" s="606"/>
      <c r="FF3" s="606"/>
      <c r="FG3" s="606"/>
      <c r="FH3" s="606"/>
      <c r="FI3" s="606"/>
      <c r="FJ3" s="606"/>
      <c r="FK3" s="606"/>
      <c r="FL3" s="606"/>
      <c r="FM3" s="606"/>
      <c r="FN3" s="606"/>
      <c r="FO3" s="606"/>
      <c r="FP3" s="606"/>
      <c r="FQ3" s="606"/>
      <c r="FR3" s="606"/>
      <c r="FS3" s="606"/>
      <c r="FT3" s="606"/>
      <c r="FU3" s="606"/>
      <c r="FV3" s="606"/>
      <c r="FW3" s="606"/>
      <c r="FX3" s="606"/>
      <c r="FY3" s="606"/>
      <c r="FZ3" s="606"/>
      <c r="GA3" s="606"/>
      <c r="GB3" s="606"/>
      <c r="GC3" s="606"/>
      <c r="GD3" s="606"/>
      <c r="GE3" s="606"/>
      <c r="GF3" s="606"/>
      <c r="GG3" s="606"/>
      <c r="GH3" s="606"/>
      <c r="GI3" s="606"/>
      <c r="GJ3" s="606"/>
      <c r="GK3" s="606"/>
      <c r="GL3" s="606"/>
      <c r="GM3" s="606"/>
      <c r="GN3" s="606"/>
      <c r="GO3" s="606"/>
      <c r="GP3" s="606"/>
      <c r="GQ3" s="606"/>
      <c r="GR3" s="606"/>
      <c r="GS3" s="606"/>
      <c r="GT3" s="606"/>
      <c r="GU3" s="606"/>
      <c r="GV3" s="606"/>
      <c r="GW3" s="606"/>
      <c r="GX3" s="606"/>
      <c r="GY3" s="606"/>
      <c r="GZ3" s="606"/>
      <c r="HA3" s="606"/>
      <c r="HB3" s="606"/>
      <c r="HC3" s="606"/>
      <c r="HD3" s="606"/>
      <c r="HE3" s="606"/>
      <c r="HF3" s="606"/>
      <c r="HG3" s="606"/>
      <c r="HH3" s="606"/>
      <c r="HI3" s="606"/>
      <c r="HJ3" s="606"/>
      <c r="HK3" s="606"/>
      <c r="HL3" s="606"/>
      <c r="HM3" s="606"/>
      <c r="HN3" s="606"/>
      <c r="HO3" s="606"/>
      <c r="HP3" s="606"/>
      <c r="HQ3" s="606"/>
      <c r="HR3" s="606"/>
      <c r="HS3" s="606"/>
      <c r="HT3" s="606"/>
      <c r="HU3" s="606"/>
      <c r="HV3" s="606"/>
      <c r="HW3" s="606"/>
      <c r="HX3" s="606"/>
      <c r="HY3" s="606"/>
      <c r="HZ3" s="606"/>
      <c r="IA3" s="606"/>
      <c r="IB3" s="606"/>
      <c r="IC3" s="606"/>
      <c r="ID3" s="606"/>
      <c r="IE3" s="606"/>
      <c r="IF3" s="606"/>
      <c r="IG3" s="606"/>
      <c r="IH3" s="606"/>
      <c r="II3" s="606"/>
      <c r="IJ3" s="606"/>
      <c r="IK3" s="606"/>
      <c r="IL3" s="606"/>
      <c r="IM3" s="606"/>
      <c r="IN3" s="606"/>
      <c r="IO3" s="606"/>
      <c r="IP3" s="606"/>
      <c r="IQ3" s="606"/>
      <c r="IR3" s="44"/>
    </row>
    <row r="4" spans="1:252" x14ac:dyDescent="0.3">
      <c r="B4" s="2457" t="s">
        <v>901</v>
      </c>
      <c r="C4" s="2457"/>
    </row>
    <row r="5" spans="1:252" x14ac:dyDescent="0.3">
      <c r="B5" s="630"/>
      <c r="C5" s="630"/>
    </row>
    <row r="6" spans="1:252" ht="40.5" customHeight="1" x14ac:dyDescent="0.3">
      <c r="B6" s="2482" t="s">
        <v>619</v>
      </c>
      <c r="C6" s="2482"/>
    </row>
    <row r="7" spans="1:252" ht="17.25" customHeight="1" x14ac:dyDescent="0.3">
      <c r="B7" s="1252"/>
      <c r="C7" s="1252"/>
    </row>
    <row r="8" spans="1:252" x14ac:dyDescent="0.3">
      <c r="B8" s="632"/>
      <c r="C8" s="670" t="s">
        <v>0</v>
      </c>
    </row>
    <row r="9" spans="1:252" thickBot="1" x14ac:dyDescent="0.35">
      <c r="B9" s="671" t="s">
        <v>1</v>
      </c>
      <c r="C9" s="612" t="s">
        <v>3</v>
      </c>
      <c r="D9" s="631"/>
      <c r="E9" s="631"/>
      <c r="F9" s="631"/>
      <c r="G9" s="631"/>
      <c r="H9" s="631"/>
      <c r="I9" s="631"/>
      <c r="J9" s="631"/>
      <c r="K9" s="631"/>
      <c r="L9" s="631"/>
      <c r="M9" s="631"/>
      <c r="N9" s="631"/>
      <c r="O9" s="631"/>
      <c r="P9" s="631"/>
      <c r="Q9" s="631"/>
      <c r="R9" s="631"/>
      <c r="S9" s="631"/>
      <c r="T9" s="631"/>
      <c r="U9" s="631"/>
      <c r="V9" s="631"/>
      <c r="W9" s="631"/>
      <c r="X9" s="631"/>
      <c r="Y9" s="631"/>
      <c r="Z9" s="631"/>
      <c r="AA9" s="631"/>
      <c r="AB9" s="631"/>
      <c r="AC9" s="631"/>
      <c r="AD9" s="631"/>
      <c r="AE9" s="631"/>
      <c r="AF9" s="631"/>
      <c r="AG9" s="631"/>
      <c r="AH9" s="631"/>
      <c r="AI9" s="631"/>
      <c r="AJ9" s="631"/>
      <c r="AK9" s="631"/>
      <c r="AL9" s="631"/>
      <c r="AM9" s="631"/>
      <c r="AN9" s="631"/>
      <c r="AO9" s="631"/>
      <c r="AP9" s="631"/>
      <c r="AQ9" s="631"/>
      <c r="AR9" s="631"/>
      <c r="AS9" s="631"/>
      <c r="AT9" s="631"/>
      <c r="AU9" s="631"/>
      <c r="AV9" s="631"/>
      <c r="AW9" s="631"/>
      <c r="AX9" s="631"/>
      <c r="AY9" s="631"/>
      <c r="AZ9" s="631"/>
      <c r="BA9" s="631"/>
      <c r="BB9" s="631"/>
      <c r="BC9" s="631"/>
      <c r="BD9" s="631"/>
      <c r="BE9" s="631"/>
      <c r="BF9" s="631"/>
      <c r="BG9" s="631"/>
      <c r="BH9" s="631"/>
      <c r="BI9" s="631"/>
      <c r="BJ9" s="631"/>
      <c r="BK9" s="631"/>
      <c r="BL9" s="631"/>
      <c r="BM9" s="631"/>
      <c r="BN9" s="631"/>
      <c r="BO9" s="631"/>
      <c r="BP9" s="631"/>
      <c r="BQ9" s="631"/>
      <c r="BR9" s="631"/>
      <c r="BS9" s="631"/>
      <c r="BT9" s="631"/>
      <c r="BU9" s="631"/>
      <c r="BV9" s="631"/>
      <c r="BW9" s="631"/>
      <c r="BX9" s="631"/>
      <c r="BY9" s="631"/>
      <c r="BZ9" s="631"/>
      <c r="CA9" s="631"/>
      <c r="CB9" s="631"/>
      <c r="CC9" s="631"/>
      <c r="CD9" s="631"/>
      <c r="CE9" s="631"/>
      <c r="CF9" s="631"/>
      <c r="CG9" s="631"/>
      <c r="CH9" s="631"/>
      <c r="CI9" s="631"/>
      <c r="CJ9" s="631"/>
      <c r="CK9" s="631"/>
      <c r="CL9" s="631"/>
      <c r="CM9" s="631"/>
      <c r="CN9" s="631"/>
      <c r="CO9" s="631"/>
      <c r="CP9" s="631"/>
      <c r="CQ9" s="631"/>
      <c r="CR9" s="631"/>
      <c r="CS9" s="631"/>
      <c r="CT9" s="631"/>
      <c r="CU9" s="631"/>
      <c r="CV9" s="631"/>
      <c r="CW9" s="631"/>
      <c r="CX9" s="631"/>
      <c r="CY9" s="631"/>
      <c r="CZ9" s="631"/>
      <c r="DA9" s="631"/>
      <c r="DB9" s="631"/>
      <c r="DC9" s="631"/>
      <c r="DD9" s="631"/>
      <c r="DE9" s="631"/>
      <c r="DF9" s="631"/>
      <c r="DG9" s="631"/>
      <c r="DH9" s="631"/>
      <c r="DI9" s="631"/>
      <c r="DJ9" s="631"/>
      <c r="DK9" s="631"/>
      <c r="DL9" s="631"/>
      <c r="DM9" s="631"/>
      <c r="DN9" s="631"/>
      <c r="DO9" s="631"/>
      <c r="DP9" s="631"/>
      <c r="DQ9" s="631"/>
      <c r="DR9" s="631"/>
      <c r="DS9" s="631"/>
      <c r="DT9" s="631"/>
      <c r="DU9" s="631"/>
      <c r="DV9" s="631"/>
      <c r="DW9" s="631"/>
      <c r="DX9" s="631"/>
      <c r="DY9" s="631"/>
      <c r="DZ9" s="631"/>
      <c r="EA9" s="631"/>
      <c r="EB9" s="631"/>
      <c r="EC9" s="631"/>
      <c r="ED9" s="631"/>
      <c r="EE9" s="631"/>
      <c r="EF9" s="631"/>
      <c r="EG9" s="631"/>
      <c r="EH9" s="631"/>
      <c r="EI9" s="631"/>
      <c r="EJ9" s="631"/>
      <c r="EK9" s="631"/>
      <c r="EL9" s="631"/>
      <c r="EM9" s="631"/>
      <c r="EN9" s="631"/>
      <c r="EO9" s="631"/>
      <c r="EP9" s="631"/>
      <c r="EQ9" s="631"/>
      <c r="ER9" s="631"/>
      <c r="ES9" s="631"/>
      <c r="ET9" s="631"/>
      <c r="EU9" s="631"/>
      <c r="EV9" s="631"/>
      <c r="EW9" s="631"/>
      <c r="EX9" s="631"/>
      <c r="EY9" s="631"/>
      <c r="EZ9" s="631"/>
      <c r="FA9" s="631"/>
      <c r="FB9" s="631"/>
      <c r="FC9" s="631"/>
      <c r="FD9" s="631"/>
      <c r="FE9" s="631"/>
      <c r="FF9" s="631"/>
      <c r="FG9" s="631"/>
      <c r="FH9" s="631"/>
      <c r="FI9" s="631"/>
      <c r="FJ9" s="631"/>
      <c r="FK9" s="631"/>
      <c r="FL9" s="631"/>
      <c r="FM9" s="631"/>
      <c r="FN9" s="631"/>
      <c r="FO9" s="631"/>
      <c r="FP9" s="631"/>
      <c r="FQ9" s="631"/>
      <c r="FR9" s="631"/>
      <c r="FS9" s="631"/>
      <c r="FT9" s="631"/>
      <c r="FU9" s="631"/>
      <c r="FV9" s="631"/>
      <c r="FW9" s="631"/>
      <c r="FX9" s="631"/>
      <c r="FY9" s="631"/>
      <c r="FZ9" s="631"/>
      <c r="GA9" s="631"/>
      <c r="GB9" s="631"/>
      <c r="GC9" s="631"/>
      <c r="GD9" s="631"/>
      <c r="GE9" s="631"/>
      <c r="GF9" s="631"/>
      <c r="GG9" s="631"/>
      <c r="GH9" s="631"/>
      <c r="GI9" s="631"/>
      <c r="GJ9" s="631"/>
      <c r="GK9" s="631"/>
      <c r="GL9" s="631"/>
      <c r="GM9" s="631"/>
      <c r="GN9" s="631"/>
      <c r="GO9" s="631"/>
      <c r="GP9" s="631"/>
      <c r="GQ9" s="631"/>
      <c r="GR9" s="631"/>
      <c r="GS9" s="631"/>
      <c r="GT9" s="631"/>
      <c r="GU9" s="631"/>
      <c r="GV9" s="631"/>
      <c r="GW9" s="631"/>
      <c r="GX9" s="631"/>
      <c r="GY9" s="631"/>
      <c r="GZ9" s="631"/>
      <c r="HA9" s="631"/>
      <c r="HB9" s="631"/>
      <c r="HC9" s="631"/>
      <c r="HD9" s="631"/>
      <c r="HE9" s="631"/>
      <c r="HF9" s="631"/>
      <c r="HG9" s="631"/>
      <c r="HH9" s="631"/>
      <c r="HI9" s="631"/>
      <c r="HJ9" s="631"/>
      <c r="HK9" s="631"/>
      <c r="HL9" s="631"/>
      <c r="HM9" s="631"/>
      <c r="HN9" s="631"/>
      <c r="HO9" s="631"/>
      <c r="HP9" s="631"/>
      <c r="HQ9" s="631"/>
      <c r="HR9" s="631"/>
      <c r="HS9" s="631"/>
      <c r="HT9" s="631"/>
      <c r="HU9" s="631"/>
      <c r="HV9" s="631"/>
      <c r="HW9" s="631"/>
      <c r="HX9" s="631"/>
      <c r="HY9" s="631"/>
      <c r="HZ9" s="631"/>
      <c r="IA9" s="631"/>
      <c r="IB9" s="631"/>
      <c r="IC9" s="631"/>
      <c r="ID9" s="631"/>
      <c r="IE9" s="631"/>
      <c r="IF9" s="631"/>
      <c r="IG9" s="631"/>
      <c r="IH9" s="631"/>
      <c r="II9" s="631"/>
      <c r="IJ9" s="631"/>
      <c r="IK9" s="631"/>
      <c r="IL9" s="631"/>
      <c r="IM9" s="631"/>
      <c r="IN9" s="631"/>
      <c r="IO9" s="631"/>
      <c r="IP9" s="631"/>
      <c r="IQ9" s="631"/>
      <c r="IR9" s="44"/>
    </row>
    <row r="10" spans="1:252" ht="35.25" customHeight="1" thickBot="1" x14ac:dyDescent="0.35">
      <c r="A10" s="608"/>
      <c r="B10" s="672" t="s">
        <v>838</v>
      </c>
      <c r="C10" s="633" t="s">
        <v>617</v>
      </c>
    </row>
    <row r="11" spans="1:252" ht="36.75" customHeight="1" x14ac:dyDescent="0.3">
      <c r="A11" s="608">
        <v>1</v>
      </c>
      <c r="B11" s="1245" t="s">
        <v>839</v>
      </c>
      <c r="C11" s="1257">
        <v>135800</v>
      </c>
      <c r="D11" s="606"/>
      <c r="E11" s="606"/>
      <c r="F11" s="606"/>
      <c r="G11" s="606"/>
      <c r="H11" s="606"/>
      <c r="I11" s="606"/>
      <c r="J11" s="606"/>
      <c r="K11" s="606"/>
      <c r="L11" s="606"/>
      <c r="M11" s="606"/>
      <c r="N11" s="606"/>
      <c r="O11" s="606"/>
      <c r="P11" s="606"/>
      <c r="Q11" s="606"/>
      <c r="R11" s="606"/>
      <c r="S11" s="606"/>
      <c r="T11" s="606"/>
      <c r="U11" s="606"/>
      <c r="V11" s="606"/>
      <c r="W11" s="606"/>
      <c r="X11" s="606"/>
      <c r="Y11" s="606"/>
      <c r="Z11" s="606"/>
      <c r="AA11" s="606"/>
      <c r="AB11" s="606"/>
      <c r="AC11" s="606"/>
      <c r="AD11" s="606"/>
      <c r="AE11" s="606"/>
      <c r="AF11" s="606"/>
      <c r="AG11" s="606"/>
      <c r="AH11" s="606"/>
      <c r="AI11" s="606"/>
      <c r="AJ11" s="606"/>
      <c r="AK11" s="606"/>
      <c r="AL11" s="606"/>
      <c r="AM11" s="606"/>
      <c r="AN11" s="606"/>
      <c r="AO11" s="606"/>
      <c r="AP11" s="606"/>
      <c r="AQ11" s="606"/>
      <c r="AR11" s="606"/>
      <c r="AS11" s="606"/>
      <c r="AT11" s="606"/>
      <c r="AU11" s="606"/>
      <c r="AV11" s="606"/>
      <c r="AW11" s="606"/>
      <c r="AX11" s="606"/>
      <c r="AY11" s="606"/>
      <c r="AZ11" s="606"/>
      <c r="BA11" s="606"/>
      <c r="BB11" s="606"/>
      <c r="BC11" s="606"/>
      <c r="BD11" s="606"/>
      <c r="BE11" s="606"/>
      <c r="BF11" s="606"/>
      <c r="BG11" s="606"/>
      <c r="BH11" s="606"/>
      <c r="BI11" s="606"/>
      <c r="BJ11" s="606"/>
      <c r="BK11" s="606"/>
      <c r="BL11" s="606"/>
      <c r="BM11" s="606"/>
      <c r="BN11" s="606"/>
      <c r="BO11" s="606"/>
      <c r="BP11" s="606"/>
      <c r="BQ11" s="606"/>
      <c r="BR11" s="606"/>
      <c r="BS11" s="606"/>
      <c r="BT11" s="606"/>
      <c r="BU11" s="606"/>
      <c r="BV11" s="606"/>
      <c r="BW11" s="606"/>
      <c r="BX11" s="606"/>
      <c r="BY11" s="606"/>
      <c r="BZ11" s="606"/>
      <c r="CA11" s="606"/>
      <c r="CB11" s="606"/>
      <c r="CC11" s="606"/>
      <c r="CD11" s="606"/>
      <c r="CE11" s="606"/>
      <c r="CF11" s="606"/>
      <c r="CG11" s="606"/>
      <c r="CH11" s="606"/>
      <c r="CI11" s="606"/>
      <c r="CJ11" s="606"/>
      <c r="CK11" s="606"/>
      <c r="CL11" s="606"/>
      <c r="CM11" s="606"/>
      <c r="CN11" s="606"/>
      <c r="CO11" s="606"/>
      <c r="CP11" s="606"/>
      <c r="CQ11" s="606"/>
      <c r="CR11" s="606"/>
      <c r="CS11" s="606"/>
      <c r="CT11" s="606"/>
      <c r="CU11" s="606"/>
      <c r="CV11" s="606"/>
      <c r="CW11" s="606"/>
      <c r="CX11" s="606"/>
      <c r="CY11" s="606"/>
      <c r="CZ11" s="606"/>
      <c r="DA11" s="606"/>
      <c r="DB11" s="606"/>
      <c r="DC11" s="606"/>
      <c r="DD11" s="606"/>
      <c r="DE11" s="606"/>
      <c r="DF11" s="606"/>
      <c r="DG11" s="606"/>
      <c r="DH11" s="606"/>
      <c r="DI11" s="606"/>
      <c r="DJ11" s="606"/>
      <c r="DK11" s="606"/>
      <c r="DL11" s="606"/>
      <c r="DM11" s="606"/>
      <c r="DN11" s="606"/>
      <c r="DO11" s="606"/>
      <c r="DP11" s="606"/>
      <c r="DQ11" s="606"/>
      <c r="DR11" s="606"/>
      <c r="DS11" s="606"/>
      <c r="DT11" s="606"/>
      <c r="DU11" s="606"/>
      <c r="DV11" s="606"/>
      <c r="DW11" s="606"/>
      <c r="DX11" s="606"/>
      <c r="DY11" s="606"/>
      <c r="DZ11" s="606"/>
      <c r="EA11" s="606"/>
      <c r="EB11" s="606"/>
      <c r="EC11" s="606"/>
      <c r="ED11" s="606"/>
      <c r="EE11" s="606"/>
      <c r="EF11" s="606"/>
      <c r="EG11" s="606"/>
      <c r="EH11" s="606"/>
      <c r="EI11" s="606"/>
      <c r="EJ11" s="606"/>
      <c r="EK11" s="606"/>
      <c r="EL11" s="606"/>
      <c r="EM11" s="606"/>
      <c r="EN11" s="606"/>
      <c r="EO11" s="606"/>
      <c r="EP11" s="606"/>
      <c r="EQ11" s="606"/>
      <c r="ER11" s="606"/>
      <c r="ES11" s="606"/>
      <c r="ET11" s="606"/>
      <c r="EU11" s="606"/>
      <c r="EV11" s="606"/>
      <c r="EW11" s="606"/>
      <c r="EX11" s="606"/>
      <c r="EY11" s="606"/>
      <c r="EZ11" s="606"/>
      <c r="FA11" s="606"/>
      <c r="FB11" s="606"/>
      <c r="FC11" s="606"/>
      <c r="FD11" s="606"/>
      <c r="FE11" s="606"/>
      <c r="FF11" s="606"/>
      <c r="FG11" s="606"/>
      <c r="FH11" s="606"/>
      <c r="FI11" s="606"/>
      <c r="FJ11" s="606"/>
      <c r="FK11" s="606"/>
      <c r="FL11" s="606"/>
      <c r="FM11" s="606"/>
      <c r="FN11" s="606"/>
      <c r="FO11" s="606"/>
      <c r="FP11" s="606"/>
      <c r="FQ11" s="606"/>
      <c r="FR11" s="606"/>
      <c r="FS11" s="606"/>
      <c r="FT11" s="606"/>
      <c r="FU11" s="606"/>
      <c r="FV11" s="606"/>
      <c r="FW11" s="606"/>
      <c r="FX11" s="606"/>
      <c r="FY11" s="606"/>
      <c r="FZ11" s="606"/>
      <c r="GA11" s="606"/>
      <c r="GB11" s="606"/>
      <c r="GC11" s="606"/>
      <c r="GD11" s="606"/>
      <c r="GE11" s="606"/>
      <c r="GF11" s="606"/>
      <c r="GG11" s="606"/>
      <c r="GH11" s="606"/>
      <c r="GI11" s="606"/>
      <c r="GJ11" s="606"/>
      <c r="GK11" s="606"/>
      <c r="GL11" s="606"/>
      <c r="GM11" s="606"/>
      <c r="GN11" s="606"/>
      <c r="GO11" s="606"/>
      <c r="GP11" s="606"/>
      <c r="GQ11" s="606"/>
      <c r="GR11" s="606"/>
      <c r="GS11" s="606"/>
      <c r="GT11" s="606"/>
      <c r="GU11" s="606"/>
      <c r="GV11" s="606"/>
      <c r="GW11" s="606"/>
      <c r="GX11" s="606"/>
      <c r="GY11" s="606"/>
      <c r="GZ11" s="606"/>
      <c r="HA11" s="606"/>
      <c r="HB11" s="606"/>
      <c r="HC11" s="606"/>
      <c r="HD11" s="606"/>
      <c r="HE11" s="606"/>
      <c r="HF11" s="606"/>
      <c r="HG11" s="606"/>
      <c r="HH11" s="606"/>
      <c r="HI11" s="606"/>
      <c r="HJ11" s="606"/>
      <c r="HK11" s="606"/>
      <c r="HL11" s="606"/>
      <c r="HM11" s="606"/>
      <c r="HN11" s="606"/>
      <c r="HO11" s="606"/>
      <c r="HP11" s="606"/>
      <c r="HQ11" s="606"/>
      <c r="HR11" s="606"/>
      <c r="HS11" s="606"/>
      <c r="HT11" s="606"/>
      <c r="HU11" s="606"/>
      <c r="HV11" s="606"/>
      <c r="HW11" s="606"/>
      <c r="HX11" s="606"/>
      <c r="HY11" s="606"/>
      <c r="HZ11" s="606"/>
      <c r="IA11" s="606"/>
      <c r="IB11" s="606"/>
      <c r="IC11" s="606"/>
      <c r="ID11" s="606"/>
      <c r="IE11" s="606"/>
      <c r="IF11" s="606"/>
      <c r="IG11" s="606"/>
      <c r="IH11" s="606"/>
      <c r="II11" s="606"/>
      <c r="IJ11" s="606"/>
      <c r="IK11" s="606"/>
      <c r="IL11" s="606"/>
      <c r="IM11" s="606"/>
      <c r="IN11" s="606"/>
      <c r="IO11" s="606"/>
      <c r="IP11" s="606"/>
      <c r="IQ11" s="606"/>
      <c r="IR11" s="44"/>
    </row>
    <row r="12" spans="1:252" ht="36.75" customHeight="1" thickBot="1" x14ac:dyDescent="0.35">
      <c r="A12" s="608">
        <v>2</v>
      </c>
      <c r="B12" s="1246" t="s">
        <v>840</v>
      </c>
      <c r="C12" s="1258">
        <v>14000</v>
      </c>
      <c r="D12" s="606"/>
      <c r="E12" s="606"/>
      <c r="F12" s="606"/>
      <c r="G12" s="606"/>
      <c r="H12" s="606"/>
      <c r="I12" s="606"/>
      <c r="J12" s="606"/>
      <c r="K12" s="606"/>
      <c r="L12" s="606"/>
      <c r="M12" s="606"/>
      <c r="N12" s="606" t="s">
        <v>252</v>
      </c>
      <c r="O12" s="606"/>
      <c r="P12" s="606"/>
      <c r="Q12" s="606"/>
      <c r="R12" s="606"/>
      <c r="S12" s="606"/>
      <c r="T12" s="606"/>
      <c r="U12" s="606"/>
      <c r="V12" s="606"/>
      <c r="W12" s="606"/>
      <c r="X12" s="606"/>
      <c r="Y12" s="606"/>
      <c r="Z12" s="606"/>
      <c r="AA12" s="606"/>
      <c r="AB12" s="606"/>
      <c r="AC12" s="606"/>
      <c r="AD12" s="606"/>
      <c r="AE12" s="606"/>
      <c r="AF12" s="606"/>
      <c r="AG12" s="606"/>
      <c r="AH12" s="606"/>
      <c r="AI12" s="606"/>
      <c r="AJ12" s="606"/>
      <c r="AK12" s="606"/>
      <c r="AL12" s="606"/>
      <c r="AM12" s="606"/>
      <c r="AN12" s="606"/>
      <c r="AO12" s="606"/>
      <c r="AP12" s="606"/>
      <c r="AQ12" s="606"/>
      <c r="AR12" s="606"/>
      <c r="AS12" s="606"/>
      <c r="AT12" s="606"/>
      <c r="AU12" s="606"/>
      <c r="AV12" s="606"/>
      <c r="AW12" s="606"/>
      <c r="AX12" s="606"/>
      <c r="AY12" s="606"/>
      <c r="AZ12" s="606"/>
      <c r="BA12" s="606"/>
      <c r="BB12" s="606"/>
      <c r="BC12" s="606"/>
      <c r="BD12" s="606"/>
      <c r="BE12" s="606"/>
      <c r="BF12" s="606"/>
      <c r="BG12" s="606"/>
      <c r="BH12" s="606"/>
      <c r="BI12" s="606"/>
      <c r="BJ12" s="606"/>
      <c r="BK12" s="606"/>
      <c r="BL12" s="606"/>
      <c r="BM12" s="606"/>
      <c r="BN12" s="606"/>
      <c r="BO12" s="606"/>
      <c r="BP12" s="606"/>
      <c r="BQ12" s="606"/>
      <c r="BR12" s="606"/>
      <c r="BS12" s="606"/>
      <c r="BT12" s="606"/>
      <c r="BU12" s="606"/>
      <c r="BV12" s="606"/>
      <c r="BW12" s="606"/>
      <c r="BX12" s="606"/>
      <c r="BY12" s="606"/>
      <c r="BZ12" s="606"/>
      <c r="CA12" s="606"/>
      <c r="CB12" s="606"/>
      <c r="CC12" s="606"/>
      <c r="CD12" s="606"/>
      <c r="CE12" s="606"/>
      <c r="CF12" s="606"/>
      <c r="CG12" s="606"/>
      <c r="CH12" s="606"/>
      <c r="CI12" s="606"/>
      <c r="CJ12" s="606"/>
      <c r="CK12" s="606"/>
      <c r="CL12" s="606"/>
      <c r="CM12" s="606"/>
      <c r="CN12" s="606"/>
      <c r="CO12" s="606"/>
      <c r="CP12" s="606"/>
      <c r="CQ12" s="606"/>
      <c r="CR12" s="606"/>
      <c r="CS12" s="606"/>
      <c r="CT12" s="606"/>
      <c r="CU12" s="606"/>
      <c r="CV12" s="606"/>
      <c r="CW12" s="606"/>
      <c r="CX12" s="606"/>
      <c r="CY12" s="606"/>
      <c r="CZ12" s="606"/>
      <c r="DA12" s="606"/>
      <c r="DB12" s="606"/>
      <c r="DC12" s="606"/>
      <c r="DD12" s="606"/>
      <c r="DE12" s="606"/>
      <c r="DF12" s="606"/>
      <c r="DG12" s="606"/>
      <c r="DH12" s="606"/>
      <c r="DI12" s="606"/>
      <c r="DJ12" s="606"/>
      <c r="DK12" s="606"/>
      <c r="DL12" s="606"/>
      <c r="DM12" s="606"/>
      <c r="DN12" s="606"/>
      <c r="DO12" s="606"/>
      <c r="DP12" s="606"/>
      <c r="DQ12" s="606"/>
      <c r="DR12" s="606"/>
      <c r="DS12" s="606"/>
      <c r="DT12" s="606"/>
      <c r="DU12" s="606"/>
      <c r="DV12" s="606"/>
      <c r="DW12" s="606"/>
      <c r="DX12" s="606"/>
      <c r="DY12" s="606"/>
      <c r="DZ12" s="606"/>
      <c r="EA12" s="606"/>
      <c r="EB12" s="606"/>
      <c r="EC12" s="606"/>
      <c r="ED12" s="606"/>
      <c r="EE12" s="606"/>
      <c r="EF12" s="606"/>
      <c r="EG12" s="606"/>
      <c r="EH12" s="606"/>
      <c r="EI12" s="606"/>
      <c r="EJ12" s="606"/>
      <c r="EK12" s="606"/>
      <c r="EL12" s="606"/>
      <c r="EM12" s="606"/>
      <c r="EN12" s="606"/>
      <c r="EO12" s="606"/>
      <c r="EP12" s="606"/>
      <c r="EQ12" s="606"/>
      <c r="ER12" s="606"/>
      <c r="ES12" s="606"/>
      <c r="ET12" s="606"/>
      <c r="EU12" s="606"/>
      <c r="EV12" s="606"/>
      <c r="EW12" s="606"/>
      <c r="EX12" s="606"/>
      <c r="EY12" s="606"/>
      <c r="EZ12" s="606"/>
      <c r="FA12" s="606"/>
      <c r="FB12" s="606"/>
      <c r="FC12" s="606"/>
      <c r="FD12" s="606"/>
      <c r="FE12" s="606"/>
      <c r="FF12" s="606"/>
      <c r="FG12" s="606"/>
      <c r="FH12" s="606"/>
      <c r="FI12" s="606"/>
      <c r="FJ12" s="606"/>
      <c r="FK12" s="606"/>
      <c r="FL12" s="606"/>
      <c r="FM12" s="606"/>
      <c r="FN12" s="606"/>
      <c r="FO12" s="606"/>
      <c r="FP12" s="606"/>
      <c r="FQ12" s="606"/>
      <c r="FR12" s="606"/>
      <c r="FS12" s="606"/>
      <c r="FT12" s="606"/>
      <c r="FU12" s="606"/>
      <c r="FV12" s="606"/>
      <c r="FW12" s="606"/>
      <c r="FX12" s="606"/>
      <c r="FY12" s="606"/>
      <c r="FZ12" s="606"/>
      <c r="GA12" s="606"/>
      <c r="GB12" s="606"/>
      <c r="GC12" s="606"/>
      <c r="GD12" s="606"/>
      <c r="GE12" s="606"/>
      <c r="GF12" s="606"/>
      <c r="GG12" s="606"/>
      <c r="GH12" s="606"/>
      <c r="GI12" s="606"/>
      <c r="GJ12" s="606"/>
      <c r="GK12" s="606"/>
      <c r="GL12" s="606"/>
      <c r="GM12" s="606"/>
      <c r="GN12" s="606"/>
      <c r="GO12" s="606"/>
      <c r="GP12" s="606"/>
      <c r="GQ12" s="606"/>
      <c r="GR12" s="606"/>
      <c r="GS12" s="606"/>
      <c r="GT12" s="606"/>
      <c r="GU12" s="606"/>
      <c r="GV12" s="606"/>
      <c r="GW12" s="606"/>
      <c r="GX12" s="606"/>
      <c r="GY12" s="606"/>
      <c r="GZ12" s="606"/>
      <c r="HA12" s="606"/>
      <c r="HB12" s="606"/>
      <c r="HC12" s="606"/>
      <c r="HD12" s="606"/>
      <c r="HE12" s="606"/>
      <c r="HF12" s="606"/>
      <c r="HG12" s="606"/>
      <c r="HH12" s="606"/>
      <c r="HI12" s="606"/>
      <c r="HJ12" s="606"/>
      <c r="HK12" s="606"/>
      <c r="HL12" s="606"/>
      <c r="HM12" s="606"/>
      <c r="HN12" s="606"/>
      <c r="HO12" s="606"/>
      <c r="HP12" s="606"/>
      <c r="HQ12" s="606"/>
      <c r="HR12" s="606"/>
      <c r="HS12" s="606"/>
      <c r="HT12" s="606"/>
      <c r="HU12" s="606"/>
      <c r="HV12" s="606"/>
      <c r="HW12" s="606"/>
      <c r="HX12" s="606"/>
      <c r="HY12" s="606"/>
      <c r="HZ12" s="606"/>
      <c r="IA12" s="606"/>
      <c r="IB12" s="606"/>
      <c r="IC12" s="606"/>
      <c r="ID12" s="606"/>
      <c r="IE12" s="606"/>
      <c r="IF12" s="606"/>
      <c r="IG12" s="606"/>
      <c r="IH12" s="606"/>
      <c r="II12" s="606"/>
      <c r="IJ12" s="606"/>
      <c r="IK12" s="606"/>
      <c r="IL12" s="606"/>
      <c r="IM12" s="606"/>
      <c r="IN12" s="606"/>
      <c r="IO12" s="606"/>
      <c r="IP12" s="606"/>
      <c r="IQ12" s="606"/>
      <c r="IR12" s="44"/>
    </row>
    <row r="13" spans="1:252" ht="45" customHeight="1" thickBot="1" x14ac:dyDescent="0.35">
      <c r="A13" s="608">
        <v>3</v>
      </c>
      <c r="B13" s="1256" t="s">
        <v>923</v>
      </c>
      <c r="C13" s="1259">
        <f>SUM(C11:C12)</f>
        <v>149800</v>
      </c>
      <c r="D13" s="606"/>
      <c r="E13" s="606"/>
      <c r="F13" s="606"/>
      <c r="G13" s="606"/>
      <c r="H13" s="606"/>
      <c r="I13" s="606"/>
      <c r="J13" s="606"/>
      <c r="K13" s="606"/>
      <c r="L13" s="606"/>
      <c r="M13" s="606"/>
      <c r="N13" s="606"/>
      <c r="O13" s="606"/>
      <c r="P13" s="606"/>
      <c r="Q13" s="606"/>
      <c r="R13" s="606"/>
      <c r="S13" s="606"/>
      <c r="T13" s="606"/>
      <c r="U13" s="606"/>
      <c r="V13" s="606"/>
      <c r="W13" s="606"/>
      <c r="X13" s="606"/>
      <c r="Y13" s="606"/>
      <c r="Z13" s="606"/>
      <c r="AA13" s="606"/>
      <c r="AB13" s="606"/>
      <c r="AC13" s="606"/>
      <c r="AD13" s="606"/>
      <c r="AE13" s="606"/>
      <c r="AF13" s="606"/>
      <c r="AG13" s="606"/>
      <c r="AH13" s="606"/>
      <c r="AI13" s="606"/>
      <c r="AJ13" s="606"/>
      <c r="AK13" s="606"/>
      <c r="AL13" s="606"/>
      <c r="AM13" s="606"/>
      <c r="AN13" s="606"/>
      <c r="AO13" s="606"/>
      <c r="AP13" s="606"/>
      <c r="AQ13" s="606"/>
      <c r="AR13" s="606"/>
      <c r="AS13" s="606"/>
      <c r="AT13" s="606"/>
      <c r="AU13" s="606"/>
      <c r="AV13" s="606"/>
      <c r="AW13" s="606"/>
      <c r="AX13" s="606"/>
      <c r="AY13" s="606"/>
      <c r="AZ13" s="606"/>
      <c r="BA13" s="606"/>
      <c r="BB13" s="606"/>
      <c r="BC13" s="606"/>
      <c r="BD13" s="606"/>
      <c r="BE13" s="606"/>
      <c r="BF13" s="606"/>
      <c r="BG13" s="606"/>
      <c r="BH13" s="606"/>
      <c r="BI13" s="606"/>
      <c r="BJ13" s="606"/>
      <c r="BK13" s="606"/>
      <c r="BL13" s="606"/>
      <c r="BM13" s="606"/>
      <c r="BN13" s="606"/>
      <c r="BO13" s="606"/>
      <c r="BP13" s="606"/>
      <c r="BQ13" s="606"/>
      <c r="BR13" s="606"/>
      <c r="BS13" s="606"/>
      <c r="BT13" s="606"/>
      <c r="BU13" s="606"/>
      <c r="BV13" s="606"/>
      <c r="BW13" s="606"/>
      <c r="BX13" s="606"/>
      <c r="BY13" s="606"/>
      <c r="BZ13" s="606"/>
      <c r="CA13" s="606"/>
      <c r="CB13" s="606"/>
      <c r="CC13" s="606"/>
      <c r="CD13" s="606"/>
      <c r="CE13" s="606"/>
      <c r="CF13" s="606"/>
      <c r="CG13" s="606"/>
      <c r="CH13" s="606"/>
      <c r="CI13" s="606"/>
      <c r="CJ13" s="606"/>
      <c r="CK13" s="606"/>
      <c r="CL13" s="606"/>
      <c r="CM13" s="606"/>
      <c r="CN13" s="606"/>
      <c r="CO13" s="606"/>
      <c r="CP13" s="606"/>
      <c r="CQ13" s="606"/>
      <c r="CR13" s="606"/>
      <c r="CS13" s="606"/>
      <c r="CT13" s="606"/>
      <c r="CU13" s="606"/>
      <c r="CV13" s="606"/>
      <c r="CW13" s="606"/>
      <c r="CX13" s="606"/>
      <c r="CY13" s="606"/>
      <c r="CZ13" s="606"/>
      <c r="DA13" s="606"/>
      <c r="DB13" s="606"/>
      <c r="DC13" s="606"/>
      <c r="DD13" s="606"/>
      <c r="DE13" s="606"/>
      <c r="DF13" s="606"/>
      <c r="DG13" s="606"/>
      <c r="DH13" s="606"/>
      <c r="DI13" s="606"/>
      <c r="DJ13" s="606"/>
      <c r="DK13" s="606"/>
      <c r="DL13" s="606"/>
      <c r="DM13" s="606"/>
      <c r="DN13" s="606"/>
      <c r="DO13" s="606"/>
      <c r="DP13" s="606"/>
      <c r="DQ13" s="606"/>
      <c r="DR13" s="606"/>
      <c r="DS13" s="606"/>
      <c r="DT13" s="606"/>
      <c r="DU13" s="606"/>
      <c r="DV13" s="606"/>
      <c r="DW13" s="606"/>
      <c r="DX13" s="606"/>
      <c r="DY13" s="606"/>
      <c r="DZ13" s="606"/>
      <c r="EA13" s="606"/>
      <c r="EB13" s="606"/>
      <c r="EC13" s="606"/>
      <c r="ED13" s="606"/>
      <c r="EE13" s="606"/>
      <c r="EF13" s="606"/>
      <c r="EG13" s="606"/>
      <c r="EH13" s="606"/>
      <c r="EI13" s="606"/>
      <c r="EJ13" s="606"/>
      <c r="EK13" s="606"/>
      <c r="EL13" s="606"/>
      <c r="EM13" s="606"/>
      <c r="EN13" s="606"/>
      <c r="EO13" s="606"/>
      <c r="EP13" s="606"/>
      <c r="EQ13" s="606"/>
      <c r="ER13" s="606"/>
      <c r="ES13" s="606"/>
      <c r="ET13" s="606"/>
      <c r="EU13" s="606"/>
      <c r="EV13" s="606"/>
      <c r="EW13" s="606"/>
      <c r="EX13" s="606"/>
      <c r="EY13" s="606"/>
      <c r="EZ13" s="606"/>
      <c r="FA13" s="606"/>
      <c r="FB13" s="606"/>
      <c r="FC13" s="606"/>
      <c r="FD13" s="606"/>
      <c r="FE13" s="606"/>
      <c r="FF13" s="606"/>
      <c r="FG13" s="606"/>
      <c r="FH13" s="606"/>
      <c r="FI13" s="606"/>
      <c r="FJ13" s="606"/>
      <c r="FK13" s="606"/>
      <c r="FL13" s="606"/>
      <c r="FM13" s="606"/>
      <c r="FN13" s="606"/>
      <c r="FO13" s="606"/>
      <c r="FP13" s="606"/>
      <c r="FQ13" s="606"/>
      <c r="FR13" s="606"/>
      <c r="FS13" s="606"/>
      <c r="FT13" s="606"/>
      <c r="FU13" s="606"/>
      <c r="FV13" s="606"/>
      <c r="FW13" s="606"/>
      <c r="FX13" s="606"/>
      <c r="FY13" s="606"/>
      <c r="FZ13" s="606"/>
      <c r="GA13" s="606"/>
      <c r="GB13" s="606"/>
      <c r="GC13" s="606"/>
      <c r="GD13" s="606"/>
      <c r="GE13" s="606"/>
      <c r="GF13" s="606"/>
      <c r="GG13" s="606"/>
      <c r="GH13" s="606"/>
      <c r="GI13" s="606"/>
      <c r="GJ13" s="606"/>
      <c r="GK13" s="606"/>
      <c r="GL13" s="606"/>
      <c r="GM13" s="606"/>
      <c r="GN13" s="606"/>
      <c r="GO13" s="606"/>
      <c r="GP13" s="606"/>
      <c r="GQ13" s="606"/>
      <c r="GR13" s="606"/>
      <c r="GS13" s="606"/>
      <c r="GT13" s="606"/>
      <c r="GU13" s="606"/>
      <c r="GV13" s="606"/>
      <c r="GW13" s="606"/>
      <c r="GX13" s="606"/>
      <c r="GY13" s="606"/>
      <c r="GZ13" s="606"/>
      <c r="HA13" s="606"/>
      <c r="HB13" s="606"/>
      <c r="HC13" s="606"/>
      <c r="HD13" s="606"/>
      <c r="HE13" s="606"/>
      <c r="HF13" s="606"/>
      <c r="HG13" s="606"/>
      <c r="HH13" s="606"/>
      <c r="HI13" s="606"/>
      <c r="HJ13" s="606"/>
      <c r="HK13" s="606"/>
      <c r="HL13" s="606"/>
      <c r="HM13" s="606"/>
      <c r="HN13" s="606"/>
      <c r="HO13" s="606"/>
      <c r="HP13" s="606"/>
      <c r="HQ13" s="606"/>
      <c r="HR13" s="606"/>
      <c r="HS13" s="606"/>
      <c r="HT13" s="606"/>
      <c r="HU13" s="606"/>
      <c r="HV13" s="606"/>
      <c r="HW13" s="606"/>
      <c r="HX13" s="606"/>
      <c r="HY13" s="606"/>
      <c r="HZ13" s="606"/>
      <c r="IA13" s="606"/>
      <c r="IB13" s="606"/>
      <c r="IC13" s="606"/>
      <c r="ID13" s="606"/>
      <c r="IE13" s="606"/>
      <c r="IF13" s="606"/>
      <c r="IG13" s="606"/>
      <c r="IH13" s="606"/>
      <c r="II13" s="606"/>
      <c r="IJ13" s="606"/>
      <c r="IK13" s="606"/>
      <c r="IL13" s="606"/>
      <c r="IM13" s="606"/>
      <c r="IN13" s="606"/>
      <c r="IO13" s="606"/>
      <c r="IP13" s="606"/>
      <c r="IQ13" s="606"/>
      <c r="IR13" s="44"/>
    </row>
  </sheetData>
  <mergeCells count="3">
    <mergeCell ref="B3:C3"/>
    <mergeCell ref="B4:C4"/>
    <mergeCell ref="B6:C6"/>
  </mergeCells>
  <printOptions horizontalCentered="1"/>
  <pageMargins left="0.19685039370078741" right="0.19685039370078741" top="0.59055118110236227" bottom="0.59055118110236227" header="0.51181102362204722" footer="0.51181102362204722"/>
  <pageSetup paperSize="9" fitToHeight="0" orientation="portrait" r:id="rId1"/>
  <headerFooter>
    <oddFooter>&amp;C-&amp;P -</oddFooter>
  </headerFooter>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V58"/>
  <sheetViews>
    <sheetView view="pageBreakPreview" zoomScale="75" zoomScaleNormal="100" zoomScaleSheetLayoutView="75" workbookViewId="0">
      <selection activeCell="B1" sqref="B1:V1"/>
    </sheetView>
  </sheetViews>
  <sheetFormatPr defaultColWidth="10.42578125" defaultRowHeight="16.5" x14ac:dyDescent="0.3"/>
  <cols>
    <col min="1" max="1" width="3.7109375" style="1007" customWidth="1"/>
    <col min="2" max="3" width="5.7109375" style="300" customWidth="1"/>
    <col min="4" max="4" width="51.7109375" style="1103" customWidth="1"/>
    <col min="5" max="5" width="19.7109375" style="301" customWidth="1"/>
    <col min="6" max="6" width="3" style="299" customWidth="1"/>
    <col min="7" max="8" width="13.7109375" style="299" customWidth="1"/>
    <col min="9" max="11" width="12.28515625" style="299" customWidth="1"/>
    <col min="12" max="14" width="13.7109375" style="299" customWidth="1"/>
    <col min="15" max="15" width="15.7109375" style="299" customWidth="1"/>
    <col min="16" max="18" width="12.28515625" style="299" customWidth="1"/>
    <col min="19" max="21" width="13.7109375" style="299" customWidth="1"/>
    <col min="22" max="22" width="15.7109375" style="299" customWidth="1"/>
    <col min="23" max="16384" width="10.42578125" style="299"/>
  </cols>
  <sheetData>
    <row r="1" spans="1:22" ht="17.25" x14ac:dyDescent="0.35">
      <c r="A1" s="1972"/>
      <c r="B1" s="2483" t="s">
        <v>1374</v>
      </c>
      <c r="C1" s="2483"/>
      <c r="D1" s="2483"/>
      <c r="E1" s="2483"/>
      <c r="F1" s="2483"/>
      <c r="G1" s="2483"/>
      <c r="H1" s="2483"/>
      <c r="I1" s="2483"/>
      <c r="J1" s="2483"/>
      <c r="K1" s="2483"/>
      <c r="L1" s="2483"/>
      <c r="M1" s="2483"/>
      <c r="N1" s="2483"/>
      <c r="O1" s="2483"/>
      <c r="P1" s="2483"/>
      <c r="Q1" s="2483"/>
      <c r="R1" s="2483"/>
      <c r="S1" s="2483"/>
      <c r="T1" s="2483"/>
      <c r="U1" s="2483"/>
      <c r="V1" s="2483"/>
    </row>
    <row r="2" spans="1:22" x14ac:dyDescent="0.3">
      <c r="A2" s="1972"/>
      <c r="B2" s="2484" t="s">
        <v>1153</v>
      </c>
      <c r="C2" s="2484"/>
      <c r="D2" s="2484"/>
      <c r="E2" s="2484"/>
      <c r="F2" s="2484"/>
      <c r="G2" s="2484"/>
      <c r="H2" s="2484"/>
      <c r="I2" s="2484"/>
      <c r="J2" s="2484"/>
      <c r="K2" s="2484"/>
      <c r="L2" s="2484"/>
      <c r="M2" s="2484"/>
      <c r="N2" s="2484"/>
      <c r="O2" s="2484"/>
      <c r="P2" s="2484"/>
      <c r="Q2" s="2484"/>
      <c r="R2" s="2484"/>
      <c r="S2" s="2484"/>
      <c r="T2" s="2484"/>
      <c r="U2" s="2484"/>
      <c r="V2" s="2484"/>
    </row>
    <row r="3" spans="1:22" x14ac:dyDescent="0.3">
      <c r="A3" s="1972"/>
      <c r="B3" s="486"/>
      <c r="C3" s="486"/>
      <c r="D3" s="486"/>
      <c r="E3" s="486"/>
      <c r="F3" s="486"/>
      <c r="G3" s="486"/>
      <c r="H3" s="486"/>
      <c r="I3" s="486"/>
      <c r="J3" s="486"/>
      <c r="K3" s="486"/>
      <c r="L3" s="486"/>
      <c r="M3" s="486"/>
      <c r="N3" s="486"/>
      <c r="O3" s="486"/>
      <c r="P3" s="486"/>
      <c r="Q3" s="486"/>
      <c r="R3" s="486"/>
      <c r="S3" s="486"/>
      <c r="T3" s="486"/>
      <c r="U3" s="486"/>
      <c r="V3" s="486"/>
    </row>
    <row r="4" spans="1:22" ht="24.75" customHeight="1" x14ac:dyDescent="0.35">
      <c r="B4" s="2489" t="s">
        <v>122</v>
      </c>
      <c r="C4" s="2489"/>
      <c r="D4" s="2489"/>
      <c r="E4" s="2489"/>
      <c r="F4" s="2489"/>
      <c r="G4" s="2489"/>
      <c r="H4" s="2489"/>
      <c r="I4" s="2489"/>
      <c r="J4" s="2489"/>
      <c r="K4" s="2489"/>
      <c r="L4" s="2489"/>
      <c r="M4" s="2489"/>
      <c r="N4" s="2489"/>
      <c r="O4" s="2489"/>
      <c r="P4" s="2489"/>
      <c r="Q4" s="2489"/>
      <c r="R4" s="2489"/>
      <c r="S4" s="2489"/>
      <c r="T4" s="2489"/>
      <c r="U4" s="2489"/>
      <c r="V4" s="2489"/>
    </row>
    <row r="5" spans="1:22" ht="24.75" customHeight="1" x14ac:dyDescent="0.35">
      <c r="B5" s="2489" t="s">
        <v>428</v>
      </c>
      <c r="C5" s="2489"/>
      <c r="D5" s="2489"/>
      <c r="E5" s="2489"/>
      <c r="F5" s="2489"/>
      <c r="G5" s="2489"/>
      <c r="H5" s="2489"/>
      <c r="I5" s="2489"/>
      <c r="J5" s="2489"/>
      <c r="K5" s="2489"/>
      <c r="L5" s="2489"/>
      <c r="M5" s="2489"/>
      <c r="N5" s="2489"/>
      <c r="O5" s="2489"/>
      <c r="P5" s="2489"/>
      <c r="Q5" s="2489"/>
      <c r="R5" s="2489"/>
      <c r="S5" s="2489"/>
      <c r="T5" s="2489"/>
      <c r="U5" s="2489"/>
      <c r="V5" s="2489"/>
    </row>
    <row r="6" spans="1:22" ht="24.75" customHeight="1" x14ac:dyDescent="0.35">
      <c r="B6" s="2489" t="s">
        <v>396</v>
      </c>
      <c r="C6" s="2489"/>
      <c r="D6" s="2489"/>
      <c r="E6" s="2489"/>
      <c r="F6" s="2489"/>
      <c r="G6" s="2489"/>
      <c r="H6" s="2489"/>
      <c r="I6" s="2489"/>
      <c r="J6" s="2489"/>
      <c r="K6" s="2489"/>
      <c r="L6" s="2489"/>
      <c r="M6" s="2489"/>
      <c r="N6" s="2489"/>
      <c r="O6" s="2489"/>
      <c r="P6" s="2489"/>
      <c r="Q6" s="2489"/>
      <c r="R6" s="2489"/>
      <c r="S6" s="2489"/>
      <c r="T6" s="2489"/>
      <c r="U6" s="2489"/>
      <c r="V6" s="2489"/>
    </row>
    <row r="7" spans="1:22" s="1006" customFormat="1" ht="15" x14ac:dyDescent="0.3">
      <c r="A7" s="1007"/>
      <c r="B7" s="1007"/>
      <c r="C7" s="1007"/>
      <c r="D7" s="1008"/>
      <c r="E7" s="1009"/>
      <c r="U7" s="2490" t="s">
        <v>0</v>
      </c>
      <c r="V7" s="2490"/>
    </row>
    <row r="8" spans="1:22" s="1007" customFormat="1" ht="15.75" thickBot="1" x14ac:dyDescent="0.35">
      <c r="B8" s="1007" t="s">
        <v>875</v>
      </c>
      <c r="C8" s="1007" t="s">
        <v>3</v>
      </c>
      <c r="D8" s="1119" t="s">
        <v>2</v>
      </c>
      <c r="E8" s="1009" t="s">
        <v>4</v>
      </c>
      <c r="G8" s="1007" t="s">
        <v>5</v>
      </c>
      <c r="H8" s="1007" t="s">
        <v>15</v>
      </c>
      <c r="I8" s="1007" t="s">
        <v>16</v>
      </c>
      <c r="J8" s="1007" t="s">
        <v>17</v>
      </c>
      <c r="K8" s="1007" t="s">
        <v>36</v>
      </c>
      <c r="L8" s="1007" t="s">
        <v>30</v>
      </c>
      <c r="M8" s="1007" t="s">
        <v>23</v>
      </c>
      <c r="N8" s="1007" t="s">
        <v>37</v>
      </c>
      <c r="O8" s="1007" t="s">
        <v>38</v>
      </c>
      <c r="P8" s="1007" t="s">
        <v>160</v>
      </c>
      <c r="Q8" s="1007" t="s">
        <v>161</v>
      </c>
      <c r="R8" s="1007" t="s">
        <v>162</v>
      </c>
      <c r="S8" s="1120" t="s">
        <v>363</v>
      </c>
      <c r="T8" s="1120" t="s">
        <v>600</v>
      </c>
      <c r="U8" s="1120" t="s">
        <v>601</v>
      </c>
      <c r="V8" s="1120" t="s">
        <v>876</v>
      </c>
    </row>
    <row r="9" spans="1:22" s="302" customFormat="1" ht="24.75" customHeight="1" x14ac:dyDescent="0.2">
      <c r="A9" s="1121"/>
      <c r="B9" s="2505" t="s">
        <v>18</v>
      </c>
      <c r="C9" s="2508" t="s">
        <v>19</v>
      </c>
      <c r="D9" s="2511" t="s">
        <v>397</v>
      </c>
      <c r="E9" s="2514" t="s">
        <v>398</v>
      </c>
      <c r="F9" s="1122"/>
      <c r="G9" s="2517" t="s">
        <v>417</v>
      </c>
      <c r="H9" s="2517"/>
      <c r="I9" s="2492"/>
      <c r="J9" s="2492"/>
      <c r="K9" s="2492"/>
      <c r="L9" s="2492"/>
      <c r="M9" s="2492"/>
      <c r="N9" s="2492"/>
      <c r="O9" s="2518"/>
      <c r="P9" s="2491" t="s">
        <v>418</v>
      </c>
      <c r="Q9" s="2492"/>
      <c r="R9" s="2492"/>
      <c r="S9" s="2492"/>
      <c r="T9" s="2492"/>
      <c r="U9" s="2492"/>
      <c r="V9" s="2495" t="s">
        <v>608</v>
      </c>
    </row>
    <row r="10" spans="1:22" s="302" customFormat="1" ht="24.75" customHeight="1" x14ac:dyDescent="0.2">
      <c r="A10" s="1121"/>
      <c r="B10" s="2506"/>
      <c r="C10" s="2509"/>
      <c r="D10" s="2512"/>
      <c r="E10" s="2515"/>
      <c r="F10" s="1123"/>
      <c r="G10" s="2498" t="s">
        <v>399</v>
      </c>
      <c r="H10" s="2500" t="s">
        <v>899</v>
      </c>
      <c r="I10" s="2502" t="s">
        <v>401</v>
      </c>
      <c r="J10" s="2502"/>
      <c r="K10" s="2502"/>
      <c r="L10" s="2502"/>
      <c r="M10" s="2502"/>
      <c r="N10" s="2502"/>
      <c r="O10" s="2503" t="s">
        <v>400</v>
      </c>
      <c r="P10" s="2493"/>
      <c r="Q10" s="2494"/>
      <c r="R10" s="2494"/>
      <c r="S10" s="2494"/>
      <c r="T10" s="2494"/>
      <c r="U10" s="2494"/>
      <c r="V10" s="2496"/>
    </row>
    <row r="11" spans="1:22" s="302" customFormat="1" ht="60.75" customHeight="1" thickBot="1" x14ac:dyDescent="0.25">
      <c r="A11" s="1121"/>
      <c r="B11" s="2507"/>
      <c r="C11" s="2510"/>
      <c r="D11" s="2513"/>
      <c r="E11" s="2516"/>
      <c r="F11" s="1123"/>
      <c r="G11" s="2499"/>
      <c r="H11" s="2501"/>
      <c r="I11" s="371" t="s">
        <v>419</v>
      </c>
      <c r="J11" s="371" t="s">
        <v>531</v>
      </c>
      <c r="K11" s="371" t="s">
        <v>630</v>
      </c>
      <c r="L11" s="371" t="s">
        <v>877</v>
      </c>
      <c r="M11" s="371" t="s">
        <v>668</v>
      </c>
      <c r="N11" s="371" t="s">
        <v>669</v>
      </c>
      <c r="O11" s="2504"/>
      <c r="P11" s="372" t="s">
        <v>420</v>
      </c>
      <c r="Q11" s="373" t="s">
        <v>531</v>
      </c>
      <c r="R11" s="373" t="s">
        <v>630</v>
      </c>
      <c r="S11" s="373" t="s">
        <v>877</v>
      </c>
      <c r="T11" s="373" t="s">
        <v>668</v>
      </c>
      <c r="U11" s="373" t="s">
        <v>669</v>
      </c>
      <c r="V11" s="2497"/>
    </row>
    <row r="12" spans="1:22" s="302" customFormat="1" ht="33" customHeight="1" x14ac:dyDescent="0.35">
      <c r="A12" s="1124">
        <v>1</v>
      </c>
      <c r="B12" s="1125">
        <v>18</v>
      </c>
      <c r="C12" s="1126" t="s">
        <v>14</v>
      </c>
      <c r="D12" s="1127"/>
      <c r="E12" s="1128"/>
      <c r="F12" s="1129"/>
      <c r="G12" s="1130"/>
      <c r="H12" s="1131"/>
      <c r="I12" s="1132"/>
      <c r="J12" s="1132"/>
      <c r="K12" s="1132"/>
      <c r="L12" s="1132"/>
      <c r="M12" s="1132"/>
      <c r="N12" s="1132"/>
      <c r="O12" s="1133"/>
      <c r="P12" s="1130"/>
      <c r="Q12" s="1134"/>
      <c r="R12" s="1134"/>
      <c r="S12" s="1134"/>
      <c r="T12" s="1134"/>
      <c r="U12" s="1134"/>
      <c r="V12" s="1135"/>
    </row>
    <row r="13" spans="1:22" s="302" customFormat="1" ht="33.6" customHeight="1" x14ac:dyDescent="0.2">
      <c r="A13" s="1136">
        <v>2</v>
      </c>
      <c r="B13" s="1137"/>
      <c r="C13" s="1138">
        <v>1</v>
      </c>
      <c r="D13" s="1139" t="s">
        <v>605</v>
      </c>
      <c r="E13" s="1140" t="s">
        <v>878</v>
      </c>
      <c r="F13" s="637"/>
      <c r="G13" s="1141">
        <f>+V13-O13-H13</f>
        <v>187554</v>
      </c>
      <c r="H13" s="1142"/>
      <c r="I13" s="1143"/>
      <c r="J13" s="1143"/>
      <c r="K13" s="1143"/>
      <c r="L13" s="1143">
        <v>917181</v>
      </c>
      <c r="M13" s="1143">
        <v>15000</v>
      </c>
      <c r="N13" s="1143"/>
      <c r="O13" s="1144">
        <f t="shared" ref="O13" si="0">SUM(I13:N13)</f>
        <v>932181</v>
      </c>
      <c r="P13" s="1141"/>
      <c r="Q13" s="1143"/>
      <c r="R13" s="1143"/>
      <c r="S13" s="1143">
        <v>237</v>
      </c>
      <c r="T13" s="1143">
        <v>1119498</v>
      </c>
      <c r="U13" s="1143"/>
      <c r="V13" s="1145">
        <f t="shared" ref="V13" si="1">SUM(P13:U13)</f>
        <v>1119735</v>
      </c>
    </row>
    <row r="14" spans="1:22" ht="33" customHeight="1" x14ac:dyDescent="0.3">
      <c r="A14" s="1124">
        <v>3</v>
      </c>
      <c r="B14" s="636"/>
      <c r="C14" s="1146">
        <v>2</v>
      </c>
      <c r="D14" s="1147" t="s">
        <v>503</v>
      </c>
      <c r="E14" s="1140" t="s">
        <v>879</v>
      </c>
      <c r="F14" s="304"/>
      <c r="G14" s="1148">
        <f t="shared" ref="G14:G41" si="2">+V14-O14-H14</f>
        <v>0</v>
      </c>
      <c r="H14" s="1149"/>
      <c r="I14" s="1143"/>
      <c r="J14" s="1143"/>
      <c r="K14" s="1143">
        <v>17017</v>
      </c>
      <c r="L14" s="1143">
        <v>8958</v>
      </c>
      <c r="M14" s="1890"/>
      <c r="N14" s="1143"/>
      <c r="O14" s="1144">
        <f t="shared" ref="O14:O28" si="3">SUM(I14:N14)</f>
        <v>25975</v>
      </c>
      <c r="P14" s="1150"/>
      <c r="Q14" s="1151"/>
      <c r="R14" s="1151">
        <v>12413</v>
      </c>
      <c r="S14" s="1151">
        <f>2345+10041</f>
        <v>12386</v>
      </c>
      <c r="T14" s="1151">
        <f>655+482+39</f>
        <v>1176</v>
      </c>
      <c r="U14" s="1143"/>
      <c r="V14" s="1145">
        <f t="shared" ref="V14:V41" si="4">SUM(P14:U14)</f>
        <v>25975</v>
      </c>
    </row>
    <row r="15" spans="1:22" ht="33" customHeight="1" x14ac:dyDescent="0.3">
      <c r="A15" s="1124">
        <v>4</v>
      </c>
      <c r="B15" s="636"/>
      <c r="C15" s="1146">
        <v>3</v>
      </c>
      <c r="D15" s="1139" t="s">
        <v>672</v>
      </c>
      <c r="E15" s="1140" t="s">
        <v>878</v>
      </c>
      <c r="F15" s="304"/>
      <c r="G15" s="1148">
        <f t="shared" si="2"/>
        <v>59476</v>
      </c>
      <c r="H15" s="1149"/>
      <c r="I15" s="1143"/>
      <c r="J15" s="1143"/>
      <c r="K15" s="1143"/>
      <c r="L15" s="1143"/>
      <c r="M15" s="1143">
        <v>223100</v>
      </c>
      <c r="N15" s="1143"/>
      <c r="O15" s="1144">
        <f t="shared" si="3"/>
        <v>223100</v>
      </c>
      <c r="P15" s="1150"/>
      <c r="Q15" s="1151">
        <v>6699</v>
      </c>
      <c r="R15" s="1151"/>
      <c r="S15" s="1151"/>
      <c r="T15" s="1151">
        <v>275877</v>
      </c>
      <c r="U15" s="1143"/>
      <c r="V15" s="1145">
        <f t="shared" si="4"/>
        <v>282576</v>
      </c>
    </row>
    <row r="16" spans="1:22" ht="33" customHeight="1" x14ac:dyDescent="0.3">
      <c r="A16" s="1136">
        <v>5</v>
      </c>
      <c r="B16" s="636"/>
      <c r="C16" s="1146">
        <v>4</v>
      </c>
      <c r="D16" s="1139" t="s">
        <v>673</v>
      </c>
      <c r="E16" s="1140" t="s">
        <v>879</v>
      </c>
      <c r="F16" s="304"/>
      <c r="G16" s="1148">
        <f t="shared" si="2"/>
        <v>5021</v>
      </c>
      <c r="H16" s="1149"/>
      <c r="I16" s="1143"/>
      <c r="J16" s="1143"/>
      <c r="K16" s="1143">
        <v>58534</v>
      </c>
      <c r="L16" s="1143"/>
      <c r="M16" s="1143">
        <v>3081</v>
      </c>
      <c r="N16" s="1143"/>
      <c r="O16" s="1144">
        <f t="shared" si="3"/>
        <v>61615</v>
      </c>
      <c r="P16" s="1150"/>
      <c r="Q16" s="1151"/>
      <c r="R16" s="1151">
        <v>143</v>
      </c>
      <c r="S16" s="1151">
        <v>64724</v>
      </c>
      <c r="T16" s="1151">
        <v>1769</v>
      </c>
      <c r="U16" s="1143"/>
      <c r="V16" s="1145">
        <f t="shared" si="4"/>
        <v>66636</v>
      </c>
    </row>
    <row r="17" spans="1:22" s="302" customFormat="1" ht="33" x14ac:dyDescent="0.3">
      <c r="A17" s="1124">
        <v>6</v>
      </c>
      <c r="B17" s="636"/>
      <c r="C17" s="1146">
        <v>5</v>
      </c>
      <c r="D17" s="421" t="s">
        <v>613</v>
      </c>
      <c r="E17" s="1140" t="s">
        <v>878</v>
      </c>
      <c r="F17" s="637"/>
      <c r="G17" s="1148">
        <f t="shared" si="2"/>
        <v>41474</v>
      </c>
      <c r="H17" s="1149"/>
      <c r="I17" s="1143"/>
      <c r="J17" s="1143"/>
      <c r="K17" s="1143"/>
      <c r="L17" s="1143">
        <v>134273</v>
      </c>
      <c r="M17" s="1143">
        <v>0</v>
      </c>
      <c r="N17" s="1143"/>
      <c r="O17" s="1144">
        <f t="shared" si="3"/>
        <v>134273</v>
      </c>
      <c r="P17" s="1141">
        <v>2921</v>
      </c>
      <c r="Q17" s="1143">
        <v>3620</v>
      </c>
      <c r="R17" s="1143"/>
      <c r="S17" s="1143"/>
      <c r="T17" s="1143">
        <f>165956+3250</f>
        <v>169206</v>
      </c>
      <c r="U17" s="1143"/>
      <c r="V17" s="1145">
        <f t="shared" si="4"/>
        <v>175747</v>
      </c>
    </row>
    <row r="18" spans="1:22" ht="33" customHeight="1" x14ac:dyDescent="0.3">
      <c r="A18" s="1124">
        <v>7</v>
      </c>
      <c r="B18" s="636"/>
      <c r="C18" s="1146">
        <v>6</v>
      </c>
      <c r="D18" s="1139" t="s">
        <v>675</v>
      </c>
      <c r="E18" s="1140" t="s">
        <v>880</v>
      </c>
      <c r="F18" s="304"/>
      <c r="G18" s="1148">
        <f t="shared" si="2"/>
        <v>28154</v>
      </c>
      <c r="H18" s="1149"/>
      <c r="I18" s="1143"/>
      <c r="J18" s="1143"/>
      <c r="K18" s="1143"/>
      <c r="L18" s="1143">
        <v>19069</v>
      </c>
      <c r="M18" s="1143">
        <f>20344-2775</f>
        <v>17569</v>
      </c>
      <c r="N18" s="1143"/>
      <c r="O18" s="1144">
        <f t="shared" si="3"/>
        <v>36638</v>
      </c>
      <c r="P18" s="1141"/>
      <c r="Q18" s="1143"/>
      <c r="R18" s="1143">
        <v>1956</v>
      </c>
      <c r="S18" s="1143"/>
      <c r="T18" s="1143">
        <f>48836+14000</f>
        <v>62836</v>
      </c>
      <c r="U18" s="1143"/>
      <c r="V18" s="1145">
        <f t="shared" si="4"/>
        <v>64792</v>
      </c>
    </row>
    <row r="19" spans="1:22" ht="33" customHeight="1" x14ac:dyDescent="0.3">
      <c r="A19" s="1136">
        <v>8</v>
      </c>
      <c r="B19" s="636"/>
      <c r="C19" s="1146">
        <v>7</v>
      </c>
      <c r="D19" s="1139" t="s">
        <v>676</v>
      </c>
      <c r="E19" s="1140" t="s">
        <v>880</v>
      </c>
      <c r="F19" s="304"/>
      <c r="G19" s="1148">
        <f>+V19-O19-H19</f>
        <v>25517</v>
      </c>
      <c r="H19" s="1149"/>
      <c r="I19" s="1143"/>
      <c r="J19" s="1143"/>
      <c r="K19" s="1143"/>
      <c r="L19" s="1143">
        <v>27673</v>
      </c>
      <c r="M19" s="1143">
        <f>25819</f>
        <v>25819</v>
      </c>
      <c r="N19" s="1143"/>
      <c r="O19" s="1144">
        <f t="shared" si="3"/>
        <v>53492</v>
      </c>
      <c r="P19" s="1141"/>
      <c r="Q19" s="1143"/>
      <c r="R19" s="1143">
        <v>2459</v>
      </c>
      <c r="S19" s="1143"/>
      <c r="T19" s="1143">
        <f>90550-14000</f>
        <v>76550</v>
      </c>
      <c r="U19" s="1143"/>
      <c r="V19" s="1145">
        <f t="shared" si="4"/>
        <v>79009</v>
      </c>
    </row>
    <row r="20" spans="1:22" ht="33" customHeight="1" x14ac:dyDescent="0.3">
      <c r="A20" s="1124">
        <v>9</v>
      </c>
      <c r="B20" s="636"/>
      <c r="C20" s="1146">
        <v>8</v>
      </c>
      <c r="D20" s="1139" t="s">
        <v>881</v>
      </c>
      <c r="E20" s="1140" t="s">
        <v>879</v>
      </c>
      <c r="F20" s="304"/>
      <c r="G20" s="1148">
        <f t="shared" si="2"/>
        <v>1320</v>
      </c>
      <c r="H20" s="1149"/>
      <c r="I20" s="1143"/>
      <c r="J20" s="1143"/>
      <c r="K20" s="1143">
        <v>71352</v>
      </c>
      <c r="L20" s="1143"/>
      <c r="M20" s="1143">
        <v>-45</v>
      </c>
      <c r="N20" s="1143"/>
      <c r="O20" s="1144">
        <f>SUM(I20:N20)</f>
        <v>71307</v>
      </c>
      <c r="P20" s="1150"/>
      <c r="Q20" s="1151"/>
      <c r="R20" s="1151">
        <v>4926</v>
      </c>
      <c r="S20" s="1151">
        <v>67701</v>
      </c>
      <c r="T20" s="1151"/>
      <c r="U20" s="1143"/>
      <c r="V20" s="1145">
        <f t="shared" si="4"/>
        <v>72627</v>
      </c>
    </row>
    <row r="21" spans="1:22" s="302" customFormat="1" ht="66" x14ac:dyDescent="0.2">
      <c r="A21" s="1124">
        <v>10</v>
      </c>
      <c r="B21" s="636"/>
      <c r="C21" s="1146">
        <v>9</v>
      </c>
      <c r="D21" s="1139" t="s">
        <v>614</v>
      </c>
      <c r="E21" s="1140" t="s">
        <v>878</v>
      </c>
      <c r="F21" s="637"/>
      <c r="G21" s="1148">
        <f>+V21-O21-H21</f>
        <v>3810</v>
      </c>
      <c r="H21" s="1149"/>
      <c r="I21" s="1143"/>
      <c r="J21" s="1143"/>
      <c r="K21" s="1143"/>
      <c r="L21" s="1143">
        <v>87086</v>
      </c>
      <c r="M21" s="1143">
        <v>-87086</v>
      </c>
      <c r="N21" s="1143"/>
      <c r="O21" s="1144">
        <f t="shared" si="3"/>
        <v>0</v>
      </c>
      <c r="P21" s="1141"/>
      <c r="Q21" s="1143"/>
      <c r="R21" s="1143">
        <f>4834-1024</f>
        <v>3810</v>
      </c>
      <c r="S21" s="1143">
        <f>40-40</f>
        <v>0</v>
      </c>
      <c r="T21" s="1143">
        <f>195772-195772</f>
        <v>0</v>
      </c>
      <c r="U21" s="1143"/>
      <c r="V21" s="1145">
        <f t="shared" si="4"/>
        <v>3810</v>
      </c>
    </row>
    <row r="22" spans="1:22" s="302" customFormat="1" ht="66" x14ac:dyDescent="0.3">
      <c r="A22" s="1136">
        <v>11</v>
      </c>
      <c r="B22" s="636"/>
      <c r="C22" s="1146">
        <v>10</v>
      </c>
      <c r="D22" s="421" t="s">
        <v>1031</v>
      </c>
      <c r="E22" s="1140" t="s">
        <v>1032</v>
      </c>
      <c r="F22" s="637"/>
      <c r="G22" s="1148">
        <f>+V22-O22-H22</f>
        <v>750</v>
      </c>
      <c r="H22" s="1149"/>
      <c r="I22" s="1143"/>
      <c r="J22" s="1143"/>
      <c r="K22" s="1143"/>
      <c r="L22" s="1143"/>
      <c r="M22" s="1143">
        <v>307086</v>
      </c>
      <c r="N22" s="1143"/>
      <c r="O22" s="1144">
        <f t="shared" si="3"/>
        <v>307086</v>
      </c>
      <c r="P22" s="1141"/>
      <c r="Q22" s="1143"/>
      <c r="R22" s="1143">
        <f>984+40</f>
        <v>1024</v>
      </c>
      <c r="S22" s="1143">
        <v>40</v>
      </c>
      <c r="T22" s="1143">
        <f>307086-1064+750</f>
        <v>306772</v>
      </c>
      <c r="U22" s="1143"/>
      <c r="V22" s="1145">
        <f t="shared" si="4"/>
        <v>307836</v>
      </c>
    </row>
    <row r="23" spans="1:22" ht="33" customHeight="1" x14ac:dyDescent="0.3">
      <c r="A23" s="1124">
        <v>12</v>
      </c>
      <c r="B23" s="636"/>
      <c r="C23" s="1146">
        <v>11</v>
      </c>
      <c r="D23" s="1139" t="s">
        <v>674</v>
      </c>
      <c r="E23" s="1140" t="s">
        <v>878</v>
      </c>
      <c r="F23" s="304"/>
      <c r="G23" s="1148">
        <f t="shared" si="2"/>
        <v>161006</v>
      </c>
      <c r="H23" s="1149"/>
      <c r="I23" s="1143"/>
      <c r="J23" s="1143"/>
      <c r="K23" s="1143"/>
      <c r="L23" s="1143">
        <v>173975</v>
      </c>
      <c r="M23" s="1143">
        <v>0</v>
      </c>
      <c r="N23" s="1143"/>
      <c r="O23" s="1144">
        <f t="shared" si="3"/>
        <v>173975</v>
      </c>
      <c r="P23" s="1141"/>
      <c r="Q23" s="1143"/>
      <c r="R23" s="1143">
        <v>6401</v>
      </c>
      <c r="S23" s="1143">
        <v>100</v>
      </c>
      <c r="T23" s="1143">
        <v>328480</v>
      </c>
      <c r="U23" s="1143"/>
      <c r="V23" s="1145">
        <f t="shared" si="4"/>
        <v>334981</v>
      </c>
    </row>
    <row r="24" spans="1:22" ht="33" customHeight="1" x14ac:dyDescent="0.3">
      <c r="A24" s="1124">
        <v>13</v>
      </c>
      <c r="B24" s="636"/>
      <c r="C24" s="1146">
        <v>12</v>
      </c>
      <c r="D24" s="1139" t="s">
        <v>677</v>
      </c>
      <c r="E24" s="1140" t="s">
        <v>882</v>
      </c>
      <c r="F24" s="304"/>
      <c r="G24" s="1148">
        <f t="shared" si="2"/>
        <v>397000</v>
      </c>
      <c r="H24" s="1149"/>
      <c r="I24" s="1143"/>
      <c r="J24" s="1143"/>
      <c r="K24" s="1143">
        <v>2092161</v>
      </c>
      <c r="L24" s="1143"/>
      <c r="M24" s="1143">
        <v>1107839</v>
      </c>
      <c r="N24" s="1143"/>
      <c r="O24" s="1144">
        <f t="shared" si="3"/>
        <v>3200000</v>
      </c>
      <c r="P24" s="1141">
        <v>40063</v>
      </c>
      <c r="Q24" s="1143">
        <v>83854</v>
      </c>
      <c r="R24" s="1143">
        <v>327034</v>
      </c>
      <c r="S24" s="1143">
        <v>1231269</v>
      </c>
      <c r="T24" s="1143">
        <v>1914780</v>
      </c>
      <c r="U24" s="1143"/>
      <c r="V24" s="1145">
        <f t="shared" si="4"/>
        <v>3597000</v>
      </c>
    </row>
    <row r="25" spans="1:22" ht="51" customHeight="1" x14ac:dyDescent="0.3">
      <c r="A25" s="1136">
        <v>14</v>
      </c>
      <c r="B25" s="636"/>
      <c r="C25" s="1146">
        <v>13</v>
      </c>
      <c r="D25" s="1139" t="s">
        <v>1021</v>
      </c>
      <c r="E25" s="1140" t="s">
        <v>883</v>
      </c>
      <c r="F25" s="304"/>
      <c r="G25" s="1148">
        <f t="shared" si="2"/>
        <v>0</v>
      </c>
      <c r="H25" s="1149"/>
      <c r="I25" s="1143"/>
      <c r="J25" s="1143"/>
      <c r="K25" s="1143">
        <v>19671</v>
      </c>
      <c r="L25" s="1143"/>
      <c r="M25" s="1143">
        <f>12000+208329</f>
        <v>220329</v>
      </c>
      <c r="N25" s="1143"/>
      <c r="O25" s="1144">
        <f t="shared" si="3"/>
        <v>240000</v>
      </c>
      <c r="P25" s="1141"/>
      <c r="Q25" s="1143"/>
      <c r="R25" s="1143">
        <v>9749</v>
      </c>
      <c r="S25" s="1143">
        <v>3835</v>
      </c>
      <c r="T25" s="1143">
        <f>220416+6000</f>
        <v>226416</v>
      </c>
      <c r="U25" s="1143"/>
      <c r="V25" s="1145">
        <f t="shared" si="4"/>
        <v>240000</v>
      </c>
    </row>
    <row r="26" spans="1:22" s="302" customFormat="1" ht="33" x14ac:dyDescent="0.2">
      <c r="A26" s="1124">
        <v>15</v>
      </c>
      <c r="B26" s="636"/>
      <c r="C26" s="1146">
        <v>14</v>
      </c>
      <c r="D26" s="1139" t="s">
        <v>678</v>
      </c>
      <c r="E26" s="1140" t="s">
        <v>884</v>
      </c>
      <c r="F26" s="637"/>
      <c r="G26" s="1148">
        <f t="shared" si="2"/>
        <v>0</v>
      </c>
      <c r="H26" s="1149"/>
      <c r="I26" s="1143"/>
      <c r="J26" s="1143"/>
      <c r="K26" s="1143"/>
      <c r="L26" s="1143">
        <v>480600</v>
      </c>
      <c r="M26" s="1143">
        <v>21000</v>
      </c>
      <c r="N26" s="1143"/>
      <c r="O26" s="1144">
        <f t="shared" si="3"/>
        <v>501600</v>
      </c>
      <c r="P26" s="1141"/>
      <c r="Q26" s="1143"/>
      <c r="R26" s="1143">
        <v>326</v>
      </c>
      <c r="S26" s="1143">
        <v>17127</v>
      </c>
      <c r="T26" s="1143">
        <f>472147+12000</f>
        <v>484147</v>
      </c>
      <c r="U26" s="1143"/>
      <c r="V26" s="1145">
        <f t="shared" si="4"/>
        <v>501600</v>
      </c>
    </row>
    <row r="27" spans="1:22" s="302" customFormat="1" ht="55.5" customHeight="1" x14ac:dyDescent="0.2">
      <c r="A27" s="1124">
        <v>16</v>
      </c>
      <c r="B27" s="636"/>
      <c r="C27" s="1146">
        <v>15</v>
      </c>
      <c r="D27" s="1139" t="s">
        <v>539</v>
      </c>
      <c r="E27" s="1140" t="s">
        <v>885</v>
      </c>
      <c r="F27" s="637"/>
      <c r="G27" s="1148">
        <f>+V27-O27-H27</f>
        <v>143176</v>
      </c>
      <c r="H27" s="1149"/>
      <c r="I27" s="1143">
        <v>977327</v>
      </c>
      <c r="J27" s="1143"/>
      <c r="K27" s="1143"/>
      <c r="L27" s="1143"/>
      <c r="M27" s="1143">
        <v>27091</v>
      </c>
      <c r="N27" s="1143"/>
      <c r="O27" s="1144">
        <f t="shared" si="3"/>
        <v>1004418</v>
      </c>
      <c r="P27" s="1141">
        <v>25062</v>
      </c>
      <c r="Q27" s="1143">
        <v>32060</v>
      </c>
      <c r="R27" s="1143">
        <v>393153</v>
      </c>
      <c r="S27" s="1143">
        <f>688437</f>
        <v>688437</v>
      </c>
      <c r="T27" s="1143">
        <f>8968-86</f>
        <v>8882</v>
      </c>
      <c r="U27" s="1143"/>
      <c r="V27" s="1145">
        <f>SUM(P27:U27)</f>
        <v>1147594</v>
      </c>
    </row>
    <row r="28" spans="1:22" s="302" customFormat="1" ht="55.5" customHeight="1" x14ac:dyDescent="0.2">
      <c r="A28" s="1136">
        <v>17</v>
      </c>
      <c r="B28" s="636"/>
      <c r="C28" s="1146">
        <v>16</v>
      </c>
      <c r="D28" s="1139" t="s">
        <v>1305</v>
      </c>
      <c r="E28" s="1140" t="s">
        <v>886</v>
      </c>
      <c r="F28" s="637"/>
      <c r="G28" s="1148">
        <f>+V28-O28-H28</f>
        <v>0</v>
      </c>
      <c r="H28" s="1149"/>
      <c r="I28" s="1143"/>
      <c r="J28" s="1143"/>
      <c r="K28" s="1143"/>
      <c r="L28" s="1143"/>
      <c r="M28" s="1143">
        <v>906000</v>
      </c>
      <c r="N28" s="1143"/>
      <c r="O28" s="1144">
        <f t="shared" si="3"/>
        <v>906000</v>
      </c>
      <c r="P28" s="1141"/>
      <c r="Q28" s="1143"/>
      <c r="R28" s="1143"/>
      <c r="S28" s="1143"/>
      <c r="T28" s="1143">
        <v>906000</v>
      </c>
      <c r="U28" s="1143"/>
      <c r="V28" s="1145">
        <f>SUM(P28:U28)</f>
        <v>906000</v>
      </c>
    </row>
    <row r="29" spans="1:22" ht="34.5" customHeight="1" x14ac:dyDescent="0.3">
      <c r="A29" s="1124">
        <v>18</v>
      </c>
      <c r="B29" s="636"/>
      <c r="C29" s="1146">
        <v>17</v>
      </c>
      <c r="D29" s="1139" t="s">
        <v>500</v>
      </c>
      <c r="E29" s="1140" t="s">
        <v>879</v>
      </c>
      <c r="F29" s="304"/>
      <c r="G29" s="1148">
        <f t="shared" si="2"/>
        <v>62406</v>
      </c>
      <c r="H29" s="1149"/>
      <c r="I29" s="1143"/>
      <c r="J29" s="1143"/>
      <c r="K29" s="1143">
        <v>227554</v>
      </c>
      <c r="L29" s="1143"/>
      <c r="M29" s="1143">
        <v>10916</v>
      </c>
      <c r="N29" s="1143"/>
      <c r="O29" s="1144">
        <f t="shared" ref="O29:O41" si="5">SUM(I29:N29)</f>
        <v>238470</v>
      </c>
      <c r="P29" s="1141"/>
      <c r="Q29" s="1143"/>
      <c r="R29" s="1143">
        <v>4460</v>
      </c>
      <c r="S29" s="1151">
        <v>267453</v>
      </c>
      <c r="T29" s="1151">
        <f>23001+5962</f>
        <v>28963</v>
      </c>
      <c r="U29" s="1143"/>
      <c r="V29" s="1145">
        <f t="shared" si="4"/>
        <v>300876</v>
      </c>
    </row>
    <row r="30" spans="1:22" s="302" customFormat="1" ht="33" x14ac:dyDescent="0.3">
      <c r="A30" s="1124">
        <v>19</v>
      </c>
      <c r="B30" s="636"/>
      <c r="C30" s="1146">
        <v>18</v>
      </c>
      <c r="D30" s="421" t="s">
        <v>612</v>
      </c>
      <c r="E30" s="1140" t="s">
        <v>878</v>
      </c>
      <c r="F30" s="637"/>
      <c r="G30" s="1148">
        <f t="shared" si="2"/>
        <v>33060</v>
      </c>
      <c r="H30" s="1149"/>
      <c r="I30" s="1143"/>
      <c r="J30" s="1143"/>
      <c r="K30" s="1143"/>
      <c r="L30" s="1143">
        <v>788115</v>
      </c>
      <c r="M30" s="1143">
        <f>41400-41400-788115</f>
        <v>-788115</v>
      </c>
      <c r="N30" s="1143"/>
      <c r="O30" s="1144">
        <f t="shared" si="5"/>
        <v>0</v>
      </c>
      <c r="P30" s="1141"/>
      <c r="Q30" s="1143"/>
      <c r="R30" s="1143">
        <v>6414</v>
      </c>
      <c r="S30" s="1143">
        <v>26646</v>
      </c>
      <c r="T30" s="1143">
        <f>782603+13852-13852-10750-771853</f>
        <v>0</v>
      </c>
      <c r="U30" s="1143"/>
      <c r="V30" s="1145">
        <f t="shared" si="4"/>
        <v>33060</v>
      </c>
    </row>
    <row r="31" spans="1:22" ht="33" customHeight="1" x14ac:dyDescent="0.3">
      <c r="A31" s="1136">
        <v>20</v>
      </c>
      <c r="B31" s="636"/>
      <c r="C31" s="1146">
        <v>19</v>
      </c>
      <c r="D31" s="1152" t="s">
        <v>642</v>
      </c>
      <c r="E31" s="1140" t="s">
        <v>886</v>
      </c>
      <c r="F31" s="304"/>
      <c r="G31" s="1148">
        <f t="shared" si="2"/>
        <v>96381</v>
      </c>
      <c r="H31" s="1149"/>
      <c r="I31" s="1143"/>
      <c r="J31" s="1143"/>
      <c r="K31" s="1143"/>
      <c r="L31" s="1143">
        <v>1544000</v>
      </c>
      <c r="M31" s="1143">
        <f>76000-76000-1544000</f>
        <v>-1544000</v>
      </c>
      <c r="N31" s="1143"/>
      <c r="O31" s="1144">
        <f t="shared" si="5"/>
        <v>0</v>
      </c>
      <c r="P31" s="1141"/>
      <c r="Q31" s="1143"/>
      <c r="R31" s="1143">
        <v>16599</v>
      </c>
      <c r="S31" s="1143">
        <v>79782</v>
      </c>
      <c r="T31" s="1143">
        <f>1561731+22278-1561731-22278</f>
        <v>0</v>
      </c>
      <c r="U31" s="1143"/>
      <c r="V31" s="1145">
        <f t="shared" si="4"/>
        <v>96381</v>
      </c>
    </row>
    <row r="32" spans="1:22" ht="33" customHeight="1" x14ac:dyDescent="0.3">
      <c r="A32" s="1124">
        <v>21</v>
      </c>
      <c r="B32" s="636"/>
      <c r="C32" s="1146">
        <v>20</v>
      </c>
      <c r="D32" s="1139" t="s">
        <v>581</v>
      </c>
      <c r="E32" s="1140" t="s">
        <v>884</v>
      </c>
      <c r="F32" s="304"/>
      <c r="G32" s="1153">
        <f>+V32-O32-H32</f>
        <v>0</v>
      </c>
      <c r="H32" s="1154">
        <v>277946</v>
      </c>
      <c r="I32" s="1143"/>
      <c r="J32" s="1143"/>
      <c r="K32" s="1143">
        <v>558299</v>
      </c>
      <c r="L32" s="1143"/>
      <c r="M32" s="1143">
        <v>793085</v>
      </c>
      <c r="N32" s="1143"/>
      <c r="O32" s="1144">
        <f>SUM(I32:N32)</f>
        <v>1351384</v>
      </c>
      <c r="P32" s="1150"/>
      <c r="Q32" s="1151"/>
      <c r="R32" s="1151">
        <v>28000</v>
      </c>
      <c r="S32" s="1151">
        <v>26441</v>
      </c>
      <c r="T32" s="1151">
        <v>1574889</v>
      </c>
      <c r="U32" s="1143"/>
      <c r="V32" s="1145">
        <f t="shared" si="4"/>
        <v>1629330</v>
      </c>
    </row>
    <row r="33" spans="1:22" ht="33" customHeight="1" x14ac:dyDescent="0.3">
      <c r="A33" s="1124">
        <v>22</v>
      </c>
      <c r="B33" s="636"/>
      <c r="C33" s="1146">
        <v>21</v>
      </c>
      <c r="D33" s="1139" t="s">
        <v>679</v>
      </c>
      <c r="E33" s="1235" t="s">
        <v>880</v>
      </c>
      <c r="F33" s="304"/>
      <c r="G33" s="1148">
        <f t="shared" si="2"/>
        <v>0</v>
      </c>
      <c r="H33" s="1149"/>
      <c r="I33" s="1143"/>
      <c r="J33" s="1143"/>
      <c r="K33" s="1143"/>
      <c r="L33" s="1151">
        <v>815</v>
      </c>
      <c r="M33" s="1151">
        <f>3977-3977</f>
        <v>0</v>
      </c>
      <c r="N33" s="1143"/>
      <c r="O33" s="1144">
        <f t="shared" si="5"/>
        <v>815</v>
      </c>
      <c r="P33" s="1150"/>
      <c r="Q33" s="1151"/>
      <c r="R33" s="1151"/>
      <c r="S33" s="1151"/>
      <c r="T33" s="1151">
        <f>4792-3977</f>
        <v>815</v>
      </c>
      <c r="U33" s="1143"/>
      <c r="V33" s="1145">
        <f t="shared" si="4"/>
        <v>815</v>
      </c>
    </row>
    <row r="34" spans="1:22" ht="49.5" x14ac:dyDescent="0.3">
      <c r="A34" s="1136">
        <v>23</v>
      </c>
      <c r="B34" s="636"/>
      <c r="C34" s="1146">
        <v>22</v>
      </c>
      <c r="D34" s="1155" t="s">
        <v>680</v>
      </c>
      <c r="E34" s="1140" t="s">
        <v>886</v>
      </c>
      <c r="F34" s="304"/>
      <c r="G34" s="1148">
        <f t="shared" si="2"/>
        <v>12126</v>
      </c>
      <c r="H34" s="1149"/>
      <c r="I34" s="1143"/>
      <c r="J34" s="1143"/>
      <c r="K34" s="1143"/>
      <c r="L34" s="1143">
        <v>243150</v>
      </c>
      <c r="M34" s="1143">
        <v>11850</v>
      </c>
      <c r="N34" s="1143"/>
      <c r="O34" s="1144">
        <f t="shared" si="5"/>
        <v>255000</v>
      </c>
      <c r="P34" s="1141"/>
      <c r="Q34" s="1143"/>
      <c r="R34" s="1143">
        <v>4379</v>
      </c>
      <c r="S34" s="1143">
        <v>12827</v>
      </c>
      <c r="T34" s="1143">
        <v>249920</v>
      </c>
      <c r="U34" s="1143"/>
      <c r="V34" s="1145">
        <f t="shared" si="4"/>
        <v>267126</v>
      </c>
    </row>
    <row r="35" spans="1:22" ht="33" customHeight="1" x14ac:dyDescent="0.3">
      <c r="A35" s="1124">
        <v>24</v>
      </c>
      <c r="B35" s="636"/>
      <c r="C35" s="1146">
        <v>23</v>
      </c>
      <c r="D35" s="1147" t="s">
        <v>841</v>
      </c>
      <c r="E35" s="1140" t="s">
        <v>887</v>
      </c>
      <c r="F35" s="304"/>
      <c r="G35" s="1148">
        <f t="shared" si="2"/>
        <v>0</v>
      </c>
      <c r="H35" s="1149"/>
      <c r="I35" s="1143"/>
      <c r="J35" s="1143"/>
      <c r="K35" s="1143"/>
      <c r="L35" s="1143">
        <f>23652+14397</f>
        <v>38049</v>
      </c>
      <c r="M35" s="1143">
        <f>31805+70955+43191</f>
        <v>145951</v>
      </c>
      <c r="N35" s="1143"/>
      <c r="O35" s="1144">
        <f t="shared" si="5"/>
        <v>184000</v>
      </c>
      <c r="P35" s="1141"/>
      <c r="Q35" s="1143"/>
      <c r="R35" s="1143">
        <v>9200</v>
      </c>
      <c r="S35" s="1143">
        <f>3350+5228+2097</f>
        <v>10675</v>
      </c>
      <c r="T35" s="1143">
        <f>19255+89379+55491</f>
        <v>164125</v>
      </c>
      <c r="U35" s="1143"/>
      <c r="V35" s="1145">
        <f t="shared" si="4"/>
        <v>184000</v>
      </c>
    </row>
    <row r="36" spans="1:22" ht="49.5" x14ac:dyDescent="0.3">
      <c r="A36" s="1124">
        <v>25</v>
      </c>
      <c r="B36" s="636"/>
      <c r="C36" s="1146">
        <v>24</v>
      </c>
      <c r="D36" s="1139" t="s">
        <v>537</v>
      </c>
      <c r="E36" s="1140" t="s">
        <v>884</v>
      </c>
      <c r="F36" s="304"/>
      <c r="G36" s="1148">
        <f t="shared" si="2"/>
        <v>695</v>
      </c>
      <c r="H36" s="1149"/>
      <c r="I36" s="1143"/>
      <c r="J36" s="1143"/>
      <c r="K36" s="1143">
        <v>24175</v>
      </c>
      <c r="L36" s="1143"/>
      <c r="M36" s="1143">
        <v>24175</v>
      </c>
      <c r="N36" s="1143"/>
      <c r="O36" s="1144">
        <f t="shared" si="5"/>
        <v>48350</v>
      </c>
      <c r="P36" s="1150"/>
      <c r="Q36" s="1151"/>
      <c r="R36" s="1151">
        <v>1176</v>
      </c>
      <c r="S36" s="1151">
        <v>23808</v>
      </c>
      <c r="T36" s="1151">
        <f>24004+62-5</f>
        <v>24061</v>
      </c>
      <c r="U36" s="1143"/>
      <c r="V36" s="1145">
        <f t="shared" si="4"/>
        <v>49045</v>
      </c>
    </row>
    <row r="37" spans="1:22" ht="33" customHeight="1" x14ac:dyDescent="0.3">
      <c r="A37" s="1136">
        <v>26</v>
      </c>
      <c r="B37" s="636"/>
      <c r="C37" s="1146">
        <v>25</v>
      </c>
      <c r="D37" s="1139" t="s">
        <v>671</v>
      </c>
      <c r="E37" s="1140" t="s">
        <v>879</v>
      </c>
      <c r="F37" s="304"/>
      <c r="G37" s="1148">
        <f t="shared" si="2"/>
        <v>0</v>
      </c>
      <c r="H37" s="1149"/>
      <c r="I37" s="1143"/>
      <c r="J37" s="1143"/>
      <c r="K37" s="1143">
        <v>9031</v>
      </c>
      <c r="L37" s="1143">
        <v>8</v>
      </c>
      <c r="M37" s="1143">
        <v>0</v>
      </c>
      <c r="N37" s="1143"/>
      <c r="O37" s="1144">
        <f t="shared" si="5"/>
        <v>9039</v>
      </c>
      <c r="P37" s="1141"/>
      <c r="Q37" s="1143"/>
      <c r="R37" s="1143">
        <v>7830</v>
      </c>
      <c r="S37" s="1143">
        <v>186</v>
      </c>
      <c r="T37" s="1143">
        <v>1023</v>
      </c>
      <c r="U37" s="1143"/>
      <c r="V37" s="1145">
        <f t="shared" si="4"/>
        <v>9039</v>
      </c>
    </row>
    <row r="38" spans="1:22" ht="33" customHeight="1" x14ac:dyDescent="0.3">
      <c r="A38" s="1124">
        <v>27</v>
      </c>
      <c r="B38" s="636"/>
      <c r="C38" s="1146">
        <v>26</v>
      </c>
      <c r="D38" s="1139" t="s">
        <v>888</v>
      </c>
      <c r="E38" s="1140" t="s">
        <v>886</v>
      </c>
      <c r="F38" s="304"/>
      <c r="G38" s="1148">
        <f t="shared" si="2"/>
        <v>11302</v>
      </c>
      <c r="H38" s="1149"/>
      <c r="I38" s="1143"/>
      <c r="J38" s="1143"/>
      <c r="K38" s="1143"/>
      <c r="L38" s="1143"/>
      <c r="M38" s="1143">
        <f>11175+5830</f>
        <v>17005</v>
      </c>
      <c r="N38" s="1143"/>
      <c r="O38" s="1144">
        <f t="shared" si="5"/>
        <v>17005</v>
      </c>
      <c r="P38" s="1141"/>
      <c r="Q38" s="1143"/>
      <c r="R38" s="1143"/>
      <c r="S38" s="1143">
        <v>8399</v>
      </c>
      <c r="T38" s="1143">
        <f>19581+327</f>
        <v>19908</v>
      </c>
      <c r="U38" s="1143"/>
      <c r="V38" s="1145">
        <f t="shared" si="4"/>
        <v>28307</v>
      </c>
    </row>
    <row r="39" spans="1:22" ht="49.5" x14ac:dyDescent="0.3">
      <c r="A39" s="1124">
        <v>28</v>
      </c>
      <c r="B39" s="636"/>
      <c r="C39" s="1146">
        <v>27</v>
      </c>
      <c r="D39" s="1139" t="s">
        <v>889</v>
      </c>
      <c r="E39" s="1140" t="s">
        <v>890</v>
      </c>
      <c r="F39" s="304"/>
      <c r="G39" s="1148">
        <f t="shared" si="2"/>
        <v>220</v>
      </c>
      <c r="H39" s="1149"/>
      <c r="I39" s="1143"/>
      <c r="J39" s="1143">
        <v>9000</v>
      </c>
      <c r="K39" s="1143">
        <v>-2700</v>
      </c>
      <c r="L39" s="1143"/>
      <c r="M39" s="1143">
        <v>-325</v>
      </c>
      <c r="N39" s="1143"/>
      <c r="O39" s="1144">
        <f t="shared" si="5"/>
        <v>5975</v>
      </c>
      <c r="P39" s="1141"/>
      <c r="Q39" s="1143"/>
      <c r="R39" s="1143">
        <v>1582</v>
      </c>
      <c r="S39" s="1143">
        <v>4613</v>
      </c>
      <c r="T39" s="1143">
        <f>239-239</f>
        <v>0</v>
      </c>
      <c r="U39" s="1143"/>
      <c r="V39" s="1145">
        <f t="shared" si="4"/>
        <v>6195</v>
      </c>
    </row>
    <row r="40" spans="1:22" ht="33" customHeight="1" x14ac:dyDescent="0.3">
      <c r="A40" s="1136">
        <v>29</v>
      </c>
      <c r="B40" s="1740"/>
      <c r="C40" s="1146">
        <v>28</v>
      </c>
      <c r="D40" s="2140" t="s">
        <v>685</v>
      </c>
      <c r="E40" s="1235" t="s">
        <v>886</v>
      </c>
      <c r="F40" s="1684"/>
      <c r="G40" s="1148">
        <f t="shared" si="2"/>
        <v>0</v>
      </c>
      <c r="H40" s="1143"/>
      <c r="I40" s="1143"/>
      <c r="J40" s="1143"/>
      <c r="K40" s="1143"/>
      <c r="L40" s="1143"/>
      <c r="M40" s="1143">
        <v>40000</v>
      </c>
      <c r="N40" s="1143"/>
      <c r="O40" s="1144">
        <f t="shared" si="5"/>
        <v>40000</v>
      </c>
      <c r="P40" s="1141"/>
      <c r="Q40" s="1143"/>
      <c r="R40" s="1143"/>
      <c r="S40" s="1143"/>
      <c r="T40" s="1143">
        <v>40000</v>
      </c>
      <c r="U40" s="1143"/>
      <c r="V40" s="1145">
        <f t="shared" si="4"/>
        <v>40000</v>
      </c>
    </row>
    <row r="41" spans="1:22" ht="53.25" customHeight="1" x14ac:dyDescent="0.3">
      <c r="A41" s="1124">
        <v>30</v>
      </c>
      <c r="B41" s="1740"/>
      <c r="C41" s="1146">
        <v>29</v>
      </c>
      <c r="D41" s="1021" t="s">
        <v>686</v>
      </c>
      <c r="E41" s="1235" t="s">
        <v>886</v>
      </c>
      <c r="F41" s="1933"/>
      <c r="G41" s="1148">
        <f t="shared" si="2"/>
        <v>0</v>
      </c>
      <c r="H41" s="1149"/>
      <c r="I41" s="1934"/>
      <c r="J41" s="1934"/>
      <c r="K41" s="1934"/>
      <c r="L41" s="1934"/>
      <c r="M41" s="1934">
        <v>19985</v>
      </c>
      <c r="N41" s="1934"/>
      <c r="O41" s="1144">
        <f t="shared" si="5"/>
        <v>19985</v>
      </c>
      <c r="P41" s="1148"/>
      <c r="Q41" s="1934"/>
      <c r="R41" s="1934"/>
      <c r="S41" s="1934"/>
      <c r="T41" s="1934">
        <v>19985</v>
      </c>
      <c r="U41" s="1934"/>
      <c r="V41" s="1145">
        <f t="shared" si="4"/>
        <v>19985</v>
      </c>
    </row>
    <row r="42" spans="1:22" s="302" customFormat="1" ht="33" customHeight="1" x14ac:dyDescent="0.35">
      <c r="A42" s="1124">
        <v>31</v>
      </c>
      <c r="B42" s="1125">
        <v>14</v>
      </c>
      <c r="C42" s="1126" t="s">
        <v>526</v>
      </c>
      <c r="D42" s="1127"/>
      <c r="E42" s="1932"/>
      <c r="F42" s="1129"/>
      <c r="G42" s="1159"/>
      <c r="H42" s="1156"/>
      <c r="I42" s="1157"/>
      <c r="J42" s="1157"/>
      <c r="K42" s="1157"/>
      <c r="L42" s="1157"/>
      <c r="M42" s="1157"/>
      <c r="N42" s="1157"/>
      <c r="O42" s="1158"/>
      <c r="P42" s="1159"/>
      <c r="Q42" s="1160"/>
      <c r="R42" s="1160"/>
      <c r="S42" s="1160"/>
      <c r="T42" s="1160"/>
      <c r="U42" s="1160"/>
      <c r="V42" s="1161"/>
    </row>
    <row r="43" spans="1:22" ht="33" customHeight="1" x14ac:dyDescent="0.3">
      <c r="A43" s="1136">
        <v>32</v>
      </c>
      <c r="B43" s="1986"/>
      <c r="C43" s="1146">
        <v>2</v>
      </c>
      <c r="D43" s="1139" t="s">
        <v>891</v>
      </c>
      <c r="E43" s="1988" t="s">
        <v>879</v>
      </c>
      <c r="F43" s="1989"/>
      <c r="G43" s="1990">
        <f>+V43-O43-H43</f>
        <v>0</v>
      </c>
      <c r="H43" s="1991">
        <f>1926+228</f>
        <v>2154</v>
      </c>
      <c r="I43" s="1992"/>
      <c r="J43" s="1992"/>
      <c r="K43" s="1992">
        <v>27687</v>
      </c>
      <c r="L43" s="1992"/>
      <c r="M43" s="1992"/>
      <c r="N43" s="1992"/>
      <c r="O43" s="1993">
        <f>SUM(I43:N43)</f>
        <v>27687</v>
      </c>
      <c r="P43" s="1990"/>
      <c r="Q43" s="1992"/>
      <c r="R43" s="1992">
        <v>5105</v>
      </c>
      <c r="S43" s="1992">
        <v>19384</v>
      </c>
      <c r="T43" s="1992">
        <v>5352</v>
      </c>
      <c r="U43" s="1992"/>
      <c r="V43" s="1994">
        <f>SUM(P43:U43)</f>
        <v>29841</v>
      </c>
    </row>
    <row r="44" spans="1:22" ht="33" customHeight="1" x14ac:dyDescent="0.3">
      <c r="A44" s="1124">
        <v>33</v>
      </c>
      <c r="B44" s="1986"/>
      <c r="C44" s="1146">
        <v>3</v>
      </c>
      <c r="D44" s="1139" t="s">
        <v>1180</v>
      </c>
      <c r="E44" s="1988" t="s">
        <v>1312</v>
      </c>
      <c r="F44" s="1989"/>
      <c r="G44" s="1990">
        <f>+V44-O44-H44</f>
        <v>0</v>
      </c>
      <c r="H44" s="1991"/>
      <c r="I44" s="1992"/>
      <c r="J44" s="1992"/>
      <c r="K44" s="1992"/>
      <c r="L44" s="1992"/>
      <c r="M44" s="1992">
        <v>2602</v>
      </c>
      <c r="N44" s="1992">
        <v>4241</v>
      </c>
      <c r="O44" s="1993">
        <f>SUM(I44:N44)</f>
        <v>6843</v>
      </c>
      <c r="P44" s="1990"/>
      <c r="Q44" s="1992"/>
      <c r="R44" s="1992"/>
      <c r="S44" s="1992"/>
      <c r="T44" s="1992">
        <v>2602</v>
      </c>
      <c r="U44" s="1992">
        <v>4241</v>
      </c>
      <c r="V44" s="1994">
        <f>SUM(P44:U44)</f>
        <v>6843</v>
      </c>
    </row>
    <row r="45" spans="1:22" ht="33" customHeight="1" x14ac:dyDescent="0.35">
      <c r="A45" s="1124">
        <v>34</v>
      </c>
      <c r="B45" s="1986">
        <v>13</v>
      </c>
      <c r="C45" s="1126" t="s">
        <v>34</v>
      </c>
      <c r="D45" s="2110"/>
      <c r="E45" s="1988"/>
      <c r="F45" s="1989"/>
      <c r="G45" s="1990"/>
      <c r="H45" s="1991"/>
      <c r="I45" s="1992"/>
      <c r="J45" s="1992"/>
      <c r="K45" s="1992"/>
      <c r="L45" s="1992"/>
      <c r="M45" s="1992"/>
      <c r="N45" s="1992"/>
      <c r="O45" s="1993"/>
      <c r="P45" s="1990"/>
      <c r="Q45" s="1992"/>
      <c r="R45" s="1992"/>
      <c r="S45" s="1992"/>
      <c r="T45" s="1992"/>
      <c r="U45" s="1992"/>
      <c r="V45" s="1994"/>
    </row>
    <row r="46" spans="1:22" ht="33" customHeight="1" x14ac:dyDescent="0.3">
      <c r="A46" s="1136">
        <v>35</v>
      </c>
      <c r="B46" s="1986"/>
      <c r="C46" s="1146">
        <v>1</v>
      </c>
      <c r="D46" s="1139" t="s">
        <v>1180</v>
      </c>
      <c r="E46" s="1988" t="s">
        <v>1312</v>
      </c>
      <c r="F46" s="1989"/>
      <c r="G46" s="1990">
        <f>+V46-O46-H46</f>
        <v>0</v>
      </c>
      <c r="H46" s="1991"/>
      <c r="I46" s="1992"/>
      <c r="J46" s="1992"/>
      <c r="K46" s="1992"/>
      <c r="L46" s="1992"/>
      <c r="M46" s="1992">
        <v>8944</v>
      </c>
      <c r="N46" s="1992">
        <v>2236</v>
      </c>
      <c r="O46" s="1993">
        <f>SUM(I46:N46)</f>
        <v>11180</v>
      </c>
      <c r="P46" s="1990"/>
      <c r="Q46" s="1992"/>
      <c r="R46" s="1992"/>
      <c r="S46" s="1992"/>
      <c r="T46" s="1992">
        <v>8944</v>
      </c>
      <c r="U46" s="1992">
        <v>2236</v>
      </c>
      <c r="V46" s="1994">
        <f>SUM(P46:U46)</f>
        <v>11180</v>
      </c>
    </row>
    <row r="47" spans="1:22" ht="33" customHeight="1" x14ac:dyDescent="0.35">
      <c r="A47" s="1124">
        <v>36</v>
      </c>
      <c r="B47" s="1997">
        <v>11</v>
      </c>
      <c r="C47" s="1126" t="s">
        <v>525</v>
      </c>
      <c r="D47" s="1127"/>
      <c r="E47" s="1988"/>
      <c r="F47" s="1989"/>
      <c r="G47" s="1990"/>
      <c r="H47" s="1991"/>
      <c r="I47" s="1992"/>
      <c r="J47" s="1992"/>
      <c r="K47" s="1992"/>
      <c r="L47" s="1992"/>
      <c r="M47" s="1992"/>
      <c r="N47" s="1992"/>
      <c r="O47" s="1993"/>
      <c r="P47" s="1990"/>
      <c r="Q47" s="1992"/>
      <c r="R47" s="1992"/>
      <c r="S47" s="1992"/>
      <c r="T47" s="1992"/>
      <c r="U47" s="1992"/>
      <c r="V47" s="1994"/>
    </row>
    <row r="48" spans="1:22" ht="33" customHeight="1" thickBot="1" x14ac:dyDescent="0.35">
      <c r="A48" s="1124">
        <v>37</v>
      </c>
      <c r="B48" s="1998"/>
      <c r="C48" s="1999">
        <v>1</v>
      </c>
      <c r="D48" s="1987" t="s">
        <v>1180</v>
      </c>
      <c r="E48" s="1162" t="s">
        <v>1312</v>
      </c>
      <c r="F48" s="1995"/>
      <c r="G48" s="1990">
        <f>+V48-O48-H48</f>
        <v>0</v>
      </c>
      <c r="H48" s="1164"/>
      <c r="I48" s="1996"/>
      <c r="J48" s="1996"/>
      <c r="K48" s="1996"/>
      <c r="L48" s="1996"/>
      <c r="M48" s="1996">
        <v>1879</v>
      </c>
      <c r="N48" s="1996">
        <v>470</v>
      </c>
      <c r="O48" s="1993">
        <f>SUM(I48:N48)</f>
        <v>2349</v>
      </c>
      <c r="P48" s="1163"/>
      <c r="Q48" s="1996"/>
      <c r="R48" s="1996"/>
      <c r="S48" s="1996"/>
      <c r="T48" s="1996">
        <v>1879</v>
      </c>
      <c r="U48" s="1996">
        <v>470</v>
      </c>
      <c r="V48" s="1994">
        <f>SUM(P48:U48)</f>
        <v>2349</v>
      </c>
    </row>
    <row r="49" spans="1:22" ht="33" customHeight="1" thickBot="1" x14ac:dyDescent="0.35">
      <c r="A49" s="1136">
        <v>38</v>
      </c>
      <c r="B49" s="2485" t="s">
        <v>129</v>
      </c>
      <c r="C49" s="2486"/>
      <c r="D49" s="2486"/>
      <c r="E49" s="2486"/>
      <c r="F49" s="303"/>
      <c r="G49" s="1165">
        <f>SUM(G13:G48)</f>
        <v>1270448</v>
      </c>
      <c r="H49" s="1166">
        <f>SUM(H13:H48)</f>
        <v>280100</v>
      </c>
      <c r="I49" s="1166">
        <f>SUM(I13:I48)</f>
        <v>977327</v>
      </c>
      <c r="J49" s="1166">
        <f t="shared" ref="J49:O49" si="6">SUM(J13:J48)</f>
        <v>9000</v>
      </c>
      <c r="K49" s="1166">
        <f t="shared" si="6"/>
        <v>3102781</v>
      </c>
      <c r="L49" s="1166">
        <f t="shared" si="6"/>
        <v>4462952</v>
      </c>
      <c r="M49" s="1166">
        <f t="shared" si="6"/>
        <v>1530735</v>
      </c>
      <c r="N49" s="1166">
        <f t="shared" si="6"/>
        <v>6947</v>
      </c>
      <c r="O49" s="1166">
        <f t="shared" si="6"/>
        <v>10089742</v>
      </c>
      <c r="P49" s="1165">
        <f>SUM(P13:P48)</f>
        <v>68046</v>
      </c>
      <c r="Q49" s="1166">
        <f>SUM(Q13:Q48)</f>
        <v>126233</v>
      </c>
      <c r="R49" s="1166">
        <f t="shared" ref="R49:V49" si="7">SUM(R13:R48)</f>
        <v>848139</v>
      </c>
      <c r="S49" s="1166">
        <f t="shared" si="7"/>
        <v>2566070</v>
      </c>
      <c r="T49" s="1166">
        <f t="shared" si="7"/>
        <v>8024855</v>
      </c>
      <c r="U49" s="1166">
        <f t="shared" si="7"/>
        <v>6947</v>
      </c>
      <c r="V49" s="2070">
        <f t="shared" si="7"/>
        <v>11640290</v>
      </c>
    </row>
    <row r="50" spans="1:22" ht="24.75" customHeight="1" x14ac:dyDescent="0.3">
      <c r="B50" s="2487" t="s">
        <v>892</v>
      </c>
      <c r="C50" s="2487"/>
      <c r="D50" s="2487"/>
      <c r="E50" s="2487"/>
      <c r="F50" s="2487"/>
      <c r="G50" s="2487"/>
      <c r="H50" s="2487"/>
      <c r="I50" s="2487"/>
      <c r="J50" s="2487"/>
      <c r="K50" s="2487"/>
      <c r="L50" s="2487"/>
      <c r="M50" s="2487"/>
      <c r="N50" s="2487"/>
      <c r="O50" s="2487"/>
      <c r="P50" s="2487"/>
      <c r="Q50" s="2487"/>
      <c r="R50" s="2487"/>
      <c r="S50" s="2487"/>
      <c r="T50" s="2487"/>
      <c r="U50" s="2487"/>
      <c r="V50" s="2487"/>
    </row>
    <row r="51" spans="1:22" ht="24.75" customHeight="1" x14ac:dyDescent="0.3">
      <c r="B51" s="2488" t="s">
        <v>540</v>
      </c>
      <c r="C51" s="2488"/>
      <c r="D51" s="2488"/>
      <c r="E51" s="2488"/>
      <c r="F51" s="2488"/>
      <c r="G51" s="2488"/>
      <c r="H51" s="2488"/>
      <c r="I51" s="2488"/>
      <c r="J51" s="2488"/>
      <c r="K51" s="2488"/>
      <c r="L51" s="2488"/>
      <c r="M51" s="2488"/>
      <c r="N51" s="2488"/>
      <c r="O51" s="2488"/>
      <c r="P51" s="2488"/>
      <c r="Q51" s="2488"/>
      <c r="R51" s="2488"/>
      <c r="S51" s="2488"/>
      <c r="T51" s="2488"/>
      <c r="U51" s="2488"/>
      <c r="V51" s="2488"/>
    </row>
    <row r="52" spans="1:22" ht="24.75" customHeight="1" x14ac:dyDescent="0.3">
      <c r="B52" s="2488" t="s">
        <v>979</v>
      </c>
      <c r="C52" s="2488"/>
      <c r="D52" s="2488"/>
      <c r="E52" s="2488"/>
      <c r="F52" s="2488"/>
      <c r="G52" s="2488"/>
      <c r="H52" s="2488"/>
      <c r="I52" s="2488"/>
      <c r="J52" s="2488"/>
      <c r="K52" s="2488"/>
      <c r="L52" s="2488"/>
      <c r="M52" s="2488"/>
      <c r="N52" s="2488"/>
      <c r="O52" s="2488"/>
      <c r="P52" s="2488"/>
      <c r="Q52" s="2488"/>
      <c r="R52" s="2488"/>
      <c r="S52" s="2488"/>
      <c r="T52" s="2488"/>
      <c r="U52" s="2488"/>
      <c r="V52" s="2488"/>
    </row>
    <row r="53" spans="1:22" ht="24.95" customHeight="1" x14ac:dyDescent="0.3"/>
    <row r="54" spans="1:22" ht="24.95" customHeight="1" x14ac:dyDescent="0.3"/>
    <row r="55" spans="1:22" ht="24.95" customHeight="1" x14ac:dyDescent="0.3"/>
    <row r="56" spans="1:22" ht="24.95" customHeight="1" x14ac:dyDescent="0.3"/>
    <row r="57" spans="1:22" ht="24.95" customHeight="1" x14ac:dyDescent="0.3"/>
    <row r="58" spans="1:22" ht="24.95" customHeight="1" x14ac:dyDescent="0.3"/>
  </sheetData>
  <mergeCells count="21">
    <mergeCell ref="B52:V52"/>
    <mergeCell ref="P9:U10"/>
    <mergeCell ref="V9:V11"/>
    <mergeCell ref="G10:G11"/>
    <mergeCell ref="H10:H11"/>
    <mergeCell ref="I10:N10"/>
    <mergeCell ref="O10:O11"/>
    <mergeCell ref="B9:B11"/>
    <mergeCell ref="C9:C11"/>
    <mergeCell ref="D9:D11"/>
    <mergeCell ref="E9:E11"/>
    <mergeCell ref="G9:O9"/>
    <mergeCell ref="B1:V1"/>
    <mergeCell ref="B2:V2"/>
    <mergeCell ref="B49:E49"/>
    <mergeCell ref="B50:V50"/>
    <mergeCell ref="B51:V51"/>
    <mergeCell ref="B4:V4"/>
    <mergeCell ref="B5:V5"/>
    <mergeCell ref="B6:V6"/>
    <mergeCell ref="U7:V7"/>
  </mergeCells>
  <printOptions horizontalCentered="1"/>
  <pageMargins left="0.19685039370078741" right="0.19685039370078741" top="0.59055118110236227" bottom="0.59055118110236227" header="0.51181102362204722" footer="0.51181102362204722"/>
  <pageSetup paperSize="9" scale="48" fitToHeight="0" orientation="landscape" r:id="rId1"/>
  <headerFooter>
    <oddFooter>&amp;C- &amp;P -</oddFooter>
  </headerFooter>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51"/>
  <sheetViews>
    <sheetView view="pageBreakPreview" zoomScaleNormal="100" zoomScaleSheetLayoutView="100" workbookViewId="0">
      <selection activeCell="B6" sqref="B6:C6"/>
    </sheetView>
  </sheetViews>
  <sheetFormatPr defaultColWidth="9.140625" defaultRowHeight="16.5" x14ac:dyDescent="0.3"/>
  <cols>
    <col min="1" max="1" width="3.7109375" style="247" customWidth="1"/>
    <col min="2" max="2" width="4.7109375" style="247" customWidth="1"/>
    <col min="3" max="3" width="51.7109375" style="41" customWidth="1"/>
    <col min="4" max="4" width="24.28515625" style="40" customWidth="1"/>
    <col min="5" max="16384" width="9.140625" style="41"/>
  </cols>
  <sheetData>
    <row r="1" spans="1:4" ht="18" customHeight="1" x14ac:dyDescent="0.3">
      <c r="A1" s="247" t="s">
        <v>377</v>
      </c>
      <c r="B1" s="2521" t="s">
        <v>895</v>
      </c>
      <c r="C1" s="2521"/>
    </row>
    <row r="2" spans="1:4" ht="18" customHeight="1" x14ac:dyDescent="0.3">
      <c r="B2" s="1040"/>
      <c r="C2" s="1040"/>
    </row>
    <row r="3" spans="1:4" s="44" customFormat="1" ht="24.75" customHeight="1" x14ac:dyDescent="0.35">
      <c r="A3" s="408"/>
      <c r="B3" s="2151" t="s">
        <v>122</v>
      </c>
      <c r="C3" s="2151"/>
      <c r="D3" s="2151"/>
    </row>
    <row r="4" spans="1:4" s="42" customFormat="1" ht="24.75" customHeight="1" x14ac:dyDescent="0.2">
      <c r="A4" s="409"/>
      <c r="B4" s="2153" t="s">
        <v>670</v>
      </c>
      <c r="C4" s="2153"/>
      <c r="D4" s="2153"/>
    </row>
    <row r="5" spans="1:4" s="237" customFormat="1" ht="24.75" customHeight="1" x14ac:dyDescent="0.2">
      <c r="A5" s="247"/>
      <c r="B5" s="2522" t="s">
        <v>378</v>
      </c>
      <c r="C5" s="2522"/>
      <c r="D5" s="2522"/>
    </row>
    <row r="6" spans="1:4" s="1011" customFormat="1" ht="18" customHeight="1" thickBot="1" x14ac:dyDescent="0.35">
      <c r="A6" s="128"/>
      <c r="B6" s="2523" t="s">
        <v>1</v>
      </c>
      <c r="C6" s="2523"/>
      <c r="D6" s="1010" t="s">
        <v>3</v>
      </c>
    </row>
    <row r="7" spans="1:4" ht="33" customHeight="1" thickBot="1" x14ac:dyDescent="0.35">
      <c r="B7" s="2524" t="s">
        <v>379</v>
      </c>
      <c r="C7" s="2525"/>
      <c r="D7" s="238" t="s">
        <v>380</v>
      </c>
    </row>
    <row r="8" spans="1:4" s="44" customFormat="1" ht="30" customHeight="1" x14ac:dyDescent="0.3">
      <c r="A8" s="408">
        <v>1</v>
      </c>
      <c r="B8" s="43" t="s">
        <v>130</v>
      </c>
      <c r="C8" s="239" t="s">
        <v>381</v>
      </c>
      <c r="D8" s="240"/>
    </row>
    <row r="9" spans="1:4" ht="24.75" customHeight="1" x14ac:dyDescent="0.3">
      <c r="A9" s="408">
        <v>2</v>
      </c>
      <c r="B9" s="45"/>
      <c r="C9" s="241" t="s">
        <v>131</v>
      </c>
      <c r="D9" s="1043">
        <v>150000</v>
      </c>
    </row>
    <row r="10" spans="1:4" ht="24.75" customHeight="1" x14ac:dyDescent="0.3">
      <c r="A10" s="408">
        <v>3</v>
      </c>
      <c r="B10" s="45"/>
      <c r="C10" s="241" t="s">
        <v>132</v>
      </c>
      <c r="D10" s="1043">
        <v>30000</v>
      </c>
    </row>
    <row r="11" spans="1:4" ht="24.75" customHeight="1" x14ac:dyDescent="0.3">
      <c r="A11" s="408">
        <v>4</v>
      </c>
      <c r="B11" s="45"/>
      <c r="C11" s="241" t="s">
        <v>133</v>
      </c>
      <c r="D11" s="1043">
        <v>150000</v>
      </c>
    </row>
    <row r="12" spans="1:4" ht="24.75" customHeight="1" x14ac:dyDescent="0.3">
      <c r="A12" s="408">
        <v>5</v>
      </c>
      <c r="B12" s="45"/>
      <c r="C12" s="241" t="s">
        <v>134</v>
      </c>
      <c r="D12" s="1043">
        <v>14000</v>
      </c>
    </row>
    <row r="13" spans="1:4" ht="24.75" customHeight="1" x14ac:dyDescent="0.3">
      <c r="A13" s="408">
        <v>6</v>
      </c>
      <c r="B13" s="45"/>
      <c r="C13" s="241" t="s">
        <v>135</v>
      </c>
      <c r="D13" s="1043">
        <v>42000</v>
      </c>
    </row>
    <row r="14" spans="1:4" ht="24.75" customHeight="1" x14ac:dyDescent="0.3">
      <c r="A14" s="408">
        <v>7</v>
      </c>
      <c r="B14" s="45"/>
      <c r="C14" s="241" t="s">
        <v>136</v>
      </c>
      <c r="D14" s="1044">
        <v>100000</v>
      </c>
    </row>
    <row r="15" spans="1:4" s="237" customFormat="1" ht="30" customHeight="1" x14ac:dyDescent="0.2">
      <c r="A15" s="247">
        <v>8</v>
      </c>
      <c r="B15" s="45"/>
      <c r="C15" s="242"/>
      <c r="D15" s="243">
        <f>SUM(D9:D14)</f>
        <v>486000</v>
      </c>
    </row>
    <row r="16" spans="1:4" s="42" customFormat="1" ht="49.5" customHeight="1" x14ac:dyDescent="0.2">
      <c r="A16" s="409">
        <v>9</v>
      </c>
      <c r="B16" s="46" t="s">
        <v>137</v>
      </c>
      <c r="C16" s="244" t="s">
        <v>382</v>
      </c>
      <c r="D16" s="1045">
        <v>113</v>
      </c>
    </row>
    <row r="17" spans="1:4" s="42" customFormat="1" ht="49.5" customHeight="1" x14ac:dyDescent="0.2">
      <c r="A17" s="409">
        <v>10</v>
      </c>
      <c r="B17" s="46" t="s">
        <v>138</v>
      </c>
      <c r="C17" s="244" t="s">
        <v>383</v>
      </c>
      <c r="D17" s="245"/>
    </row>
    <row r="18" spans="1:4" s="42" customFormat="1" ht="49.5" customHeight="1" x14ac:dyDescent="0.2">
      <c r="A18" s="409">
        <v>11</v>
      </c>
      <c r="B18" s="46" t="s">
        <v>139</v>
      </c>
      <c r="C18" s="244" t="s">
        <v>384</v>
      </c>
      <c r="D18" s="245">
        <v>1476</v>
      </c>
    </row>
    <row r="19" spans="1:4" s="42" customFormat="1" ht="49.5" customHeight="1" thickBot="1" x14ac:dyDescent="0.25">
      <c r="A19" s="409">
        <v>12</v>
      </c>
      <c r="B19" s="46" t="s">
        <v>140</v>
      </c>
      <c r="C19" s="244" t="s">
        <v>385</v>
      </c>
      <c r="D19" s="245"/>
    </row>
    <row r="20" spans="1:4" s="42" customFormat="1" ht="33" customHeight="1" thickBot="1" x14ac:dyDescent="0.25">
      <c r="A20" s="409">
        <v>13</v>
      </c>
      <c r="B20" s="2519" t="s">
        <v>141</v>
      </c>
      <c r="C20" s="2520"/>
      <c r="D20" s="246">
        <f>SUM(D15:D19)</f>
        <v>487589</v>
      </c>
    </row>
    <row r="21" spans="1:4" ht="16.5" customHeight="1" x14ac:dyDescent="0.3">
      <c r="C21" s="248"/>
      <c r="D21" s="47"/>
    </row>
    <row r="22" spans="1:4" ht="16.5" customHeight="1" x14ac:dyDescent="0.3">
      <c r="C22" s="248"/>
      <c r="D22" s="47"/>
    </row>
    <row r="23" spans="1:4" ht="16.5" customHeight="1" x14ac:dyDescent="0.3">
      <c r="C23" s="248"/>
      <c r="D23" s="47"/>
    </row>
    <row r="24" spans="1:4" ht="16.5" customHeight="1" x14ac:dyDescent="0.3">
      <c r="C24" s="248"/>
      <c r="D24" s="47"/>
    </row>
    <row r="25" spans="1:4" ht="16.5" customHeight="1" x14ac:dyDescent="0.3">
      <c r="C25" s="248"/>
      <c r="D25" s="47"/>
    </row>
    <row r="26" spans="1:4" ht="16.5" customHeight="1" x14ac:dyDescent="0.3">
      <c r="C26" s="248"/>
      <c r="D26" s="47"/>
    </row>
    <row r="27" spans="1:4" ht="16.5" customHeight="1" x14ac:dyDescent="0.3">
      <c r="C27" s="248"/>
      <c r="D27" s="47"/>
    </row>
    <row r="28" spans="1:4" ht="16.5" customHeight="1" x14ac:dyDescent="0.3">
      <c r="C28" s="248"/>
      <c r="D28" s="47"/>
    </row>
    <row r="29" spans="1:4" ht="16.5" customHeight="1" x14ac:dyDescent="0.3">
      <c r="C29" s="248"/>
      <c r="D29" s="47"/>
    </row>
    <row r="30" spans="1:4" ht="16.5" customHeight="1" x14ac:dyDescent="0.3">
      <c r="C30" s="248"/>
      <c r="D30" s="47"/>
    </row>
    <row r="31" spans="1:4" ht="16.5" customHeight="1" x14ac:dyDescent="0.3">
      <c r="C31" s="248"/>
      <c r="D31" s="47"/>
    </row>
    <row r="32" spans="1:4" x14ac:dyDescent="0.3">
      <c r="C32" s="248"/>
      <c r="D32" s="47"/>
    </row>
    <row r="33" spans="3:4" x14ac:dyDescent="0.3">
      <c r="C33" s="248"/>
      <c r="D33" s="47"/>
    </row>
    <row r="34" spans="3:4" x14ac:dyDescent="0.3">
      <c r="C34" s="248"/>
      <c r="D34" s="47"/>
    </row>
    <row r="35" spans="3:4" x14ac:dyDescent="0.3">
      <c r="C35" s="248"/>
      <c r="D35" s="47"/>
    </row>
    <row r="36" spans="3:4" x14ac:dyDescent="0.3">
      <c r="C36" s="248"/>
      <c r="D36" s="47"/>
    </row>
    <row r="37" spans="3:4" x14ac:dyDescent="0.3">
      <c r="C37" s="248"/>
      <c r="D37" s="47"/>
    </row>
    <row r="38" spans="3:4" x14ac:dyDescent="0.3">
      <c r="C38" s="248"/>
      <c r="D38" s="47"/>
    </row>
    <row r="39" spans="3:4" x14ac:dyDescent="0.3">
      <c r="C39" s="248"/>
      <c r="D39" s="47"/>
    </row>
    <row r="40" spans="3:4" x14ac:dyDescent="0.3">
      <c r="C40" s="248"/>
      <c r="D40" s="47"/>
    </row>
    <row r="41" spans="3:4" x14ac:dyDescent="0.3">
      <c r="C41" s="248"/>
      <c r="D41" s="47"/>
    </row>
    <row r="42" spans="3:4" x14ac:dyDescent="0.3">
      <c r="C42" s="248"/>
      <c r="D42" s="47"/>
    </row>
    <row r="43" spans="3:4" x14ac:dyDescent="0.3">
      <c r="C43" s="248"/>
      <c r="D43" s="47"/>
    </row>
    <row r="44" spans="3:4" x14ac:dyDescent="0.3">
      <c r="C44" s="248"/>
      <c r="D44" s="47"/>
    </row>
    <row r="45" spans="3:4" x14ac:dyDescent="0.3">
      <c r="C45" s="248"/>
      <c r="D45" s="47"/>
    </row>
    <row r="46" spans="3:4" x14ac:dyDescent="0.3">
      <c r="C46" s="248"/>
      <c r="D46" s="47"/>
    </row>
    <row r="47" spans="3:4" x14ac:dyDescent="0.3">
      <c r="C47" s="248"/>
      <c r="D47" s="47"/>
    </row>
    <row r="48" spans="3:4" x14ac:dyDescent="0.3">
      <c r="C48" s="248"/>
      <c r="D48" s="47"/>
    </row>
    <row r="49" spans="3:4" x14ac:dyDescent="0.3">
      <c r="C49" s="248"/>
      <c r="D49" s="47"/>
    </row>
    <row r="50" spans="3:4" x14ac:dyDescent="0.3">
      <c r="C50" s="248"/>
      <c r="D50" s="47"/>
    </row>
    <row r="51" spans="3:4" x14ac:dyDescent="0.3">
      <c r="C51" s="248"/>
      <c r="D51" s="47"/>
    </row>
  </sheetData>
  <mergeCells count="7">
    <mergeCell ref="B20:C20"/>
    <mergeCell ref="B1:C1"/>
    <mergeCell ref="B3:D3"/>
    <mergeCell ref="B4:D4"/>
    <mergeCell ref="B5:D5"/>
    <mergeCell ref="B6:C6"/>
    <mergeCell ref="B7:C7"/>
  </mergeCells>
  <printOptions horizontalCentered="1"/>
  <pageMargins left="0.19685039370078741" right="0.19685039370078741" top="0.59055118110236227" bottom="0.59055118110236227" header="0.51181102362204722" footer="0.51181102362204722"/>
  <pageSetup paperSize="9" fitToHeight="0" orientation="portrait" r:id="rId1"/>
  <headerFooter alignWithMargins="0">
    <oddFooter>&amp;C- &amp;P -</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N42"/>
  <sheetViews>
    <sheetView view="pageBreakPreview" zoomScaleNormal="100" zoomScaleSheetLayoutView="100" workbookViewId="0">
      <selection activeCell="B1" sqref="B1:C1"/>
    </sheetView>
  </sheetViews>
  <sheetFormatPr defaultColWidth="9.140625" defaultRowHeight="16.5" x14ac:dyDescent="0.3"/>
  <cols>
    <col min="1" max="1" width="3.7109375" style="202" customWidth="1"/>
    <col min="2" max="2" width="75.7109375" style="233" customWidth="1"/>
    <col min="3" max="6" width="13.7109375" style="234" customWidth="1"/>
    <col min="7" max="7" width="15.7109375" style="234" customWidth="1"/>
    <col min="8" max="8" width="13.7109375" style="234" customWidth="1"/>
    <col min="9" max="9" width="16.85546875" style="235" customWidth="1"/>
    <col min="10" max="16384" width="9.140625" style="235"/>
  </cols>
  <sheetData>
    <row r="1" spans="1:14" s="203" customFormat="1" ht="16.5" customHeight="1" x14ac:dyDescent="0.2">
      <c r="A1" s="202"/>
      <c r="B1" s="2147" t="s">
        <v>1361</v>
      </c>
      <c r="C1" s="2147"/>
      <c r="D1" s="2148"/>
      <c r="E1" s="2148"/>
      <c r="F1" s="2148"/>
      <c r="G1" s="2148"/>
      <c r="H1" s="778"/>
    </row>
    <row r="2" spans="1:14" s="203" customFormat="1" ht="16.5" customHeight="1" x14ac:dyDescent="0.2">
      <c r="A2" s="202"/>
      <c r="B2" s="2068" t="s">
        <v>1246</v>
      </c>
      <c r="C2" s="2068"/>
      <c r="D2" s="2069"/>
      <c r="E2" s="2069"/>
      <c r="F2" s="2069"/>
      <c r="G2" s="2069"/>
      <c r="H2" s="2069"/>
    </row>
    <row r="3" spans="1:14" s="206" customFormat="1" ht="24.75" customHeight="1" x14ac:dyDescent="0.35">
      <c r="A3" s="204"/>
      <c r="B3" s="2149" t="s">
        <v>324</v>
      </c>
      <c r="C3" s="2149"/>
      <c r="D3" s="2149"/>
      <c r="E3" s="2149"/>
      <c r="F3" s="2149"/>
      <c r="G3" s="2149"/>
      <c r="H3" s="205"/>
      <c r="I3" s="2151"/>
      <c r="J3" s="2151"/>
      <c r="K3" s="2151"/>
      <c r="L3" s="2151"/>
      <c r="M3" s="2151"/>
      <c r="N3" s="2151"/>
    </row>
    <row r="4" spans="1:14" s="203" customFormat="1" ht="24.75" customHeight="1" x14ac:dyDescent="0.2">
      <c r="A4" s="202"/>
      <c r="B4" s="2152" t="s">
        <v>652</v>
      </c>
      <c r="C4" s="2152"/>
      <c r="D4" s="2152"/>
      <c r="E4" s="2152"/>
      <c r="F4" s="2152"/>
      <c r="G4" s="2152"/>
      <c r="H4" s="207"/>
      <c r="I4" s="2153"/>
      <c r="J4" s="2153"/>
      <c r="K4" s="2153"/>
      <c r="L4" s="2153"/>
      <c r="M4" s="2153"/>
      <c r="N4" s="2153"/>
    </row>
    <row r="5" spans="1:14" s="794" customFormat="1" ht="15" x14ac:dyDescent="0.3">
      <c r="A5" s="208"/>
      <c r="B5" s="790"/>
      <c r="C5" s="791"/>
      <c r="D5" s="791"/>
      <c r="E5" s="791"/>
      <c r="F5" s="791"/>
      <c r="G5" s="792" t="s">
        <v>0</v>
      </c>
      <c r="H5" s="793"/>
    </row>
    <row r="6" spans="1:14" s="128" customFormat="1" ht="15" thickBot="1" x14ac:dyDescent="0.35">
      <c r="A6" s="208"/>
      <c r="B6" s="209" t="s">
        <v>1</v>
      </c>
      <c r="C6" s="210" t="s">
        <v>3</v>
      </c>
      <c r="D6" s="210" t="s">
        <v>2</v>
      </c>
      <c r="E6" s="210" t="s">
        <v>4</v>
      </c>
      <c r="F6" s="210" t="s">
        <v>5</v>
      </c>
      <c r="G6" s="63" t="s">
        <v>4</v>
      </c>
      <c r="H6" s="63"/>
    </row>
    <row r="7" spans="1:14" s="41" customFormat="1" ht="17.25" x14ac:dyDescent="0.35">
      <c r="A7" s="208"/>
      <c r="B7" s="2154" t="s">
        <v>6</v>
      </c>
      <c r="C7" s="2156" t="s">
        <v>523</v>
      </c>
      <c r="D7" s="2156" t="s">
        <v>623</v>
      </c>
      <c r="E7" s="2156" t="s">
        <v>123</v>
      </c>
      <c r="F7" s="2158" t="s">
        <v>966</v>
      </c>
      <c r="G7" s="211" t="s">
        <v>325</v>
      </c>
      <c r="H7" s="212"/>
    </row>
    <row r="8" spans="1:14" s="41" customFormat="1" ht="18" thickBot="1" x14ac:dyDescent="0.4">
      <c r="A8" s="208"/>
      <c r="B8" s="2155"/>
      <c r="C8" s="2157"/>
      <c r="D8" s="2157"/>
      <c r="E8" s="2157"/>
      <c r="F8" s="2159"/>
      <c r="G8" s="213" t="s">
        <v>653</v>
      </c>
      <c r="H8" s="212"/>
    </row>
    <row r="9" spans="1:14" s="66" customFormat="1" ht="34.5" customHeight="1" x14ac:dyDescent="0.35">
      <c r="A9" s="208">
        <v>1</v>
      </c>
      <c r="B9" s="214" t="s">
        <v>326</v>
      </c>
      <c r="C9" s="215">
        <v>0</v>
      </c>
      <c r="D9" s="215">
        <v>0</v>
      </c>
      <c r="E9" s="215">
        <f>7199+33</f>
        <v>7232</v>
      </c>
      <c r="F9" s="220">
        <f t="shared" ref="F9:F15" si="0">SUM(D9:E9)</f>
        <v>7232</v>
      </c>
      <c r="G9" s="223"/>
      <c r="H9" s="217"/>
      <c r="I9" s="218"/>
    </row>
    <row r="10" spans="1:14" s="66" customFormat="1" ht="22.5" customHeight="1" x14ac:dyDescent="0.35">
      <c r="A10" s="208">
        <v>2</v>
      </c>
      <c r="B10" s="221" t="s">
        <v>1355</v>
      </c>
      <c r="C10" s="215">
        <v>12722</v>
      </c>
      <c r="D10" s="215"/>
      <c r="E10" s="215">
        <v>6734</v>
      </c>
      <c r="F10" s="220">
        <f t="shared" si="0"/>
        <v>6734</v>
      </c>
      <c r="G10" s="216">
        <f>(F10/C10)</f>
        <v>0.52931928941990258</v>
      </c>
      <c r="H10" s="217"/>
      <c r="I10" s="218"/>
    </row>
    <row r="11" spans="1:14" s="66" customFormat="1" ht="34.5" customHeight="1" x14ac:dyDescent="0.35">
      <c r="A11" s="208">
        <v>3</v>
      </c>
      <c r="B11" s="219" t="s">
        <v>327</v>
      </c>
      <c r="C11" s="220">
        <f>SUM(C12:C15)</f>
        <v>1108325</v>
      </c>
      <c r="D11" s="220">
        <f>SUM(D12:D15)</f>
        <v>1125011</v>
      </c>
      <c r="E11" s="220">
        <f>SUM(E12:E15)</f>
        <v>91504</v>
      </c>
      <c r="F11" s="220">
        <f>SUM(F12:F15)</f>
        <v>1216515</v>
      </c>
      <c r="G11" s="216">
        <f>(F11/C11)</f>
        <v>1.0976157715471544</v>
      </c>
      <c r="H11" s="217"/>
    </row>
    <row r="12" spans="1:14" s="41" customFormat="1" ht="33" customHeight="1" x14ac:dyDescent="0.3">
      <c r="A12" s="208">
        <v>4</v>
      </c>
      <c r="B12" s="221" t="s">
        <v>328</v>
      </c>
      <c r="C12" s="222">
        <v>911028</v>
      </c>
      <c r="D12" s="222">
        <v>927157</v>
      </c>
      <c r="E12" s="222">
        <v>87731</v>
      </c>
      <c r="F12" s="220">
        <f t="shared" si="0"/>
        <v>1014888</v>
      </c>
      <c r="G12" s="223">
        <f>(F12/C12)</f>
        <v>1.1140030822323792</v>
      </c>
      <c r="H12" s="224"/>
    </row>
    <row r="13" spans="1:14" s="41" customFormat="1" ht="25.9" customHeight="1" x14ac:dyDescent="0.3">
      <c r="A13" s="208">
        <v>5</v>
      </c>
      <c r="B13" s="221" t="s">
        <v>329</v>
      </c>
      <c r="C13" s="222">
        <v>165613</v>
      </c>
      <c r="D13" s="222">
        <v>162239</v>
      </c>
      <c r="E13" s="222"/>
      <c r="F13" s="220">
        <f t="shared" si="0"/>
        <v>162239</v>
      </c>
      <c r="G13" s="223">
        <f t="shared" ref="G13:G15" si="1">(F13/C13)</f>
        <v>0.97962720317849439</v>
      </c>
      <c r="H13" s="224"/>
    </row>
    <row r="14" spans="1:14" s="41" customFormat="1" ht="33" x14ac:dyDescent="0.3">
      <c r="A14" s="208">
        <v>6</v>
      </c>
      <c r="B14" s="221" t="s">
        <v>330</v>
      </c>
      <c r="C14" s="222">
        <v>28306</v>
      </c>
      <c r="D14" s="222">
        <v>30745</v>
      </c>
      <c r="E14" s="222">
        <v>3773</v>
      </c>
      <c r="F14" s="220">
        <f t="shared" si="0"/>
        <v>34518</v>
      </c>
      <c r="G14" s="223">
        <f>(F14/C14)</f>
        <v>1.2194587719918037</v>
      </c>
      <c r="H14" s="224"/>
    </row>
    <row r="15" spans="1:14" s="41" customFormat="1" ht="25.5" customHeight="1" x14ac:dyDescent="0.3">
      <c r="A15" s="208">
        <v>7</v>
      </c>
      <c r="B15" s="221" t="s">
        <v>546</v>
      </c>
      <c r="C15" s="222">
        <v>3378</v>
      </c>
      <c r="D15" s="222">
        <v>4870</v>
      </c>
      <c r="E15" s="222"/>
      <c r="F15" s="220">
        <f t="shared" si="0"/>
        <v>4870</v>
      </c>
      <c r="G15" s="223">
        <f t="shared" si="1"/>
        <v>1.4416814683244523</v>
      </c>
      <c r="H15" s="224"/>
    </row>
    <row r="16" spans="1:14" s="66" customFormat="1" ht="34.5" x14ac:dyDescent="0.35">
      <c r="A16" s="208">
        <v>8</v>
      </c>
      <c r="B16" s="219" t="s">
        <v>410</v>
      </c>
      <c r="C16" s="220">
        <f>SUM(C17:C31)</f>
        <v>1443827</v>
      </c>
      <c r="D16" s="220">
        <f t="shared" ref="D16:F16" si="2">SUM(D17:D31)</f>
        <v>1480333</v>
      </c>
      <c r="E16" s="220">
        <f t="shared" si="2"/>
        <v>125578</v>
      </c>
      <c r="F16" s="220">
        <f t="shared" si="2"/>
        <v>1605911</v>
      </c>
      <c r="G16" s="216">
        <f>(F16/C16)</f>
        <v>1.1122599868266767</v>
      </c>
      <c r="H16" s="217"/>
    </row>
    <row r="17" spans="1:8" s="41" customFormat="1" ht="25.5" customHeight="1" x14ac:dyDescent="0.3">
      <c r="A17" s="208">
        <v>9</v>
      </c>
      <c r="B17" s="221" t="s">
        <v>405</v>
      </c>
      <c r="C17" s="222">
        <v>35020</v>
      </c>
      <c r="D17" s="222">
        <v>35020</v>
      </c>
      <c r="E17" s="222">
        <f>3158+3232</f>
        <v>6390</v>
      </c>
      <c r="F17" s="222">
        <f>SUM(D17:E17)</f>
        <v>41410</v>
      </c>
      <c r="G17" s="223">
        <f>(F17/C17)</f>
        <v>1.1824671616219302</v>
      </c>
      <c r="H17" s="224"/>
    </row>
    <row r="18" spans="1:8" s="41" customFormat="1" ht="25.9" customHeight="1" x14ac:dyDescent="0.3">
      <c r="A18" s="208">
        <v>10</v>
      </c>
      <c r="B18" s="221" t="s">
        <v>406</v>
      </c>
      <c r="C18" s="222">
        <v>39270</v>
      </c>
      <c r="D18" s="222">
        <v>39270</v>
      </c>
      <c r="E18" s="222">
        <f>-330+4130</f>
        <v>3800</v>
      </c>
      <c r="F18" s="222">
        <f t="shared" ref="F18:F31" si="3">SUM(D18:E18)</f>
        <v>43070</v>
      </c>
      <c r="G18" s="223">
        <f t="shared" ref="G18:G40" si="4">(F18/C18)</f>
        <v>1.0967659791189204</v>
      </c>
      <c r="H18" s="224"/>
    </row>
    <row r="19" spans="1:8" s="41" customFormat="1" ht="25.9" customHeight="1" x14ac:dyDescent="0.3">
      <c r="A19" s="208">
        <v>11</v>
      </c>
      <c r="B19" s="221" t="s">
        <v>331</v>
      </c>
      <c r="C19" s="222">
        <v>39887</v>
      </c>
      <c r="D19" s="222">
        <v>49393</v>
      </c>
      <c r="E19" s="222">
        <v>756</v>
      </c>
      <c r="F19" s="222">
        <f t="shared" si="3"/>
        <v>50149</v>
      </c>
      <c r="G19" s="223">
        <f t="shared" si="4"/>
        <v>1.2572768069797178</v>
      </c>
      <c r="H19" s="224"/>
    </row>
    <row r="20" spans="1:8" s="41" customFormat="1" ht="25.9" customHeight="1" x14ac:dyDescent="0.3">
      <c r="A20" s="208">
        <v>12</v>
      </c>
      <c r="B20" s="221" t="s">
        <v>332</v>
      </c>
      <c r="C20" s="222">
        <v>52463</v>
      </c>
      <c r="D20" s="222">
        <v>65687</v>
      </c>
      <c r="E20" s="222">
        <v>6564</v>
      </c>
      <c r="F20" s="222">
        <f t="shared" si="3"/>
        <v>72251</v>
      </c>
      <c r="G20" s="223">
        <f t="shared" si="4"/>
        <v>1.3771801078855574</v>
      </c>
      <c r="H20" s="224"/>
    </row>
    <row r="21" spans="1:8" s="41" customFormat="1" ht="22.5" customHeight="1" x14ac:dyDescent="0.3">
      <c r="A21" s="208">
        <v>13</v>
      </c>
      <c r="B21" s="221" t="s">
        <v>333</v>
      </c>
      <c r="C21" s="222">
        <v>26160</v>
      </c>
      <c r="D21" s="222">
        <v>39900</v>
      </c>
      <c r="E21" s="222">
        <v>5670</v>
      </c>
      <c r="F21" s="222">
        <f t="shared" si="3"/>
        <v>45570</v>
      </c>
      <c r="G21" s="223">
        <f t="shared" si="4"/>
        <v>1.7419724770642202</v>
      </c>
      <c r="H21" s="224"/>
    </row>
    <row r="22" spans="1:8" s="41" customFormat="1" ht="22.5" customHeight="1" x14ac:dyDescent="0.3">
      <c r="A22" s="208">
        <v>14</v>
      </c>
      <c r="B22" s="221" t="s">
        <v>407</v>
      </c>
      <c r="C22" s="222">
        <v>22000</v>
      </c>
      <c r="D22" s="222">
        <v>32245</v>
      </c>
      <c r="E22" s="222">
        <f>1806+206</f>
        <v>2012</v>
      </c>
      <c r="F22" s="222">
        <f t="shared" si="3"/>
        <v>34257</v>
      </c>
      <c r="G22" s="223">
        <f t="shared" si="4"/>
        <v>1.5571363636363635</v>
      </c>
      <c r="H22" s="224"/>
    </row>
    <row r="23" spans="1:8" s="41" customFormat="1" ht="22.5" customHeight="1" x14ac:dyDescent="0.3">
      <c r="A23" s="208">
        <v>15</v>
      </c>
      <c r="B23" s="221" t="s">
        <v>408</v>
      </c>
      <c r="C23" s="222">
        <v>8500</v>
      </c>
      <c r="D23" s="222">
        <v>13780</v>
      </c>
      <c r="E23" s="222">
        <f>860</f>
        <v>860</v>
      </c>
      <c r="F23" s="222">
        <f t="shared" si="3"/>
        <v>14640</v>
      </c>
      <c r="G23" s="223">
        <f t="shared" si="4"/>
        <v>1.7223529411764706</v>
      </c>
      <c r="H23" s="224"/>
    </row>
    <row r="24" spans="1:8" s="41" customFormat="1" ht="22.5" customHeight="1" x14ac:dyDescent="0.3">
      <c r="A24" s="208">
        <v>16</v>
      </c>
      <c r="B24" s="221" t="s">
        <v>547</v>
      </c>
      <c r="C24" s="222">
        <v>54369</v>
      </c>
      <c r="D24" s="222">
        <v>54612</v>
      </c>
      <c r="E24" s="222"/>
      <c r="F24" s="222">
        <f t="shared" si="3"/>
        <v>54612</v>
      </c>
      <c r="G24" s="223">
        <f t="shared" si="4"/>
        <v>1.0044694586988909</v>
      </c>
      <c r="H24" s="224"/>
    </row>
    <row r="25" spans="1:8" s="41" customFormat="1" ht="22.5" customHeight="1" x14ac:dyDescent="0.3">
      <c r="A25" s="208">
        <v>17</v>
      </c>
      <c r="B25" s="221" t="s">
        <v>334</v>
      </c>
      <c r="C25" s="222">
        <v>9398</v>
      </c>
      <c r="D25" s="222">
        <v>19290</v>
      </c>
      <c r="E25" s="222"/>
      <c r="F25" s="222">
        <f t="shared" si="3"/>
        <v>19290</v>
      </c>
      <c r="G25" s="223">
        <f t="shared" si="4"/>
        <v>2.052564375399021</v>
      </c>
      <c r="H25" s="224"/>
    </row>
    <row r="26" spans="1:8" s="41" customFormat="1" ht="22.5" customHeight="1" x14ac:dyDescent="0.3">
      <c r="A26" s="208">
        <v>18</v>
      </c>
      <c r="B26" s="221" t="s">
        <v>335</v>
      </c>
      <c r="C26" s="222">
        <v>111469</v>
      </c>
      <c r="D26" s="222">
        <f>142747+30058</f>
        <v>172805</v>
      </c>
      <c r="E26" s="222">
        <f>1880+13912</f>
        <v>15792</v>
      </c>
      <c r="F26" s="222">
        <f t="shared" si="3"/>
        <v>188597</v>
      </c>
      <c r="G26" s="223">
        <f t="shared" si="4"/>
        <v>1.6919233150023774</v>
      </c>
      <c r="H26" s="224"/>
    </row>
    <row r="27" spans="1:8" s="41" customFormat="1" ht="22.5" customHeight="1" x14ac:dyDescent="0.3">
      <c r="A27" s="208">
        <v>19</v>
      </c>
      <c r="B27" s="221" t="s">
        <v>336</v>
      </c>
      <c r="C27" s="222">
        <v>482460</v>
      </c>
      <c r="D27" s="222">
        <v>501906</v>
      </c>
      <c r="E27" s="222">
        <f>-73304-48617+18897</f>
        <v>-103024</v>
      </c>
      <c r="F27" s="222">
        <f t="shared" si="3"/>
        <v>398882</v>
      </c>
      <c r="G27" s="223">
        <f t="shared" si="4"/>
        <v>0.82676698586411312</v>
      </c>
      <c r="H27" s="224"/>
    </row>
    <row r="28" spans="1:8" s="41" customFormat="1" ht="22.5" customHeight="1" x14ac:dyDescent="0.3">
      <c r="A28" s="208">
        <v>20</v>
      </c>
      <c r="B28" s="221" t="s">
        <v>337</v>
      </c>
      <c r="C28" s="222">
        <v>133</v>
      </c>
      <c r="D28" s="222">
        <v>76</v>
      </c>
      <c r="E28" s="222"/>
      <c r="F28" s="222">
        <f t="shared" si="3"/>
        <v>76</v>
      </c>
      <c r="G28" s="223">
        <f t="shared" si="4"/>
        <v>0.5714285714285714</v>
      </c>
      <c r="H28" s="224"/>
    </row>
    <row r="29" spans="1:8" s="41" customFormat="1" ht="22.5" customHeight="1" x14ac:dyDescent="0.3">
      <c r="A29" s="208">
        <v>21</v>
      </c>
      <c r="B29" s="221" t="s">
        <v>409</v>
      </c>
      <c r="C29" s="222">
        <v>438299</v>
      </c>
      <c r="D29" s="222">
        <v>456349</v>
      </c>
      <c r="E29" s="222">
        <f>38579-40437+3923+8832</f>
        <v>10897</v>
      </c>
      <c r="F29" s="222">
        <f t="shared" si="3"/>
        <v>467246</v>
      </c>
      <c r="G29" s="223">
        <f t="shared" si="4"/>
        <v>1.0660439562946755</v>
      </c>
      <c r="H29" s="224"/>
    </row>
    <row r="30" spans="1:8" s="41" customFormat="1" ht="22.5" customHeight="1" x14ac:dyDescent="0.3">
      <c r="A30" s="208">
        <v>22</v>
      </c>
      <c r="B30" s="221" t="s">
        <v>1356</v>
      </c>
      <c r="C30" s="222">
        <v>121124</v>
      </c>
      <c r="D30" s="222"/>
      <c r="E30" s="222">
        <v>171642</v>
      </c>
      <c r="F30" s="222">
        <f t="shared" si="3"/>
        <v>171642</v>
      </c>
      <c r="G30" s="223">
        <f t="shared" si="4"/>
        <v>1.417076714771639</v>
      </c>
      <c r="H30" s="224"/>
    </row>
    <row r="31" spans="1:8" s="41" customFormat="1" ht="22.5" customHeight="1" x14ac:dyDescent="0.3">
      <c r="A31" s="208">
        <v>23</v>
      </c>
      <c r="B31" s="221" t="s">
        <v>1357</v>
      </c>
      <c r="C31" s="222">
        <v>3275</v>
      </c>
      <c r="D31" s="222"/>
      <c r="E31" s="222">
        <v>4219</v>
      </c>
      <c r="F31" s="222">
        <f t="shared" si="3"/>
        <v>4219</v>
      </c>
      <c r="G31" s="223">
        <f t="shared" si="4"/>
        <v>1.2882442748091603</v>
      </c>
      <c r="H31" s="224"/>
    </row>
    <row r="32" spans="1:8" s="552" customFormat="1" ht="34.5" customHeight="1" x14ac:dyDescent="0.2">
      <c r="A32" s="208">
        <v>24</v>
      </c>
      <c r="B32" s="225" t="s">
        <v>338</v>
      </c>
      <c r="C32" s="226">
        <f>SUM(C33:C40)</f>
        <v>833222</v>
      </c>
      <c r="D32" s="226">
        <f>SUM(D33:D40)</f>
        <v>461283</v>
      </c>
      <c r="E32" s="226">
        <f>SUM(E33:E40)</f>
        <v>491836</v>
      </c>
      <c r="F32" s="226">
        <f>SUM(F33:F40)</f>
        <v>953119</v>
      </c>
      <c r="G32" s="216">
        <f>(F32/C32)</f>
        <v>1.1438956244554273</v>
      </c>
      <c r="H32" s="551"/>
    </row>
    <row r="33" spans="1:8" s="553" customFormat="1" ht="25.5" customHeight="1" x14ac:dyDescent="0.2">
      <c r="A33" s="208">
        <v>25</v>
      </c>
      <c r="B33" s="227" t="s">
        <v>339</v>
      </c>
      <c r="C33" s="228">
        <v>117500</v>
      </c>
      <c r="D33" s="228">
        <v>120660</v>
      </c>
      <c r="E33" s="228"/>
      <c r="F33" s="228">
        <f>SUM(D33:E33)</f>
        <v>120660</v>
      </c>
      <c r="G33" s="223">
        <f t="shared" si="4"/>
        <v>1.0268936170212766</v>
      </c>
      <c r="H33" s="550"/>
    </row>
    <row r="34" spans="1:8" s="553" customFormat="1" ht="25.5" customHeight="1" x14ac:dyDescent="0.2">
      <c r="A34" s="208">
        <v>26</v>
      </c>
      <c r="B34" s="227" t="s">
        <v>340</v>
      </c>
      <c r="C34" s="228">
        <v>140200</v>
      </c>
      <c r="D34" s="228">
        <v>140200</v>
      </c>
      <c r="E34" s="228"/>
      <c r="F34" s="228">
        <f t="shared" ref="F34:F40" si="5">SUM(D34:E34)</f>
        <v>140200</v>
      </c>
      <c r="G34" s="223">
        <f t="shared" si="4"/>
        <v>1</v>
      </c>
      <c r="H34" s="550"/>
    </row>
    <row r="35" spans="1:8" s="553" customFormat="1" ht="25.5" customHeight="1" x14ac:dyDescent="0.2">
      <c r="A35" s="208">
        <v>27</v>
      </c>
      <c r="B35" s="227" t="s">
        <v>1353</v>
      </c>
      <c r="C35" s="228">
        <v>2075</v>
      </c>
      <c r="D35" s="228"/>
      <c r="E35" s="228">
        <v>1403</v>
      </c>
      <c r="F35" s="228">
        <f t="shared" si="5"/>
        <v>1403</v>
      </c>
      <c r="G35" s="223">
        <f t="shared" si="4"/>
        <v>0.67614457831325303</v>
      </c>
      <c r="H35" s="550"/>
    </row>
    <row r="36" spans="1:8" s="553" customFormat="1" ht="25.5" customHeight="1" x14ac:dyDescent="0.2">
      <c r="A36" s="208">
        <v>28</v>
      </c>
      <c r="B36" s="227" t="s">
        <v>341</v>
      </c>
      <c r="C36" s="228">
        <v>25588</v>
      </c>
      <c r="D36" s="228">
        <v>25675</v>
      </c>
      <c r="E36" s="228">
        <v>8167</v>
      </c>
      <c r="F36" s="228">
        <f t="shared" si="5"/>
        <v>33842</v>
      </c>
      <c r="G36" s="223">
        <f t="shared" si="4"/>
        <v>1.3225730811317806</v>
      </c>
      <c r="H36" s="550"/>
    </row>
    <row r="37" spans="1:8" s="553" customFormat="1" ht="25.5" customHeight="1" x14ac:dyDescent="0.2">
      <c r="A37" s="208">
        <v>29</v>
      </c>
      <c r="B37" s="227" t="s">
        <v>342</v>
      </c>
      <c r="C37" s="228">
        <v>149704</v>
      </c>
      <c r="D37" s="228">
        <v>150648</v>
      </c>
      <c r="E37" s="228"/>
      <c r="F37" s="228">
        <f t="shared" si="5"/>
        <v>150648</v>
      </c>
      <c r="G37" s="223">
        <f>(F37/C37)</f>
        <v>1.0063057767327526</v>
      </c>
      <c r="H37" s="550"/>
    </row>
    <row r="38" spans="1:8" s="553" customFormat="1" ht="25.5" customHeight="1" x14ac:dyDescent="0.2">
      <c r="A38" s="208">
        <v>30</v>
      </c>
      <c r="B38" s="227" t="s">
        <v>1044</v>
      </c>
      <c r="C38" s="228">
        <v>308800</v>
      </c>
      <c r="D38" s="783"/>
      <c r="E38" s="1893">
        <v>417327</v>
      </c>
      <c r="F38" s="228">
        <f t="shared" si="5"/>
        <v>417327</v>
      </c>
      <c r="G38" s="223">
        <f>(F38/C38)</f>
        <v>1.3514475388601037</v>
      </c>
      <c r="H38" s="550"/>
    </row>
    <row r="39" spans="1:8" s="553" customFormat="1" ht="25.5" customHeight="1" x14ac:dyDescent="0.2">
      <c r="A39" s="208">
        <v>31</v>
      </c>
      <c r="B39" s="227" t="s">
        <v>343</v>
      </c>
      <c r="C39" s="228">
        <v>25000</v>
      </c>
      <c r="D39" s="228">
        <v>24100</v>
      </c>
      <c r="E39" s="228"/>
      <c r="F39" s="228">
        <f t="shared" si="5"/>
        <v>24100</v>
      </c>
      <c r="G39" s="223">
        <f t="shared" si="4"/>
        <v>0.96399999999999997</v>
      </c>
      <c r="H39" s="550"/>
    </row>
    <row r="40" spans="1:8" s="553" customFormat="1" ht="25.5" customHeight="1" thickBot="1" x14ac:dyDescent="0.25">
      <c r="A40" s="208">
        <v>32</v>
      </c>
      <c r="B40" s="227" t="s">
        <v>1354</v>
      </c>
      <c r="C40" s="228">
        <v>64355</v>
      </c>
      <c r="D40" s="228"/>
      <c r="E40" s="228">
        <v>64939</v>
      </c>
      <c r="F40" s="228">
        <f t="shared" si="5"/>
        <v>64939</v>
      </c>
      <c r="G40" s="223">
        <f t="shared" si="4"/>
        <v>1.0090746639732733</v>
      </c>
      <c r="H40" s="550"/>
    </row>
    <row r="41" spans="1:8" s="232" customFormat="1" ht="36" customHeight="1" thickBot="1" x14ac:dyDescent="0.25">
      <c r="A41" s="208">
        <v>33</v>
      </c>
      <c r="B41" s="229" t="s">
        <v>13</v>
      </c>
      <c r="C41" s="230">
        <f>SUM(C9:C11,C16,C32)</f>
        <v>3398096</v>
      </c>
      <c r="D41" s="230">
        <f>SUM(D9:D11,D16,D32)</f>
        <v>3066627</v>
      </c>
      <c r="E41" s="230">
        <f>SUM(E9:E11,E16,E32)</f>
        <v>722884</v>
      </c>
      <c r="F41" s="230">
        <f>SUM(F9:F11,F16,F32)</f>
        <v>3789511</v>
      </c>
      <c r="G41" s="231">
        <f>(F41/C41)</f>
        <v>1.1151865632989768</v>
      </c>
      <c r="H41" s="217"/>
    </row>
    <row r="42" spans="1:8" ht="50.1" customHeight="1" x14ac:dyDescent="0.3">
      <c r="B42" s="2150" t="s">
        <v>1045</v>
      </c>
      <c r="C42" s="2150"/>
      <c r="D42" s="2150"/>
      <c r="E42" s="2150"/>
      <c r="F42" s="2150"/>
      <c r="G42" s="2150"/>
    </row>
  </sheetData>
  <mergeCells count="12">
    <mergeCell ref="B1:C1"/>
    <mergeCell ref="D1:G1"/>
    <mergeCell ref="B3:G3"/>
    <mergeCell ref="B42:G42"/>
    <mergeCell ref="I3:N3"/>
    <mergeCell ref="B4:G4"/>
    <mergeCell ref="I4:N4"/>
    <mergeCell ref="B7:B8"/>
    <mergeCell ref="C7:C8"/>
    <mergeCell ref="D7:D8"/>
    <mergeCell ref="E7:E8"/>
    <mergeCell ref="F7:F8"/>
  </mergeCells>
  <printOptions horizontalCentered="1"/>
  <pageMargins left="0.19685039370078741" right="0.19685039370078741" top="0.59055118110236227" bottom="0.59055118110236227" header="0.51181102362204722" footer="0.51181102362204722"/>
  <pageSetup paperSize="9" scale="68" fitToHeight="2" orientation="portrait" r:id="rId1"/>
  <headerFooter alignWithMargins="0">
    <oddFooter>&amp;C- &amp;P -</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78"/>
  <sheetViews>
    <sheetView view="pageBreakPreview" zoomScaleNormal="100" zoomScaleSheetLayoutView="100" workbookViewId="0">
      <selection activeCell="B1" sqref="B1:M1"/>
    </sheetView>
  </sheetViews>
  <sheetFormatPr defaultColWidth="9.140625" defaultRowHeight="16.5" x14ac:dyDescent="0.3"/>
  <cols>
    <col min="1" max="1" width="3.7109375" style="883" customWidth="1"/>
    <col min="2" max="2" width="5.7109375" style="111" customWidth="1"/>
    <col min="3" max="5" width="5.7109375" style="113" customWidth="1"/>
    <col min="6" max="6" width="59.7109375" style="72" customWidth="1"/>
    <col min="7" max="10" width="13.7109375" style="72" customWidth="1"/>
    <col min="11" max="13" width="15.7109375" style="72" customWidth="1"/>
    <col min="14" max="16384" width="9.140625" style="72"/>
  </cols>
  <sheetData>
    <row r="1" spans="1:13" ht="17.25" x14ac:dyDescent="0.35">
      <c r="A1" s="76"/>
      <c r="B1" s="2161" t="s">
        <v>1362</v>
      </c>
      <c r="C1" s="2161"/>
      <c r="D1" s="2161"/>
      <c r="E1" s="2161"/>
      <c r="F1" s="2161"/>
      <c r="G1" s="2161"/>
      <c r="H1" s="2161"/>
      <c r="I1" s="2161"/>
      <c r="J1" s="2161"/>
      <c r="K1" s="2161"/>
      <c r="L1" s="2161"/>
      <c r="M1" s="2161"/>
    </row>
    <row r="2" spans="1:13" x14ac:dyDescent="0.3">
      <c r="A2" s="76"/>
      <c r="B2" s="2162" t="s">
        <v>1145</v>
      </c>
      <c r="C2" s="2162"/>
      <c r="D2" s="2162"/>
      <c r="E2" s="2162"/>
      <c r="F2" s="2162"/>
      <c r="G2" s="2162"/>
      <c r="H2" s="2162"/>
      <c r="I2" s="2162"/>
      <c r="J2" s="2162"/>
      <c r="K2" s="2162"/>
      <c r="L2" s="2162"/>
      <c r="M2" s="2162"/>
    </row>
    <row r="3" spans="1:13" x14ac:dyDescent="0.3">
      <c r="A3" s="76"/>
      <c r="B3" s="2024"/>
      <c r="C3" s="2024"/>
      <c r="D3" s="2024"/>
      <c r="E3" s="2024"/>
      <c r="F3" s="2024"/>
      <c r="G3" s="2024"/>
      <c r="H3" s="2024"/>
      <c r="I3" s="2024"/>
      <c r="J3" s="2024"/>
      <c r="K3" s="2024"/>
      <c r="L3" s="2024"/>
      <c r="M3" s="2024"/>
    </row>
    <row r="4" spans="1:13" s="75" customFormat="1" ht="24.95" customHeight="1" x14ac:dyDescent="0.2">
      <c r="A4" s="883"/>
      <c r="B4" s="2160" t="s">
        <v>172</v>
      </c>
      <c r="C4" s="2160"/>
      <c r="D4" s="2160"/>
      <c r="E4" s="2160"/>
      <c r="F4" s="2160"/>
      <c r="G4" s="2160"/>
      <c r="H4" s="2160"/>
      <c r="I4" s="2160"/>
      <c r="J4" s="2160"/>
      <c r="K4" s="2160"/>
      <c r="L4" s="2160"/>
      <c r="M4" s="2160"/>
    </row>
    <row r="5" spans="1:13" s="75" customFormat="1" ht="24.95" customHeight="1" x14ac:dyDescent="0.2">
      <c r="A5" s="883"/>
      <c r="B5" s="2160" t="s">
        <v>1134</v>
      </c>
      <c r="C5" s="2160"/>
      <c r="D5" s="2160"/>
      <c r="E5" s="2160"/>
      <c r="F5" s="2160"/>
      <c r="G5" s="2160"/>
      <c r="H5" s="2160"/>
      <c r="I5" s="2160"/>
      <c r="J5" s="2160"/>
      <c r="K5" s="2160"/>
      <c r="L5" s="2160"/>
      <c r="M5" s="2160"/>
    </row>
    <row r="6" spans="1:13" ht="17.25" x14ac:dyDescent="0.35">
      <c r="C6" s="112"/>
      <c r="E6" s="112"/>
      <c r="F6" s="112"/>
      <c r="G6" s="112"/>
      <c r="H6" s="73"/>
      <c r="K6" s="403"/>
      <c r="M6" s="403" t="s">
        <v>0</v>
      </c>
    </row>
    <row r="7" spans="1:13" s="113" customFormat="1" ht="18" customHeight="1" thickBot="1" x14ac:dyDescent="0.35">
      <c r="A7" s="883"/>
      <c r="B7" s="111" t="s">
        <v>1</v>
      </c>
      <c r="C7" s="113" t="s">
        <v>3</v>
      </c>
      <c r="D7" s="113" t="s">
        <v>2</v>
      </c>
      <c r="E7" s="113" t="s">
        <v>4</v>
      </c>
      <c r="F7" s="113" t="s">
        <v>5</v>
      </c>
      <c r="G7" s="113" t="s">
        <v>15</v>
      </c>
      <c r="H7" s="113" t="s">
        <v>16</v>
      </c>
      <c r="I7" s="404" t="s">
        <v>17</v>
      </c>
      <c r="J7" s="404" t="s">
        <v>36</v>
      </c>
      <c r="K7" s="404" t="s">
        <v>30</v>
      </c>
      <c r="L7" s="113" t="s">
        <v>23</v>
      </c>
      <c r="M7" s="113" t="s">
        <v>37</v>
      </c>
    </row>
    <row r="8" spans="1:13" s="76" customFormat="1" ht="80.099999999999994" customHeight="1" thickBot="1" x14ac:dyDescent="0.25">
      <c r="A8" s="883"/>
      <c r="B8" s="405" t="s">
        <v>203</v>
      </c>
      <c r="C8" s="406" t="s">
        <v>19</v>
      </c>
      <c r="D8" s="392" t="s">
        <v>660</v>
      </c>
      <c r="E8" s="392" t="s">
        <v>662</v>
      </c>
      <c r="F8" s="407" t="s">
        <v>6</v>
      </c>
      <c r="G8" s="306" t="s">
        <v>651</v>
      </c>
      <c r="H8" s="306" t="s">
        <v>628</v>
      </c>
      <c r="I8" s="396" t="s">
        <v>1040</v>
      </c>
      <c r="J8" s="1281" t="s">
        <v>946</v>
      </c>
      <c r="K8" s="1867" t="s">
        <v>1249</v>
      </c>
      <c r="L8" s="1290" t="s">
        <v>123</v>
      </c>
      <c r="M8" s="1275" t="s">
        <v>1248</v>
      </c>
    </row>
    <row r="9" spans="1:13" s="81" customFormat="1" ht="30" customHeight="1" x14ac:dyDescent="0.35">
      <c r="A9" s="883">
        <v>1</v>
      </c>
      <c r="B9" s="388" t="s">
        <v>544</v>
      </c>
      <c r="C9" s="77"/>
      <c r="D9" s="78"/>
      <c r="E9" s="77"/>
      <c r="F9" s="79" t="s">
        <v>204</v>
      </c>
      <c r="G9" s="80">
        <f>SUM(G10:G11)</f>
        <v>7353582</v>
      </c>
      <c r="H9" s="80">
        <f>SUM(H10:H11)</f>
        <v>7596089</v>
      </c>
      <c r="I9" s="80">
        <f>SUM(I10:I11)</f>
        <v>8054296</v>
      </c>
      <c r="J9" s="1302">
        <f>SUM(J10:J11)</f>
        <v>8038573</v>
      </c>
      <c r="K9" s="80">
        <f>SUM(K10:K11)</f>
        <v>9002102</v>
      </c>
      <c r="L9" s="80">
        <f t="shared" ref="L9" si="0">SUM(L10:L11)</f>
        <v>55830</v>
      </c>
      <c r="M9" s="1312">
        <f>SUM(M10:M11)</f>
        <v>9057932</v>
      </c>
    </row>
    <row r="10" spans="1:13" ht="26.1" customHeight="1" x14ac:dyDescent="0.3">
      <c r="A10" s="883">
        <v>2</v>
      </c>
      <c r="B10" s="82"/>
      <c r="C10" s="83"/>
      <c r="D10" s="83">
        <v>1</v>
      </c>
      <c r="E10" s="83"/>
      <c r="F10" s="84" t="s">
        <v>39</v>
      </c>
      <c r="G10" s="84">
        <v>7197678</v>
      </c>
      <c r="H10" s="84">
        <v>7431316</v>
      </c>
      <c r="I10" s="84">
        <v>7776616</v>
      </c>
      <c r="J10" s="1303">
        <v>7971537</v>
      </c>
      <c r="K10" s="84">
        <v>8788661</v>
      </c>
      <c r="L10" s="84">
        <v>57235</v>
      </c>
      <c r="M10" s="1313">
        <f>SUM(K10:L10)</f>
        <v>8845896</v>
      </c>
    </row>
    <row r="11" spans="1:13" ht="25.5" customHeight="1" x14ac:dyDescent="0.3">
      <c r="A11" s="883">
        <v>3</v>
      </c>
      <c r="B11" s="82"/>
      <c r="C11" s="83"/>
      <c r="D11" s="83">
        <v>2</v>
      </c>
      <c r="E11" s="83"/>
      <c r="F11" s="84" t="s">
        <v>163</v>
      </c>
      <c r="G11" s="84">
        <f>SUM(G12:G13)</f>
        <v>155904</v>
      </c>
      <c r="H11" s="84">
        <f>SUM(H12:H13)</f>
        <v>164773</v>
      </c>
      <c r="I11" s="84">
        <f>SUM(I12:I13)</f>
        <v>277680</v>
      </c>
      <c r="J11" s="1303">
        <f>SUM(J12:J13)</f>
        <v>67036</v>
      </c>
      <c r="K11" s="84">
        <f>SUM(K12:K13)</f>
        <v>213441</v>
      </c>
      <c r="L11" s="84">
        <f t="shared" ref="L11:M11" si="1">SUM(L12:L13)</f>
        <v>-1405</v>
      </c>
      <c r="M11" s="1313">
        <f t="shared" si="1"/>
        <v>212036</v>
      </c>
    </row>
    <row r="12" spans="1:13" x14ac:dyDescent="0.3">
      <c r="A12" s="883">
        <v>4</v>
      </c>
      <c r="B12" s="82"/>
      <c r="C12" s="83"/>
      <c r="D12" s="83"/>
      <c r="E12" s="83">
        <v>1</v>
      </c>
      <c r="F12" s="85" t="s">
        <v>229</v>
      </c>
      <c r="G12" s="84">
        <v>155449</v>
      </c>
      <c r="H12" s="84">
        <v>164773</v>
      </c>
      <c r="I12" s="84">
        <v>277321</v>
      </c>
      <c r="J12" s="1303">
        <v>67036</v>
      </c>
      <c r="K12" s="84">
        <v>210324</v>
      </c>
      <c r="L12" s="84">
        <v>-1405</v>
      </c>
      <c r="M12" s="1313">
        <f>SUM(K12:L12)</f>
        <v>208919</v>
      </c>
    </row>
    <row r="13" spans="1:13" x14ac:dyDescent="0.3">
      <c r="A13" s="883">
        <v>5</v>
      </c>
      <c r="B13" s="82"/>
      <c r="C13" s="83"/>
      <c r="D13" s="83"/>
      <c r="E13" s="83">
        <v>2</v>
      </c>
      <c r="F13" s="85" t="s">
        <v>230</v>
      </c>
      <c r="G13" s="84">
        <v>455</v>
      </c>
      <c r="H13" s="84"/>
      <c r="I13" s="84">
        <v>359</v>
      </c>
      <c r="J13" s="1303"/>
      <c r="K13" s="84">
        <v>3117</v>
      </c>
      <c r="L13" s="84"/>
      <c r="M13" s="1313">
        <f>SUM(K13:L13)</f>
        <v>3117</v>
      </c>
    </row>
    <row r="14" spans="1:13" s="81" customFormat="1" ht="30" customHeight="1" x14ac:dyDescent="0.35">
      <c r="A14" s="883">
        <v>6</v>
      </c>
      <c r="B14" s="389" t="s">
        <v>545</v>
      </c>
      <c r="C14" s="86"/>
      <c r="D14" s="87"/>
      <c r="E14" s="87"/>
      <c r="F14" s="88" t="s">
        <v>127</v>
      </c>
      <c r="G14" s="88">
        <f t="shared" ref="G14:M14" si="2">SUM(G15:G16,G27,G28)</f>
        <v>13225053</v>
      </c>
      <c r="H14" s="88">
        <f t="shared" si="2"/>
        <v>19900460</v>
      </c>
      <c r="I14" s="88">
        <f t="shared" si="2"/>
        <v>11881117</v>
      </c>
      <c r="J14" s="1304">
        <f t="shared" si="2"/>
        <v>29513701</v>
      </c>
      <c r="K14" s="88">
        <f t="shared" si="2"/>
        <v>31480205</v>
      </c>
      <c r="L14" s="88">
        <f t="shared" si="2"/>
        <v>5790678</v>
      </c>
      <c r="M14" s="1314">
        <f t="shared" si="2"/>
        <v>37270883</v>
      </c>
    </row>
    <row r="15" spans="1:13" s="81" customFormat="1" ht="25.5" customHeight="1" x14ac:dyDescent="0.35">
      <c r="A15" s="883">
        <v>7</v>
      </c>
      <c r="B15" s="82"/>
      <c r="C15" s="89"/>
      <c r="D15" s="83">
        <v>1</v>
      </c>
      <c r="E15" s="89"/>
      <c r="F15" s="90" t="s">
        <v>39</v>
      </c>
      <c r="G15" s="90">
        <v>4718378</v>
      </c>
      <c r="H15" s="90">
        <v>5579739</v>
      </c>
      <c r="I15" s="90">
        <v>6400942</v>
      </c>
      <c r="J15" s="1305">
        <v>6655947</v>
      </c>
      <c r="K15" s="90">
        <v>6543674</v>
      </c>
      <c r="L15" s="90">
        <f>'6.Önk.műk.'!I986+'7.Beruh.'!I341+'8.Felúj.'!I138+'8.Projekt'!I209+'8.Projekt'!J209+'8.Projekt'!K209+'8.Projekt'!L209+'9.MVP és hazai'!I117+'9.MVP és hazai'!J117+'9.MVP és hazai'!K117+'9.MVP és hazai'!L117+'10.EKF'!I220+'10.EKF'!J220+'10.EKF'!K220+'10.EKF'!L220</f>
        <v>11316</v>
      </c>
      <c r="M15" s="1315">
        <f>SUM(K15:L15)</f>
        <v>6554990</v>
      </c>
    </row>
    <row r="16" spans="1:13" ht="25.5" customHeight="1" x14ac:dyDescent="0.35">
      <c r="A16" s="883">
        <v>8</v>
      </c>
      <c r="B16" s="82"/>
      <c r="C16" s="89"/>
      <c r="D16" s="89"/>
      <c r="E16" s="89"/>
      <c r="F16" s="90" t="s">
        <v>205</v>
      </c>
      <c r="G16" s="90">
        <f>SUM(G17,G23)</f>
        <v>0</v>
      </c>
      <c r="H16" s="90">
        <f>SUM(H17,H23)</f>
        <v>394518</v>
      </c>
      <c r="I16" s="90">
        <f>SUM(I17,I23)</f>
        <v>0</v>
      </c>
      <c r="J16" s="1305">
        <f>SUM(J17,J23)</f>
        <v>520204</v>
      </c>
      <c r="K16" s="90">
        <f>SUM(K17,K23)</f>
        <v>493588</v>
      </c>
      <c r="L16" s="90">
        <f t="shared" ref="L16:M16" si="3">SUM(L17,L23)</f>
        <v>1093976</v>
      </c>
      <c r="M16" s="1315">
        <f t="shared" si="3"/>
        <v>1587564</v>
      </c>
    </row>
    <row r="17" spans="1:15" s="94" customFormat="1" ht="25.5" customHeight="1" x14ac:dyDescent="0.35">
      <c r="A17" s="883">
        <v>9</v>
      </c>
      <c r="B17" s="390"/>
      <c r="C17" s="91"/>
      <c r="D17" s="83">
        <v>1</v>
      </c>
      <c r="E17" s="91"/>
      <c r="F17" s="92" t="s">
        <v>597</v>
      </c>
      <c r="G17" s="93">
        <f>SUM(G18:G21)</f>
        <v>0</v>
      </c>
      <c r="H17" s="93">
        <f>SUM(H18:H21)</f>
        <v>105109</v>
      </c>
      <c r="I17" s="93">
        <f>SUM(I18:I22)</f>
        <v>0</v>
      </c>
      <c r="J17" s="1306">
        <f>SUM(J18:J21)</f>
        <v>135616</v>
      </c>
      <c r="K17" s="93">
        <f t="shared" ref="K17" si="4">SUM(K18:K21)</f>
        <v>0</v>
      </c>
      <c r="L17" s="93">
        <f>SUM(L18:L22)</f>
        <v>944577</v>
      </c>
      <c r="M17" s="1316">
        <f>SUM(K17:L17)</f>
        <v>944577</v>
      </c>
    </row>
    <row r="18" spans="1:15" ht="17.25" x14ac:dyDescent="0.35">
      <c r="A18" s="883">
        <v>10</v>
      </c>
      <c r="B18" s="82"/>
      <c r="C18" s="83"/>
      <c r="D18" s="83"/>
      <c r="E18" s="83"/>
      <c r="F18" s="95" t="s">
        <v>1340</v>
      </c>
      <c r="G18" s="84"/>
      <c r="H18" s="84">
        <v>76368</v>
      </c>
      <c r="I18" s="84"/>
      <c r="J18" s="1303">
        <v>111616</v>
      </c>
      <c r="K18" s="84">
        <v>0</v>
      </c>
      <c r="L18" s="84">
        <v>51626</v>
      </c>
      <c r="M18" s="1316">
        <f t="shared" ref="M18:M22" si="5">SUM(K18:L18)</f>
        <v>51626</v>
      </c>
    </row>
    <row r="19" spans="1:15" ht="17.25" x14ac:dyDescent="0.35">
      <c r="A19" s="883">
        <v>11</v>
      </c>
      <c r="B19" s="82"/>
      <c r="C19" s="83"/>
      <c r="D19" s="83"/>
      <c r="E19" s="83"/>
      <c r="F19" s="95" t="s">
        <v>795</v>
      </c>
      <c r="G19" s="84"/>
      <c r="H19" s="84">
        <v>24000</v>
      </c>
      <c r="I19" s="84"/>
      <c r="J19" s="1303">
        <v>24000</v>
      </c>
      <c r="K19" s="84">
        <v>0</v>
      </c>
      <c r="L19" s="84"/>
      <c r="M19" s="1316">
        <f t="shared" si="5"/>
        <v>0</v>
      </c>
    </row>
    <row r="20" spans="1:15" ht="17.25" x14ac:dyDescent="0.35">
      <c r="A20" s="883">
        <v>12</v>
      </c>
      <c r="B20" s="82"/>
      <c r="C20" s="83"/>
      <c r="D20" s="83"/>
      <c r="E20" s="83"/>
      <c r="F20" s="95" t="s">
        <v>616</v>
      </c>
      <c r="G20" s="84"/>
      <c r="H20" s="84">
        <v>4741</v>
      </c>
      <c r="I20" s="84"/>
      <c r="J20" s="1303"/>
      <c r="K20" s="84"/>
      <c r="L20" s="84"/>
      <c r="M20" s="1316">
        <f t="shared" si="5"/>
        <v>0</v>
      </c>
    </row>
    <row r="21" spans="1:15" ht="17.25" x14ac:dyDescent="0.35">
      <c r="A21" s="883">
        <v>13</v>
      </c>
      <c r="B21" s="82"/>
      <c r="C21" s="83"/>
      <c r="D21" s="83"/>
      <c r="E21" s="83"/>
      <c r="F21" s="95" t="s">
        <v>654</v>
      </c>
      <c r="G21" s="84"/>
      <c r="H21" s="84"/>
      <c r="I21" s="84"/>
      <c r="J21" s="1303"/>
      <c r="K21" s="84"/>
      <c r="L21" s="84">
        <f>600000+52951</f>
        <v>652951</v>
      </c>
      <c r="M21" s="1316">
        <f t="shared" si="5"/>
        <v>652951</v>
      </c>
    </row>
    <row r="22" spans="1:15" ht="17.25" x14ac:dyDescent="0.35">
      <c r="A22" s="883">
        <v>14</v>
      </c>
      <c r="B22" s="82"/>
      <c r="C22" s="83"/>
      <c r="D22" s="83"/>
      <c r="E22" s="83"/>
      <c r="F22" s="95" t="s">
        <v>655</v>
      </c>
      <c r="G22" s="84"/>
      <c r="H22" s="84"/>
      <c r="I22" s="84"/>
      <c r="J22" s="1303"/>
      <c r="K22" s="84"/>
      <c r="L22" s="84">
        <v>240000</v>
      </c>
      <c r="M22" s="1316">
        <f t="shared" si="5"/>
        <v>240000</v>
      </c>
    </row>
    <row r="23" spans="1:15" s="94" customFormat="1" ht="25.5" customHeight="1" x14ac:dyDescent="0.35">
      <c r="A23" s="883">
        <v>15</v>
      </c>
      <c r="B23" s="390"/>
      <c r="C23" s="91"/>
      <c r="D23" s="83">
        <v>2</v>
      </c>
      <c r="E23" s="91"/>
      <c r="F23" s="92" t="s">
        <v>598</v>
      </c>
      <c r="G23" s="93">
        <f>SUM(G24:G26)</f>
        <v>0</v>
      </c>
      <c r="H23" s="93">
        <f>SUM(H24:H26)</f>
        <v>289409</v>
      </c>
      <c r="I23" s="93"/>
      <c r="J23" s="1306">
        <f>SUM(J24:J26)</f>
        <v>384588</v>
      </c>
      <c r="K23" s="93">
        <f>SUM(K24:K26)</f>
        <v>493588</v>
      </c>
      <c r="L23" s="93">
        <f t="shared" ref="L23:M23" si="6">SUM(L24:L26)</f>
        <v>149399</v>
      </c>
      <c r="M23" s="1316">
        <f t="shared" si="6"/>
        <v>642987</v>
      </c>
    </row>
    <row r="24" spans="1:15" ht="17.25" x14ac:dyDescent="0.35">
      <c r="A24" s="883">
        <v>16</v>
      </c>
      <c r="B24" s="82"/>
      <c r="C24" s="83"/>
      <c r="D24" s="91"/>
      <c r="E24" s="83"/>
      <c r="F24" s="95" t="s">
        <v>206</v>
      </c>
      <c r="G24" s="84"/>
      <c r="H24" s="84"/>
      <c r="I24" s="84"/>
      <c r="J24" s="1303"/>
      <c r="K24" s="84"/>
      <c r="L24" s="84"/>
      <c r="M24" s="1313">
        <f>SUM(K24:L24)</f>
        <v>0</v>
      </c>
    </row>
    <row r="25" spans="1:15" ht="17.25" x14ac:dyDescent="0.35">
      <c r="A25" s="883">
        <v>17</v>
      </c>
      <c r="B25" s="82"/>
      <c r="C25" s="83"/>
      <c r="D25" s="91"/>
      <c r="E25" s="83"/>
      <c r="F25" s="650" t="s">
        <v>615</v>
      </c>
      <c r="G25" s="84"/>
      <c r="H25" s="651">
        <v>248370</v>
      </c>
      <c r="I25" s="651"/>
      <c r="J25" s="1307"/>
      <c r="K25" s="651">
        <v>109000</v>
      </c>
      <c r="L25" s="84">
        <f>140058</f>
        <v>140058</v>
      </c>
      <c r="M25" s="1313">
        <f>SUM(K25:L25)</f>
        <v>249058</v>
      </c>
    </row>
    <row r="26" spans="1:15" ht="17.25" x14ac:dyDescent="0.35">
      <c r="A26" s="883">
        <v>18</v>
      </c>
      <c r="B26" s="82"/>
      <c r="C26" s="83"/>
      <c r="D26" s="91"/>
      <c r="E26" s="83"/>
      <c r="F26" s="95" t="s">
        <v>524</v>
      </c>
      <c r="G26" s="84"/>
      <c r="H26" s="84">
        <v>41039</v>
      </c>
      <c r="I26" s="84"/>
      <c r="J26" s="1303">
        <v>384588</v>
      </c>
      <c r="K26" s="84">
        <v>384588</v>
      </c>
      <c r="L26" s="84">
        <v>9341</v>
      </c>
      <c r="M26" s="1313">
        <f>SUM(K26:L26)</f>
        <v>393929</v>
      </c>
    </row>
    <row r="27" spans="1:15" s="75" customFormat="1" ht="25.5" customHeight="1" x14ac:dyDescent="0.2">
      <c r="A27" s="883">
        <v>19</v>
      </c>
      <c r="B27" s="391"/>
      <c r="C27" s="96"/>
      <c r="D27" s="96"/>
      <c r="E27" s="96"/>
      <c r="F27" s="97" t="s">
        <v>207</v>
      </c>
      <c r="G27" s="97"/>
      <c r="H27" s="97">
        <v>150000</v>
      </c>
      <c r="I27" s="97"/>
      <c r="J27" s="1308">
        <v>177471</v>
      </c>
      <c r="K27" s="97">
        <v>0</v>
      </c>
      <c r="L27" s="651"/>
      <c r="M27" s="1796">
        <f>SUM(K27:L27)</f>
        <v>0</v>
      </c>
    </row>
    <row r="28" spans="1:15" s="81" customFormat="1" ht="25.5" customHeight="1" x14ac:dyDescent="0.35">
      <c r="A28" s="883">
        <v>20</v>
      </c>
      <c r="B28" s="82"/>
      <c r="C28" s="89"/>
      <c r="D28" s="83">
        <v>2</v>
      </c>
      <c r="E28" s="89"/>
      <c r="F28" s="90" t="s">
        <v>163</v>
      </c>
      <c r="G28" s="90">
        <f t="shared" ref="G28:L28" si="7">SUM(G29:G31)</f>
        <v>8506675</v>
      </c>
      <c r="H28" s="90">
        <f t="shared" si="7"/>
        <v>13776203</v>
      </c>
      <c r="I28" s="90">
        <f t="shared" si="7"/>
        <v>5480175</v>
      </c>
      <c r="J28" s="1305">
        <f t="shared" si="7"/>
        <v>22160079</v>
      </c>
      <c r="K28" s="90">
        <f t="shared" si="7"/>
        <v>24442943</v>
      </c>
      <c r="L28" s="90">
        <f t="shared" si="7"/>
        <v>4685386</v>
      </c>
      <c r="M28" s="1315">
        <f t="shared" ref="M28" si="8">SUM(M29:M31)</f>
        <v>29128329</v>
      </c>
    </row>
    <row r="29" spans="1:15" ht="17.25" x14ac:dyDescent="0.35">
      <c r="A29" s="883">
        <v>21</v>
      </c>
      <c r="B29" s="82"/>
      <c r="C29" s="89"/>
      <c r="D29" s="83"/>
      <c r="E29" s="83">
        <v>1</v>
      </c>
      <c r="F29" s="85" t="s">
        <v>229</v>
      </c>
      <c r="G29" s="84">
        <v>7792799</v>
      </c>
      <c r="H29" s="84">
        <v>13014190</v>
      </c>
      <c r="I29" s="84">
        <v>5000126</v>
      </c>
      <c r="J29" s="1303">
        <v>21222147</v>
      </c>
      <c r="K29" s="84">
        <v>21315291</v>
      </c>
      <c r="L29" s="84">
        <f>'7.Beruh.'!J341+'8.Projekt'!M209+'9.MVP és hazai'!M117+'10.EKF'!M220</f>
        <v>4685386</v>
      </c>
      <c r="M29" s="1313">
        <f>SUM(K29:L29)</f>
        <v>26000677</v>
      </c>
    </row>
    <row r="30" spans="1:15" ht="17.25" x14ac:dyDescent="0.35">
      <c r="A30" s="883">
        <v>22</v>
      </c>
      <c r="B30" s="82"/>
      <c r="C30" s="89"/>
      <c r="D30" s="83"/>
      <c r="E30" s="83">
        <v>2</v>
      </c>
      <c r="F30" s="85" t="s">
        <v>164</v>
      </c>
      <c r="G30" s="84">
        <v>502120</v>
      </c>
      <c r="H30" s="84">
        <v>197022</v>
      </c>
      <c r="I30" s="84">
        <v>55982</v>
      </c>
      <c r="J30" s="1303">
        <v>549493</v>
      </c>
      <c r="K30" s="84">
        <v>2967533</v>
      </c>
      <c r="L30" s="84">
        <f>'7.Beruh.'!K341+'8.Projekt'!N209+'9.MVP és hazai'!N117+'10.EKF'!O220</f>
        <v>0</v>
      </c>
      <c r="M30" s="1313">
        <f t="shared" ref="M30:M31" si="9">SUM(K30:L30)</f>
        <v>2967533</v>
      </c>
    </row>
    <row r="31" spans="1:15" ht="17.25" x14ac:dyDescent="0.35">
      <c r="A31" s="883">
        <v>23</v>
      </c>
      <c r="B31" s="82"/>
      <c r="C31" s="89"/>
      <c r="D31" s="83"/>
      <c r="E31" s="83">
        <v>3</v>
      </c>
      <c r="F31" s="85" t="s">
        <v>230</v>
      </c>
      <c r="G31" s="84">
        <v>211756</v>
      </c>
      <c r="H31" s="84">
        <v>564991</v>
      </c>
      <c r="I31" s="84">
        <v>424067</v>
      </c>
      <c r="J31" s="1303">
        <v>388439</v>
      </c>
      <c r="K31" s="84">
        <v>160119</v>
      </c>
      <c r="L31" s="84">
        <f>'8.Felúj.'!J138+'10.EKF'!O220</f>
        <v>0</v>
      </c>
      <c r="M31" s="1313">
        <f t="shared" si="9"/>
        <v>160119</v>
      </c>
      <c r="O31" s="84"/>
    </row>
    <row r="32" spans="1:15" s="81" customFormat="1" ht="30" customHeight="1" x14ac:dyDescent="0.35">
      <c r="A32" s="883">
        <v>24</v>
      </c>
      <c r="B32" s="389" t="s">
        <v>545</v>
      </c>
      <c r="C32" s="86"/>
      <c r="D32" s="87"/>
      <c r="E32" s="86"/>
      <c r="F32" s="88" t="s">
        <v>208</v>
      </c>
      <c r="G32" s="88">
        <f>SUM(G33:G34)</f>
        <v>0</v>
      </c>
      <c r="H32" s="88">
        <f>SUM(H33:H34)</f>
        <v>0</v>
      </c>
      <c r="I32" s="88">
        <f>SUM(I33:I34)</f>
        <v>0</v>
      </c>
      <c r="J32" s="1304">
        <f>SUM(J33:J34)</f>
        <v>0</v>
      </c>
      <c r="K32" s="88">
        <f>SUM(K33:K34)</f>
        <v>0</v>
      </c>
      <c r="L32" s="88">
        <f t="shared" ref="L32:M32" si="10">SUM(L33:L34)</f>
        <v>0</v>
      </c>
      <c r="M32" s="1314">
        <f t="shared" si="10"/>
        <v>0</v>
      </c>
    </row>
    <row r="33" spans="1:13" s="74" customFormat="1" ht="24" customHeight="1" x14ac:dyDescent="0.3">
      <c r="A33" s="884">
        <v>25</v>
      </c>
      <c r="B33" s="82"/>
      <c r="C33" s="83"/>
      <c r="D33" s="83">
        <v>1</v>
      </c>
      <c r="E33" s="83"/>
      <c r="F33" s="98" t="s">
        <v>39</v>
      </c>
      <c r="G33" s="107"/>
      <c r="H33" s="107"/>
      <c r="I33" s="107"/>
      <c r="J33" s="1309"/>
      <c r="K33" s="107"/>
      <c r="L33" s="107"/>
      <c r="M33" s="1793"/>
    </row>
    <row r="34" spans="1:13" s="74" customFormat="1" ht="24" customHeight="1" thickBot="1" x14ac:dyDescent="0.35">
      <c r="A34" s="884">
        <v>26</v>
      </c>
      <c r="B34" s="82"/>
      <c r="C34" s="83"/>
      <c r="D34" s="83">
        <v>2</v>
      </c>
      <c r="E34" s="83"/>
      <c r="F34" s="784" t="s">
        <v>163</v>
      </c>
      <c r="G34" s="107"/>
      <c r="H34" s="107"/>
      <c r="I34" s="107"/>
      <c r="J34" s="1309"/>
      <c r="K34" s="107"/>
      <c r="L34" s="107"/>
      <c r="M34" s="1793"/>
    </row>
    <row r="35" spans="1:13" s="97" customFormat="1" ht="39.950000000000003" customHeight="1" thickBot="1" x14ac:dyDescent="0.25">
      <c r="A35" s="883">
        <v>27</v>
      </c>
      <c r="B35" s="103"/>
      <c r="C35" s="104"/>
      <c r="D35" s="105"/>
      <c r="E35" s="104"/>
      <c r="F35" s="106" t="s">
        <v>209</v>
      </c>
      <c r="G35" s="106">
        <f>SUM(G9,G14,G32)</f>
        <v>20578635</v>
      </c>
      <c r="H35" s="106">
        <f>SUM(H9,H14,H32)</f>
        <v>27496549</v>
      </c>
      <c r="I35" s="106">
        <f>SUM(I9,I14,I32)</f>
        <v>19935413</v>
      </c>
      <c r="J35" s="1310">
        <f>SUM(J9,J14,J32)</f>
        <v>37552274</v>
      </c>
      <c r="K35" s="106">
        <f>SUM(K9,K14,K32)</f>
        <v>40482307</v>
      </c>
      <c r="L35" s="106">
        <f t="shared" ref="L35:M35" si="11">SUM(L9,L14,L32)</f>
        <v>5846508</v>
      </c>
      <c r="M35" s="1317">
        <f t="shared" si="11"/>
        <v>46328815</v>
      </c>
    </row>
    <row r="36" spans="1:13" s="74" customFormat="1" ht="30" customHeight="1" x14ac:dyDescent="0.35">
      <c r="A36" s="883">
        <v>28</v>
      </c>
      <c r="B36" s="82" t="s">
        <v>545</v>
      </c>
      <c r="C36" s="83"/>
      <c r="D36" s="83"/>
      <c r="E36" s="83"/>
      <c r="F36" s="90" t="s">
        <v>210</v>
      </c>
      <c r="G36" s="90">
        <f>SUM(G40:G41,G37:G38)</f>
        <v>215713</v>
      </c>
      <c r="H36" s="90">
        <f>SUM(H40:H41,H37:H38)</f>
        <v>209635</v>
      </c>
      <c r="I36" s="90">
        <f>SUM(I40:I41,I37:I38)</f>
        <v>241248</v>
      </c>
      <c r="J36" s="1305">
        <f>SUM(J40:J41,J37:J38)</f>
        <v>219771</v>
      </c>
      <c r="K36" s="90">
        <f>SUM(K40:K41,K37:K38)</f>
        <v>219771</v>
      </c>
      <c r="L36" s="90">
        <f t="shared" ref="L36:M36" si="12">SUM(L40:L41,L37:L38)</f>
        <v>328364</v>
      </c>
      <c r="M36" s="1315">
        <f t="shared" si="12"/>
        <v>548135</v>
      </c>
    </row>
    <row r="37" spans="1:13" s="74" customFormat="1" x14ac:dyDescent="0.3">
      <c r="A37" s="883">
        <v>29</v>
      </c>
      <c r="B37" s="82"/>
      <c r="C37" s="83"/>
      <c r="D37" s="83">
        <v>1</v>
      </c>
      <c r="E37" s="83"/>
      <c r="F37" s="107" t="s">
        <v>211</v>
      </c>
      <c r="G37" s="107"/>
      <c r="H37" s="107"/>
      <c r="I37" s="107"/>
      <c r="J37" s="1309"/>
      <c r="K37" s="107"/>
      <c r="L37" s="107"/>
      <c r="M37" s="1793"/>
    </row>
    <row r="38" spans="1:13" s="74" customFormat="1" x14ac:dyDescent="0.3">
      <c r="A38" s="883">
        <v>30</v>
      </c>
      <c r="B38" s="82"/>
      <c r="C38" s="83"/>
      <c r="D38" s="83">
        <v>1</v>
      </c>
      <c r="E38" s="83"/>
      <c r="F38" s="107" t="s">
        <v>264</v>
      </c>
      <c r="G38" s="107">
        <v>108118</v>
      </c>
      <c r="H38" s="107">
        <v>96040</v>
      </c>
      <c r="I38" s="107">
        <v>127653</v>
      </c>
      <c r="J38" s="1309">
        <v>111267</v>
      </c>
      <c r="K38" s="107">
        <v>111267</v>
      </c>
      <c r="L38" s="107">
        <v>328363</v>
      </c>
      <c r="M38" s="1793">
        <f>SUM(K38:L38)</f>
        <v>439630</v>
      </c>
    </row>
    <row r="39" spans="1:13" x14ac:dyDescent="0.3">
      <c r="A39" s="883">
        <v>31</v>
      </c>
      <c r="B39" s="82"/>
      <c r="C39" s="83"/>
      <c r="D39" s="83">
        <v>2</v>
      </c>
      <c r="E39" s="83"/>
      <c r="F39" s="107" t="s">
        <v>212</v>
      </c>
      <c r="G39" s="84"/>
      <c r="H39" s="84"/>
      <c r="I39" s="84"/>
      <c r="J39" s="1303"/>
      <c r="K39" s="107"/>
      <c r="L39" s="84"/>
      <c r="M39" s="1313"/>
    </row>
    <row r="40" spans="1:13" x14ac:dyDescent="0.3">
      <c r="A40" s="883">
        <v>32</v>
      </c>
      <c r="B40" s="82"/>
      <c r="C40" s="83"/>
      <c r="D40" s="83"/>
      <c r="E40" s="83"/>
      <c r="F40" s="108" t="s">
        <v>213</v>
      </c>
      <c r="G40" s="84">
        <v>107595</v>
      </c>
      <c r="H40" s="84">
        <v>113595</v>
      </c>
      <c r="I40" s="84">
        <v>113595</v>
      </c>
      <c r="J40" s="1303">
        <v>108504</v>
      </c>
      <c r="K40" s="107">
        <v>108504</v>
      </c>
      <c r="L40" s="84">
        <v>1</v>
      </c>
      <c r="M40" s="1313">
        <f>SUM(K40:L40)</f>
        <v>108505</v>
      </c>
    </row>
    <row r="41" spans="1:13" s="102" customFormat="1" ht="18" customHeight="1" thickBot="1" x14ac:dyDescent="0.25">
      <c r="A41" s="883">
        <v>33</v>
      </c>
      <c r="B41" s="99"/>
      <c r="C41" s="100"/>
      <c r="D41" s="100"/>
      <c r="E41" s="100"/>
      <c r="F41" s="109" t="s">
        <v>214</v>
      </c>
      <c r="G41" s="101"/>
      <c r="H41" s="101"/>
      <c r="I41" s="101"/>
      <c r="J41" s="1311"/>
      <c r="K41" s="101"/>
      <c r="L41" s="101"/>
      <c r="M41" s="1794"/>
    </row>
    <row r="42" spans="1:13" s="97" customFormat="1" ht="39.950000000000003" customHeight="1" thickBot="1" x14ac:dyDescent="0.25">
      <c r="A42" s="883">
        <v>34</v>
      </c>
      <c r="B42" s="103"/>
      <c r="C42" s="104"/>
      <c r="D42" s="105"/>
      <c r="E42" s="104"/>
      <c r="F42" s="106" t="s">
        <v>215</v>
      </c>
      <c r="G42" s="106">
        <f>SUM(G35:G36)</f>
        <v>20794348</v>
      </c>
      <c r="H42" s="106">
        <f>SUM(H35:H36)</f>
        <v>27706184</v>
      </c>
      <c r="I42" s="106">
        <f>SUM(I35:I36)</f>
        <v>20176661</v>
      </c>
      <c r="J42" s="1310">
        <f>SUM(J35:J36)</f>
        <v>37772045</v>
      </c>
      <c r="K42" s="106">
        <f>SUM(K35:K36)</f>
        <v>40702078</v>
      </c>
      <c r="L42" s="106">
        <f t="shared" ref="L42:M42" si="13">SUM(L35:L36)</f>
        <v>6174872</v>
      </c>
      <c r="M42" s="1317">
        <f t="shared" si="13"/>
        <v>46876950</v>
      </c>
    </row>
    <row r="43" spans="1:13" x14ac:dyDescent="0.3">
      <c r="B43" s="110"/>
      <c r="C43" s="83"/>
      <c r="D43" s="83"/>
      <c r="E43" s="83"/>
      <c r="F43" s="84"/>
      <c r="G43" s="84">
        <f>+'1.Onbe'!G65-'2.Onki'!G42</f>
        <v>13074152</v>
      </c>
      <c r="H43" s="84">
        <f>+'1.Onbe'!H65-'2.Onki'!H42</f>
        <v>0</v>
      </c>
      <c r="I43" s="84">
        <f>+'1.Onbe'!I65-'2.Onki'!I42</f>
        <v>14215038</v>
      </c>
      <c r="J43" s="84"/>
      <c r="K43" s="84">
        <f>+'1.Onbe'!K65-'2.Onki'!K42</f>
        <v>0</v>
      </c>
    </row>
    <row r="44" spans="1:13" x14ac:dyDescent="0.3">
      <c r="B44" s="110"/>
      <c r="C44" s="83"/>
      <c r="D44" s="83"/>
      <c r="E44" s="83"/>
      <c r="F44" s="84"/>
      <c r="G44" s="84"/>
      <c r="H44" s="84"/>
      <c r="I44" s="84"/>
      <c r="J44" s="84"/>
    </row>
    <row r="45" spans="1:13" x14ac:dyDescent="0.3">
      <c r="B45" s="110"/>
      <c r="C45" s="83"/>
      <c r="D45" s="83"/>
      <c r="E45" s="83"/>
      <c r="F45" s="84"/>
      <c r="G45" s="84"/>
      <c r="H45" s="84"/>
      <c r="I45" s="84"/>
      <c r="J45" s="84"/>
    </row>
    <row r="46" spans="1:13" x14ac:dyDescent="0.3">
      <c r="B46" s="110"/>
      <c r="C46" s="83"/>
      <c r="D46" s="83"/>
      <c r="E46" s="83"/>
      <c r="F46" s="84"/>
      <c r="G46" s="84"/>
      <c r="H46" s="84"/>
      <c r="I46" s="84"/>
      <c r="J46" s="84"/>
    </row>
    <row r="47" spans="1:13" ht="17.25" x14ac:dyDescent="0.35">
      <c r="B47" s="110"/>
      <c r="C47" s="89"/>
      <c r="D47" s="83"/>
      <c r="E47" s="89"/>
      <c r="F47" s="90"/>
      <c r="G47" s="90"/>
      <c r="H47" s="90"/>
      <c r="I47" s="90"/>
      <c r="J47" s="90"/>
    </row>
    <row r="48" spans="1:13" x14ac:dyDescent="0.3">
      <c r="B48" s="110"/>
      <c r="C48" s="83"/>
      <c r="D48" s="83"/>
      <c r="E48" s="83"/>
      <c r="F48" s="84"/>
      <c r="G48" s="84"/>
      <c r="H48" s="84"/>
      <c r="I48" s="84"/>
      <c r="J48" s="84"/>
    </row>
    <row r="49" spans="1:10" x14ac:dyDescent="0.3">
      <c r="B49" s="110"/>
      <c r="C49" s="83"/>
      <c r="D49" s="83"/>
      <c r="E49" s="83"/>
      <c r="F49" s="84"/>
      <c r="G49" s="84"/>
      <c r="H49" s="84"/>
      <c r="I49" s="84"/>
      <c r="J49" s="84"/>
    </row>
    <row r="58" spans="1:10" s="81" customFormat="1" ht="17.25" x14ac:dyDescent="0.35">
      <c r="A58" s="885"/>
      <c r="B58" s="111"/>
      <c r="C58" s="112"/>
      <c r="D58" s="113"/>
      <c r="E58" s="112"/>
    </row>
    <row r="63" spans="1:10" s="81" customFormat="1" ht="17.25" x14ac:dyDescent="0.35">
      <c r="A63" s="885"/>
      <c r="B63" s="111"/>
      <c r="C63" s="112"/>
      <c r="D63" s="113"/>
      <c r="E63" s="112"/>
    </row>
    <row r="65" spans="1:6" s="81" customFormat="1" ht="17.25" x14ac:dyDescent="0.35">
      <c r="A65" s="885"/>
      <c r="B65" s="111"/>
      <c r="C65" s="112"/>
      <c r="D65" s="113"/>
      <c r="E65" s="112"/>
    </row>
    <row r="72" spans="1:6" x14ac:dyDescent="0.3">
      <c r="F72" s="84"/>
    </row>
    <row r="73" spans="1:6" x14ac:dyDescent="0.3">
      <c r="F73" s="84"/>
    </row>
    <row r="74" spans="1:6" x14ac:dyDescent="0.3">
      <c r="F74" s="84"/>
    </row>
    <row r="75" spans="1:6" x14ac:dyDescent="0.3">
      <c r="F75" s="84"/>
    </row>
    <row r="76" spans="1:6" x14ac:dyDescent="0.3">
      <c r="F76" s="84"/>
    </row>
    <row r="77" spans="1:6" x14ac:dyDescent="0.3">
      <c r="F77" s="84"/>
    </row>
    <row r="78" spans="1:6" x14ac:dyDescent="0.3">
      <c r="F78" s="84"/>
    </row>
  </sheetData>
  <mergeCells count="4">
    <mergeCell ref="B4:M4"/>
    <mergeCell ref="B5:M5"/>
    <mergeCell ref="B1:M1"/>
    <mergeCell ref="B2:M2"/>
  </mergeCells>
  <printOptions horizontalCentered="1"/>
  <pageMargins left="0.19685039370078741" right="0.19685039370078741" top="0.59055118110236227" bottom="0.59055118110236227" header="0.31496062992125984" footer="0.31496062992125984"/>
  <pageSetup paperSize="9" scale="53" fitToHeight="2" orientation="portrait" r:id="rId1"/>
  <headerFooter alignWithMargins="0">
    <oddFooter>&amp;C- &amp;P--</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P174"/>
  <sheetViews>
    <sheetView view="pageBreakPreview" zoomScale="80" zoomScaleNormal="100" zoomScaleSheetLayoutView="80" workbookViewId="0">
      <selection activeCell="B1" sqref="B1:O1"/>
    </sheetView>
  </sheetViews>
  <sheetFormatPr defaultColWidth="9.140625" defaultRowHeight="12.75" x14ac:dyDescent="0.2"/>
  <cols>
    <col min="1" max="1" width="3.7109375" style="706" customWidth="1"/>
    <col min="2" max="2" width="5.7109375" style="283" customWidth="1"/>
    <col min="3" max="3" width="5.7109375" style="286" customWidth="1"/>
    <col min="4" max="4" width="4.7109375" style="286" customWidth="1"/>
    <col min="5" max="5" width="51.7109375" style="286" customWidth="1"/>
    <col min="6" max="6" width="10" style="283" customWidth="1"/>
    <col min="7" max="7" width="14" style="283" bestFit="1" customWidth="1"/>
    <col min="8" max="8" width="11.7109375" style="283" customWidth="1"/>
    <col min="9" max="9" width="12.42578125" style="283" bestFit="1" customWidth="1"/>
    <col min="10" max="10" width="14" style="283" customWidth="1"/>
    <col min="11" max="12" width="12.7109375" style="283" customWidth="1"/>
    <col min="13" max="13" width="10.7109375" style="283" customWidth="1"/>
    <col min="14" max="14" width="12.7109375" style="284" customWidth="1"/>
    <col min="15" max="15" width="13.7109375" style="285" customWidth="1"/>
    <col min="16" max="16384" width="9.140625" style="283"/>
  </cols>
  <sheetData>
    <row r="1" spans="1:16" ht="17.25" x14ac:dyDescent="0.35">
      <c r="A1" s="1964"/>
      <c r="B1" s="2163" t="s">
        <v>1363</v>
      </c>
      <c r="C1" s="2163"/>
      <c r="D1" s="2163"/>
      <c r="E1" s="2163"/>
      <c r="F1" s="2163"/>
      <c r="G1" s="2163"/>
      <c r="H1" s="2163"/>
      <c r="I1" s="2163"/>
      <c r="J1" s="2163"/>
      <c r="K1" s="2163"/>
      <c r="L1" s="2163"/>
      <c r="M1" s="2163"/>
      <c r="N1" s="2163"/>
      <c r="O1" s="2163"/>
    </row>
    <row r="2" spans="1:16" s="295" customFormat="1" ht="18" customHeight="1" x14ac:dyDescent="0.3">
      <c r="A2" s="1968"/>
      <c r="B2" s="2164" t="s">
        <v>1146</v>
      </c>
      <c r="C2" s="2164"/>
      <c r="D2" s="2164"/>
      <c r="E2" s="2164"/>
      <c r="F2" s="2164"/>
      <c r="G2" s="2164"/>
      <c r="H2" s="2164"/>
      <c r="I2" s="2164"/>
      <c r="J2" s="2164"/>
      <c r="K2" s="2164"/>
      <c r="L2" s="2164"/>
      <c r="M2" s="2164"/>
      <c r="N2" s="2164"/>
      <c r="O2" s="2164"/>
      <c r="P2" s="704"/>
    </row>
    <row r="3" spans="1:16" s="295" customFormat="1" ht="18" customHeight="1" x14ac:dyDescent="0.3">
      <c r="A3" s="1968"/>
      <c r="B3" s="1973"/>
      <c r="C3" s="1973"/>
      <c r="D3" s="1973"/>
      <c r="E3" s="1973"/>
      <c r="F3" s="1973"/>
      <c r="G3" s="1973"/>
      <c r="H3" s="1973"/>
      <c r="I3" s="1973"/>
      <c r="J3" s="1973"/>
      <c r="K3" s="1973"/>
      <c r="L3" s="1973"/>
      <c r="M3" s="1973"/>
      <c r="N3" s="1973"/>
      <c r="O3" s="1973"/>
      <c r="P3" s="704"/>
    </row>
    <row r="4" spans="1:16" s="295" customFormat="1" ht="24.75" customHeight="1" x14ac:dyDescent="0.2">
      <c r="A4" s="61"/>
      <c r="B4" s="2165" t="s">
        <v>142</v>
      </c>
      <c r="C4" s="2165"/>
      <c r="D4" s="2165"/>
      <c r="E4" s="2165"/>
      <c r="F4" s="2165"/>
      <c r="G4" s="2165"/>
      <c r="H4" s="2165"/>
      <c r="I4" s="2165"/>
      <c r="J4" s="2165"/>
      <c r="K4" s="2165"/>
      <c r="L4" s="2165"/>
      <c r="M4" s="2165"/>
      <c r="N4" s="2165"/>
      <c r="O4" s="2165"/>
      <c r="P4" s="704"/>
    </row>
    <row r="5" spans="1:16" s="295" customFormat="1" ht="24.75" customHeight="1" x14ac:dyDescent="0.2">
      <c r="A5" s="61"/>
      <c r="B5" s="2165" t="s">
        <v>1132</v>
      </c>
      <c r="C5" s="2165"/>
      <c r="D5" s="2165"/>
      <c r="E5" s="2165"/>
      <c r="F5" s="2165"/>
      <c r="G5" s="2165"/>
      <c r="H5" s="2165"/>
      <c r="I5" s="2165"/>
      <c r="J5" s="2165"/>
      <c r="K5" s="2165"/>
      <c r="L5" s="2165"/>
      <c r="M5" s="2165"/>
      <c r="N5" s="2165"/>
      <c r="O5" s="2165"/>
      <c r="P5" s="704"/>
    </row>
    <row r="6" spans="1:16" ht="18" customHeight="1" x14ac:dyDescent="0.3">
      <c r="A6" s="61"/>
      <c r="B6" s="50"/>
      <c r="C6" s="53"/>
      <c r="D6" s="53"/>
      <c r="E6" s="53"/>
      <c r="F6" s="51"/>
      <c r="G6" s="51"/>
      <c r="H6" s="51"/>
      <c r="I6" s="51"/>
      <c r="J6" s="51"/>
      <c r="K6" s="51"/>
      <c r="L6" s="48"/>
      <c r="M6" s="48"/>
      <c r="N6" s="2166" t="s">
        <v>0</v>
      </c>
      <c r="O6" s="2166"/>
      <c r="P6" s="48"/>
    </row>
    <row r="7" spans="1:16" s="61" customFormat="1" ht="18" customHeight="1" thickBot="1" x14ac:dyDescent="0.25">
      <c r="B7" s="61" t="s">
        <v>1</v>
      </c>
      <c r="C7" s="61" t="s">
        <v>3</v>
      </c>
      <c r="D7" s="2167" t="s">
        <v>2</v>
      </c>
      <c r="E7" s="2167"/>
      <c r="F7" s="129" t="s">
        <v>4</v>
      </c>
      <c r="G7" s="129" t="s">
        <v>5</v>
      </c>
      <c r="H7" s="129" t="s">
        <v>15</v>
      </c>
      <c r="I7" s="129" t="s">
        <v>16</v>
      </c>
      <c r="J7" s="129" t="s">
        <v>17</v>
      </c>
      <c r="K7" s="129" t="s">
        <v>36</v>
      </c>
      <c r="L7" s="61" t="s">
        <v>30</v>
      </c>
      <c r="M7" s="61" t="s">
        <v>23</v>
      </c>
      <c r="N7" s="61" t="s">
        <v>37</v>
      </c>
      <c r="O7" s="61" t="s">
        <v>38</v>
      </c>
    </row>
    <row r="8" spans="1:16" s="50" customFormat="1" ht="30" customHeight="1" x14ac:dyDescent="0.2">
      <c r="A8" s="61"/>
      <c r="B8" s="2185" t="s">
        <v>18</v>
      </c>
      <c r="C8" s="2187" t="s">
        <v>19</v>
      </c>
      <c r="D8" s="2189" t="s">
        <v>6</v>
      </c>
      <c r="E8" s="2190"/>
      <c r="F8" s="2193" t="s">
        <v>143</v>
      </c>
      <c r="G8" s="2193"/>
      <c r="H8" s="2193"/>
      <c r="I8" s="2168" t="s">
        <v>144</v>
      </c>
      <c r="J8" s="2168"/>
      <c r="K8" s="2168"/>
      <c r="L8" s="2168" t="s">
        <v>262</v>
      </c>
      <c r="M8" s="2168" t="s">
        <v>145</v>
      </c>
      <c r="N8" s="2168"/>
      <c r="O8" s="2169" t="s">
        <v>633</v>
      </c>
    </row>
    <row r="9" spans="1:16" ht="60.75" thickBot="1" x14ac:dyDescent="0.25">
      <c r="A9" s="61"/>
      <c r="B9" s="2186"/>
      <c r="C9" s="2188"/>
      <c r="D9" s="2191"/>
      <c r="E9" s="2192"/>
      <c r="F9" s="2127" t="s">
        <v>146</v>
      </c>
      <c r="G9" s="2127" t="s">
        <v>147</v>
      </c>
      <c r="H9" s="2127" t="s">
        <v>148</v>
      </c>
      <c r="I9" s="2127" t="s">
        <v>149</v>
      </c>
      <c r="J9" s="2127" t="s">
        <v>150</v>
      </c>
      <c r="K9" s="2127" t="s">
        <v>151</v>
      </c>
      <c r="L9" s="2184"/>
      <c r="M9" s="2127" t="s">
        <v>129</v>
      </c>
      <c r="N9" s="52" t="s">
        <v>413</v>
      </c>
      <c r="O9" s="2170"/>
      <c r="P9" s="48"/>
    </row>
    <row r="10" spans="1:16" s="53" customFormat="1" ht="22.5" customHeight="1" x14ac:dyDescent="0.3">
      <c r="A10" s="61">
        <v>1</v>
      </c>
      <c r="B10" s="322">
        <v>1</v>
      </c>
      <c r="C10" s="323"/>
      <c r="D10" s="687" t="s">
        <v>311</v>
      </c>
      <c r="E10" s="680"/>
      <c r="F10" s="333"/>
      <c r="G10" s="333"/>
      <c r="H10" s="333"/>
      <c r="I10" s="333"/>
      <c r="J10" s="333"/>
      <c r="K10" s="333"/>
      <c r="L10" s="333"/>
      <c r="M10" s="333"/>
      <c r="N10" s="334"/>
      <c r="O10" s="335"/>
    </row>
    <row r="11" spans="1:16" s="53" customFormat="1" ht="18" customHeight="1" x14ac:dyDescent="0.3">
      <c r="A11" s="61">
        <v>2</v>
      </c>
      <c r="B11" s="308"/>
      <c r="C11" s="309"/>
      <c r="D11" s="688" t="s">
        <v>344</v>
      </c>
      <c r="E11" s="2129"/>
      <c r="F11" s="120"/>
      <c r="G11" s="120"/>
      <c r="H11" s="120"/>
      <c r="I11" s="120"/>
      <c r="J11" s="120"/>
      <c r="K11" s="120"/>
      <c r="L11" s="120"/>
      <c r="M11" s="120"/>
      <c r="N11" s="157"/>
      <c r="O11" s="328"/>
    </row>
    <row r="12" spans="1:16" s="805" customFormat="1" ht="18" customHeight="1" x14ac:dyDescent="0.3">
      <c r="A12" s="61">
        <v>3</v>
      </c>
      <c r="B12" s="797"/>
      <c r="C12" s="798"/>
      <c r="D12" s="799"/>
      <c r="E12" s="800" t="s">
        <v>308</v>
      </c>
      <c r="F12" s="801">
        <v>4940</v>
      </c>
      <c r="G12" s="801"/>
      <c r="H12" s="801"/>
      <c r="I12" s="801"/>
      <c r="J12" s="801"/>
      <c r="K12" s="801"/>
      <c r="L12" s="801">
        <v>710</v>
      </c>
      <c r="M12" s="801">
        <v>207975</v>
      </c>
      <c r="N12" s="802">
        <v>142608</v>
      </c>
      <c r="O12" s="803">
        <f>SUM(F12:M12)</f>
        <v>213625</v>
      </c>
      <c r="P12" s="804"/>
    </row>
    <row r="13" spans="1:16" s="805" customFormat="1" ht="18" customHeight="1" x14ac:dyDescent="0.3">
      <c r="A13" s="61">
        <v>4</v>
      </c>
      <c r="B13" s="797"/>
      <c r="C13" s="798"/>
      <c r="D13" s="1357"/>
      <c r="E13" s="683" t="s">
        <v>1158</v>
      </c>
      <c r="F13" s="1358">
        <v>4940</v>
      </c>
      <c r="G13" s="1358"/>
      <c r="H13" s="1358"/>
      <c r="I13" s="1358"/>
      <c r="J13" s="1358"/>
      <c r="K13" s="1358"/>
      <c r="L13" s="1358">
        <v>6146</v>
      </c>
      <c r="M13" s="1358">
        <v>209902</v>
      </c>
      <c r="N13" s="1359">
        <v>153131</v>
      </c>
      <c r="O13" s="328">
        <f>SUM(F13:M13)</f>
        <v>220988</v>
      </c>
      <c r="P13" s="804"/>
    </row>
    <row r="14" spans="1:16" s="284" customFormat="1" ht="18" customHeight="1" x14ac:dyDescent="0.3">
      <c r="A14" s="61">
        <v>5</v>
      </c>
      <c r="B14" s="1353"/>
      <c r="C14" s="1169"/>
      <c r="D14" s="1354"/>
      <c r="E14" s="1355" t="s">
        <v>1329</v>
      </c>
      <c r="F14" s="157"/>
      <c r="G14" s="157"/>
      <c r="H14" s="157"/>
      <c r="I14" s="157"/>
      <c r="J14" s="157"/>
      <c r="K14" s="157"/>
      <c r="L14" s="157">
        <v>-122</v>
      </c>
      <c r="M14" s="157"/>
      <c r="N14" s="157"/>
      <c r="O14" s="1171">
        <f>SUM(F14:M14)</f>
        <v>-122</v>
      </c>
      <c r="P14" s="49"/>
    </row>
    <row r="15" spans="1:16" s="285" customFormat="1" ht="18" customHeight="1" x14ac:dyDescent="0.3">
      <c r="A15" s="61">
        <v>6</v>
      </c>
      <c r="B15" s="460"/>
      <c r="C15" s="1356"/>
      <c r="D15" s="1357"/>
      <c r="E15" s="683" t="s">
        <v>1250</v>
      </c>
      <c r="F15" s="1358">
        <f>SUM(F13:F14)</f>
        <v>4940</v>
      </c>
      <c r="G15" s="1358"/>
      <c r="H15" s="1358"/>
      <c r="I15" s="1358"/>
      <c r="J15" s="1358"/>
      <c r="K15" s="1358"/>
      <c r="L15" s="1358">
        <f>SUM(L13:L14)</f>
        <v>6024</v>
      </c>
      <c r="M15" s="1358">
        <f>SUM(M13:M14)</f>
        <v>209902</v>
      </c>
      <c r="N15" s="1358">
        <f>SUM(N13:N14)</f>
        <v>153131</v>
      </c>
      <c r="O15" s="328">
        <f>SUM(F15:M15)</f>
        <v>220866</v>
      </c>
      <c r="P15" s="57"/>
    </row>
    <row r="16" spans="1:16" s="152" customFormat="1" ht="22.5" customHeight="1" x14ac:dyDescent="0.3">
      <c r="A16" s="61">
        <v>7</v>
      </c>
      <c r="B16" s="308">
        <v>2</v>
      </c>
      <c r="C16" s="309"/>
      <c r="D16" s="682" t="s">
        <v>412</v>
      </c>
      <c r="E16" s="682"/>
      <c r="F16" s="317"/>
      <c r="G16" s="317"/>
      <c r="H16" s="317"/>
      <c r="I16" s="317"/>
      <c r="J16" s="317"/>
      <c r="K16" s="317"/>
      <c r="L16" s="317"/>
      <c r="M16" s="317"/>
      <c r="N16" s="318"/>
      <c r="O16" s="319"/>
    </row>
    <row r="17" spans="1:16" s="152" customFormat="1" ht="18" customHeight="1" x14ac:dyDescent="0.3">
      <c r="A17" s="61">
        <v>8</v>
      </c>
      <c r="B17" s="308"/>
      <c r="C17" s="309"/>
      <c r="D17" s="2129" t="s">
        <v>309</v>
      </c>
      <c r="E17" s="2129"/>
      <c r="F17" s="317"/>
      <c r="G17" s="317"/>
      <c r="H17" s="317"/>
      <c r="I17" s="317"/>
      <c r="J17" s="317"/>
      <c r="K17" s="317"/>
      <c r="L17" s="317"/>
      <c r="M17" s="317"/>
      <c r="N17" s="318"/>
      <c r="O17" s="319"/>
    </row>
    <row r="18" spans="1:16" s="806" customFormat="1" ht="18" customHeight="1" x14ac:dyDescent="0.3">
      <c r="A18" s="61">
        <v>9</v>
      </c>
      <c r="B18" s="797"/>
      <c r="C18" s="798"/>
      <c r="D18" s="799"/>
      <c r="E18" s="800" t="s">
        <v>308</v>
      </c>
      <c r="F18" s="801">
        <v>9516</v>
      </c>
      <c r="G18" s="801"/>
      <c r="H18" s="801"/>
      <c r="I18" s="801"/>
      <c r="J18" s="801"/>
      <c r="K18" s="801"/>
      <c r="L18" s="801">
        <v>700</v>
      </c>
      <c r="M18" s="801">
        <v>356874</v>
      </c>
      <c r="N18" s="802">
        <v>277977</v>
      </c>
      <c r="O18" s="803">
        <f>SUM(F18:M18)</f>
        <v>367090</v>
      </c>
    </row>
    <row r="19" spans="1:16" s="806" customFormat="1" ht="18" customHeight="1" x14ac:dyDescent="0.3">
      <c r="A19" s="61">
        <v>10</v>
      </c>
      <c r="B19" s="797"/>
      <c r="C19" s="798"/>
      <c r="D19" s="799"/>
      <c r="E19" s="683" t="s">
        <v>1158</v>
      </c>
      <c r="F19" s="1358">
        <v>7516</v>
      </c>
      <c r="G19" s="1358"/>
      <c r="H19" s="1358"/>
      <c r="I19" s="1358"/>
      <c r="J19" s="1358"/>
      <c r="K19" s="1358"/>
      <c r="L19" s="1358">
        <v>28037</v>
      </c>
      <c r="M19" s="1358">
        <v>363908</v>
      </c>
      <c r="N19" s="1359">
        <v>281825</v>
      </c>
      <c r="O19" s="328">
        <f>SUM(F19:M19)</f>
        <v>399461</v>
      </c>
    </row>
    <row r="20" spans="1:16" s="284" customFormat="1" ht="18" customHeight="1" x14ac:dyDescent="0.3">
      <c r="A20" s="61">
        <v>11</v>
      </c>
      <c r="B20" s="1353"/>
      <c r="C20" s="1169"/>
      <c r="D20" s="1354"/>
      <c r="E20" s="1355" t="s">
        <v>1329</v>
      </c>
      <c r="F20" s="157"/>
      <c r="G20" s="157"/>
      <c r="H20" s="157"/>
      <c r="I20" s="157"/>
      <c r="J20" s="157"/>
      <c r="K20" s="157"/>
      <c r="L20" s="157">
        <v>-185</v>
      </c>
      <c r="M20" s="157"/>
      <c r="N20" s="157"/>
      <c r="O20" s="1171">
        <f>SUM(F20:M20)</f>
        <v>-185</v>
      </c>
      <c r="P20" s="49"/>
    </row>
    <row r="21" spans="1:16" s="285" customFormat="1" ht="18" customHeight="1" x14ac:dyDescent="0.3">
      <c r="A21" s="61">
        <v>12</v>
      </c>
      <c r="B21" s="460"/>
      <c r="C21" s="1356"/>
      <c r="D21" s="1357"/>
      <c r="E21" s="683" t="s">
        <v>1250</v>
      </c>
      <c r="F21" s="1358">
        <f>SUM(F19:F20)</f>
        <v>7516</v>
      </c>
      <c r="G21" s="1358"/>
      <c r="H21" s="1358"/>
      <c r="I21" s="1358"/>
      <c r="J21" s="1358"/>
      <c r="K21" s="1358"/>
      <c r="L21" s="1358">
        <f>SUM(L19:L20)</f>
        <v>27852</v>
      </c>
      <c r="M21" s="1358">
        <f>SUM(M19:M20)</f>
        <v>363908</v>
      </c>
      <c r="N21" s="1358">
        <f>SUM(N19:N20)</f>
        <v>281825</v>
      </c>
      <c r="O21" s="328">
        <f>SUM(F21:M21)</f>
        <v>399276</v>
      </c>
      <c r="P21" s="57"/>
    </row>
    <row r="22" spans="1:16" s="151" customFormat="1" ht="22.5" customHeight="1" x14ac:dyDescent="0.3">
      <c r="A22" s="61">
        <v>13</v>
      </c>
      <c r="B22" s="308">
        <v>3</v>
      </c>
      <c r="C22" s="309"/>
      <c r="D22" s="682" t="s">
        <v>265</v>
      </c>
      <c r="E22" s="682"/>
      <c r="F22" s="317"/>
      <c r="G22" s="317"/>
      <c r="H22" s="317"/>
      <c r="I22" s="317"/>
      <c r="J22" s="317"/>
      <c r="K22" s="317"/>
      <c r="L22" s="317"/>
      <c r="M22" s="317"/>
      <c r="N22" s="318"/>
      <c r="O22" s="319"/>
    </row>
    <row r="23" spans="1:16" s="53" customFormat="1" ht="18" customHeight="1" x14ac:dyDescent="0.3">
      <c r="A23" s="61">
        <v>14</v>
      </c>
      <c r="B23" s="310"/>
      <c r="C23" s="309"/>
      <c r="D23" s="681" t="s">
        <v>153</v>
      </c>
      <c r="E23" s="681"/>
      <c r="F23" s="320"/>
      <c r="G23" s="320"/>
      <c r="H23" s="320"/>
      <c r="I23" s="320"/>
      <c r="J23" s="320"/>
      <c r="K23" s="320"/>
      <c r="L23" s="320"/>
      <c r="M23" s="320"/>
      <c r="N23" s="321"/>
      <c r="O23" s="331"/>
    </row>
    <row r="24" spans="1:16" s="805" customFormat="1" ht="18" customHeight="1" x14ac:dyDescent="0.3">
      <c r="A24" s="61">
        <v>15</v>
      </c>
      <c r="B24" s="797"/>
      <c r="C24" s="798"/>
      <c r="D24" s="799"/>
      <c r="E24" s="800" t="s">
        <v>308</v>
      </c>
      <c r="F24" s="801">
        <v>17581</v>
      </c>
      <c r="G24" s="801"/>
      <c r="H24" s="801"/>
      <c r="I24" s="801"/>
      <c r="J24" s="801"/>
      <c r="K24" s="801"/>
      <c r="L24" s="801"/>
      <c r="M24" s="801">
        <v>411379</v>
      </c>
      <c r="N24" s="802">
        <v>365584</v>
      </c>
      <c r="O24" s="803">
        <f>SUM(F24:M24)</f>
        <v>428960</v>
      </c>
      <c r="P24" s="804"/>
    </row>
    <row r="25" spans="1:16" s="805" customFormat="1" ht="18" customHeight="1" x14ac:dyDescent="0.3">
      <c r="A25" s="61">
        <v>16</v>
      </c>
      <c r="B25" s="797"/>
      <c r="C25" s="798"/>
      <c r="D25" s="799"/>
      <c r="E25" s="683" t="s">
        <v>1158</v>
      </c>
      <c r="F25" s="1358">
        <v>12581</v>
      </c>
      <c r="G25" s="1358"/>
      <c r="H25" s="1358"/>
      <c r="I25" s="1358"/>
      <c r="J25" s="1358"/>
      <c r="K25" s="1358"/>
      <c r="L25" s="1358">
        <v>14688</v>
      </c>
      <c r="M25" s="1358">
        <v>423251</v>
      </c>
      <c r="N25" s="1359">
        <v>352435</v>
      </c>
      <c r="O25" s="328">
        <f>SUM(F25:M25)</f>
        <v>450520</v>
      </c>
      <c r="P25" s="804"/>
    </row>
    <row r="26" spans="1:16" s="284" customFormat="1" ht="18" customHeight="1" x14ac:dyDescent="0.3">
      <c r="A26" s="61">
        <v>17</v>
      </c>
      <c r="B26" s="1353"/>
      <c r="C26" s="1169"/>
      <c r="D26" s="1354"/>
      <c r="E26" s="1355" t="s">
        <v>1329</v>
      </c>
      <c r="F26" s="157"/>
      <c r="G26" s="157"/>
      <c r="H26" s="157"/>
      <c r="I26" s="157"/>
      <c r="J26" s="157"/>
      <c r="K26" s="157"/>
      <c r="L26" s="157">
        <v>252</v>
      </c>
      <c r="M26" s="157"/>
      <c r="N26" s="157"/>
      <c r="O26" s="1171">
        <f>SUM(F26:M26)</f>
        <v>252</v>
      </c>
      <c r="P26" s="49"/>
    </row>
    <row r="27" spans="1:16" s="285" customFormat="1" ht="18" customHeight="1" x14ac:dyDescent="0.3">
      <c r="A27" s="61">
        <v>18</v>
      </c>
      <c r="B27" s="460"/>
      <c r="C27" s="1356"/>
      <c r="D27" s="1357"/>
      <c r="E27" s="683" t="s">
        <v>1250</v>
      </c>
      <c r="F27" s="1358">
        <f>SUM(F25:F26)</f>
        <v>12581</v>
      </c>
      <c r="G27" s="1358"/>
      <c r="H27" s="1358"/>
      <c r="I27" s="1358"/>
      <c r="J27" s="1358"/>
      <c r="K27" s="1358"/>
      <c r="L27" s="1358">
        <f>SUM(L25:L26)</f>
        <v>14940</v>
      </c>
      <c r="M27" s="1358">
        <f>SUM(M25:M26)</f>
        <v>423251</v>
      </c>
      <c r="N27" s="1358">
        <f>SUM(N25:N26)</f>
        <v>352435</v>
      </c>
      <c r="O27" s="328">
        <f>SUM(F27:M27)</f>
        <v>450772</v>
      </c>
      <c r="P27" s="57"/>
    </row>
    <row r="28" spans="1:16" s="152" customFormat="1" ht="22.5" customHeight="1" x14ac:dyDescent="0.3">
      <c r="A28" s="61">
        <v>19</v>
      </c>
      <c r="B28" s="308">
        <v>4</v>
      </c>
      <c r="C28" s="309"/>
      <c r="D28" s="683" t="s">
        <v>266</v>
      </c>
      <c r="E28" s="683"/>
      <c r="F28" s="317"/>
      <c r="G28" s="317"/>
      <c r="H28" s="317"/>
      <c r="I28" s="317"/>
      <c r="J28" s="317"/>
      <c r="K28" s="317"/>
      <c r="L28" s="317"/>
      <c r="M28" s="317"/>
      <c r="N28" s="318"/>
      <c r="O28" s="319"/>
    </row>
    <row r="29" spans="1:16" s="151" customFormat="1" ht="18" customHeight="1" x14ac:dyDescent="0.3">
      <c r="A29" s="61">
        <v>20</v>
      </c>
      <c r="B29" s="310"/>
      <c r="C29" s="309"/>
      <c r="D29" s="681" t="s">
        <v>154</v>
      </c>
      <c r="E29" s="681"/>
      <c r="F29" s="320"/>
      <c r="G29" s="320"/>
      <c r="H29" s="320"/>
      <c r="I29" s="320"/>
      <c r="J29" s="320"/>
      <c r="K29" s="320"/>
      <c r="L29" s="320"/>
      <c r="M29" s="320"/>
      <c r="N29" s="321"/>
      <c r="O29" s="331"/>
    </row>
    <row r="30" spans="1:16" s="807" customFormat="1" ht="18" customHeight="1" x14ac:dyDescent="0.3">
      <c r="A30" s="61">
        <v>21</v>
      </c>
      <c r="B30" s="797"/>
      <c r="C30" s="798"/>
      <c r="D30" s="799"/>
      <c r="E30" s="800" t="s">
        <v>308</v>
      </c>
      <c r="F30" s="801">
        <v>10020</v>
      </c>
      <c r="G30" s="801"/>
      <c r="H30" s="801"/>
      <c r="I30" s="801"/>
      <c r="J30" s="801"/>
      <c r="K30" s="801"/>
      <c r="L30" s="801"/>
      <c r="M30" s="801">
        <v>309492</v>
      </c>
      <c r="N30" s="802">
        <v>193144</v>
      </c>
      <c r="O30" s="803">
        <f t="shared" ref="O30:O32" si="0">SUM(F30:M30)</f>
        <v>319512</v>
      </c>
    </row>
    <row r="31" spans="1:16" s="807" customFormat="1" ht="18" customHeight="1" x14ac:dyDescent="0.3">
      <c r="A31" s="61">
        <v>22</v>
      </c>
      <c r="B31" s="797"/>
      <c r="C31" s="798"/>
      <c r="D31" s="799"/>
      <c r="E31" s="683" t="s">
        <v>1158</v>
      </c>
      <c r="F31" s="1358">
        <v>8030</v>
      </c>
      <c r="G31" s="1358">
        <v>150</v>
      </c>
      <c r="H31" s="1358"/>
      <c r="I31" s="1358"/>
      <c r="J31" s="1358"/>
      <c r="K31" s="1358"/>
      <c r="L31" s="1358">
        <v>18600</v>
      </c>
      <c r="M31" s="1358">
        <v>306945</v>
      </c>
      <c r="N31" s="1359">
        <v>222860</v>
      </c>
      <c r="O31" s="328">
        <f t="shared" si="0"/>
        <v>333725</v>
      </c>
    </row>
    <row r="32" spans="1:16" s="284" customFormat="1" ht="18" customHeight="1" x14ac:dyDescent="0.3">
      <c r="A32" s="61">
        <v>23</v>
      </c>
      <c r="B32" s="1353"/>
      <c r="C32" s="1169"/>
      <c r="D32" s="1354"/>
      <c r="E32" s="1355" t="s">
        <v>1329</v>
      </c>
      <c r="F32" s="157"/>
      <c r="G32" s="157"/>
      <c r="H32" s="157"/>
      <c r="I32" s="157"/>
      <c r="J32" s="157"/>
      <c r="K32" s="157"/>
      <c r="L32" s="157">
        <v>-167</v>
      </c>
      <c r="M32" s="157"/>
      <c r="N32" s="157"/>
      <c r="O32" s="1171">
        <f t="shared" si="0"/>
        <v>-167</v>
      </c>
      <c r="P32" s="49"/>
    </row>
    <row r="33" spans="1:16" s="285" customFormat="1" ht="18" customHeight="1" x14ac:dyDescent="0.3">
      <c r="A33" s="61">
        <v>24</v>
      </c>
      <c r="B33" s="460"/>
      <c r="C33" s="1356"/>
      <c r="D33" s="1357"/>
      <c r="E33" s="683" t="s">
        <v>1250</v>
      </c>
      <c r="F33" s="1358">
        <f>SUM(F31:F32)</f>
        <v>8030</v>
      </c>
      <c r="G33" s="1358">
        <f>SUM(G31:G32)</f>
        <v>150</v>
      </c>
      <c r="H33" s="1358"/>
      <c r="I33" s="1358"/>
      <c r="J33" s="1358"/>
      <c r="K33" s="1358"/>
      <c r="L33" s="1358">
        <f>SUM(L31:L32)</f>
        <v>18433</v>
      </c>
      <c r="M33" s="1358">
        <f>SUM(M31:M32)</f>
        <v>306945</v>
      </c>
      <c r="N33" s="1358">
        <f>SUM(N31:N32)</f>
        <v>222860</v>
      </c>
      <c r="O33" s="328">
        <f>SUM(F33:M33)</f>
        <v>333558</v>
      </c>
      <c r="P33" s="57"/>
    </row>
    <row r="34" spans="1:16" s="56" customFormat="1" ht="22.5" customHeight="1" x14ac:dyDescent="0.3">
      <c r="A34" s="61">
        <v>25</v>
      </c>
      <c r="B34" s="308">
        <v>5</v>
      </c>
      <c r="C34" s="309"/>
      <c r="D34" s="683" t="s">
        <v>267</v>
      </c>
      <c r="E34" s="683"/>
      <c r="F34" s="317"/>
      <c r="G34" s="317"/>
      <c r="H34" s="317"/>
      <c r="I34" s="317"/>
      <c r="J34" s="317"/>
      <c r="K34" s="317"/>
      <c r="L34" s="317"/>
      <c r="M34" s="317"/>
      <c r="N34" s="318"/>
      <c r="O34" s="319"/>
    </row>
    <row r="35" spans="1:16" s="152" customFormat="1" ht="18" customHeight="1" x14ac:dyDescent="0.3">
      <c r="A35" s="61">
        <v>26</v>
      </c>
      <c r="B35" s="310"/>
      <c r="C35" s="309"/>
      <c r="D35" s="681" t="s">
        <v>155</v>
      </c>
      <c r="E35" s="681"/>
      <c r="F35" s="320"/>
      <c r="G35" s="320"/>
      <c r="H35" s="320"/>
      <c r="I35" s="320"/>
      <c r="J35" s="320"/>
      <c r="K35" s="320"/>
      <c r="L35" s="320"/>
      <c r="M35" s="320"/>
      <c r="N35" s="321"/>
      <c r="O35" s="331"/>
    </row>
    <row r="36" spans="1:16" s="806" customFormat="1" ht="18" customHeight="1" x14ac:dyDescent="0.3">
      <c r="A36" s="61">
        <v>27</v>
      </c>
      <c r="B36" s="797"/>
      <c r="C36" s="798"/>
      <c r="D36" s="799"/>
      <c r="E36" s="800" t="s">
        <v>308</v>
      </c>
      <c r="F36" s="801">
        <v>18635</v>
      </c>
      <c r="G36" s="801"/>
      <c r="H36" s="801"/>
      <c r="I36" s="801"/>
      <c r="J36" s="801"/>
      <c r="K36" s="801"/>
      <c r="L36" s="801"/>
      <c r="M36" s="801">
        <v>322903</v>
      </c>
      <c r="N36" s="802">
        <v>237570</v>
      </c>
      <c r="O36" s="803">
        <f>SUM(F36:M36)</f>
        <v>341538</v>
      </c>
    </row>
    <row r="37" spans="1:16" s="806" customFormat="1" ht="18" customHeight="1" x14ac:dyDescent="0.3">
      <c r="A37" s="61">
        <v>28</v>
      </c>
      <c r="B37" s="797"/>
      <c r="C37" s="798"/>
      <c r="D37" s="799"/>
      <c r="E37" s="683" t="s">
        <v>1158</v>
      </c>
      <c r="F37" s="1358">
        <v>15135</v>
      </c>
      <c r="G37" s="1358"/>
      <c r="H37" s="1358"/>
      <c r="I37" s="1358"/>
      <c r="J37" s="1358"/>
      <c r="K37" s="1358"/>
      <c r="L37" s="1358">
        <v>11955</v>
      </c>
      <c r="M37" s="1358">
        <v>339622</v>
      </c>
      <c r="N37" s="1359">
        <v>254373</v>
      </c>
      <c r="O37" s="328">
        <f>SUM(F37:M37)</f>
        <v>366712</v>
      </c>
    </row>
    <row r="38" spans="1:16" s="284" customFormat="1" ht="18" customHeight="1" x14ac:dyDescent="0.3">
      <c r="A38" s="61">
        <v>29</v>
      </c>
      <c r="B38" s="1353"/>
      <c r="C38" s="1169"/>
      <c r="D38" s="1354"/>
      <c r="E38" s="1355" t="s">
        <v>1349</v>
      </c>
      <c r="F38" s="157">
        <v>-600</v>
      </c>
      <c r="G38" s="157"/>
      <c r="H38" s="157"/>
      <c r="I38" s="157"/>
      <c r="J38" s="157"/>
      <c r="K38" s="157"/>
      <c r="L38" s="157"/>
      <c r="M38" s="157"/>
      <c r="N38" s="157"/>
      <c r="O38" s="1171">
        <f>SUM(F38:M38)</f>
        <v>-600</v>
      </c>
      <c r="P38" s="49"/>
    </row>
    <row r="39" spans="1:16" s="284" customFormat="1" ht="18" customHeight="1" x14ac:dyDescent="0.3">
      <c r="A39" s="61">
        <v>30</v>
      </c>
      <c r="B39" s="1353"/>
      <c r="C39" s="1169"/>
      <c r="D39" s="1354"/>
      <c r="E39" s="1355" t="s">
        <v>1330</v>
      </c>
      <c r="F39" s="157"/>
      <c r="G39" s="157"/>
      <c r="H39" s="157"/>
      <c r="I39" s="157"/>
      <c r="J39" s="157"/>
      <c r="K39" s="157"/>
      <c r="L39" s="157">
        <v>-150</v>
      </c>
      <c r="M39" s="157"/>
      <c r="N39" s="157"/>
      <c r="O39" s="1171">
        <f>SUM(F39:M39)</f>
        <v>-150</v>
      </c>
      <c r="P39" s="49"/>
    </row>
    <row r="40" spans="1:16" s="285" customFormat="1" ht="18" customHeight="1" x14ac:dyDescent="0.3">
      <c r="A40" s="61">
        <v>31</v>
      </c>
      <c r="B40" s="460"/>
      <c r="C40" s="1356"/>
      <c r="D40" s="1357"/>
      <c r="E40" s="683" t="s">
        <v>1250</v>
      </c>
      <c r="F40" s="1358">
        <f>SUM(F37:F39)</f>
        <v>14535</v>
      </c>
      <c r="G40" s="1358"/>
      <c r="H40" s="1358"/>
      <c r="I40" s="1358"/>
      <c r="J40" s="1358"/>
      <c r="K40" s="1358"/>
      <c r="L40" s="1358">
        <f>SUM(L37:L39)</f>
        <v>11805</v>
      </c>
      <c r="M40" s="1358">
        <f t="shared" ref="M40:N40" si="1">SUM(M37:M39)</f>
        <v>339622</v>
      </c>
      <c r="N40" s="1358">
        <f t="shared" si="1"/>
        <v>254373</v>
      </c>
      <c r="O40" s="328">
        <f>SUM(F40:M40)</f>
        <v>365962</v>
      </c>
      <c r="P40" s="57"/>
    </row>
    <row r="41" spans="1:16" s="56" customFormat="1" ht="22.5" customHeight="1" x14ac:dyDescent="0.3">
      <c r="A41" s="61">
        <v>32</v>
      </c>
      <c r="B41" s="308">
        <v>6</v>
      </c>
      <c r="C41" s="309"/>
      <c r="D41" s="683" t="s">
        <v>268</v>
      </c>
      <c r="E41" s="683"/>
      <c r="F41" s="317"/>
      <c r="G41" s="317"/>
      <c r="H41" s="317"/>
      <c r="I41" s="317"/>
      <c r="J41" s="317"/>
      <c r="K41" s="317"/>
      <c r="L41" s="317"/>
      <c r="M41" s="317"/>
      <c r="N41" s="318"/>
      <c r="O41" s="319"/>
    </row>
    <row r="42" spans="1:16" s="56" customFormat="1" ht="18" customHeight="1" x14ac:dyDescent="0.3">
      <c r="A42" s="61">
        <v>33</v>
      </c>
      <c r="B42" s="310"/>
      <c r="C42" s="309"/>
      <c r="D42" s="681" t="s">
        <v>156</v>
      </c>
      <c r="E42" s="681"/>
      <c r="F42" s="320"/>
      <c r="G42" s="320"/>
      <c r="H42" s="320"/>
      <c r="I42" s="320"/>
      <c r="J42" s="320"/>
      <c r="K42" s="320"/>
      <c r="L42" s="320"/>
      <c r="M42" s="320"/>
      <c r="N42" s="321"/>
      <c r="O42" s="331"/>
    </row>
    <row r="43" spans="1:16" s="808" customFormat="1" ht="18" customHeight="1" x14ac:dyDescent="0.3">
      <c r="A43" s="61">
        <v>34</v>
      </c>
      <c r="B43" s="797"/>
      <c r="C43" s="798"/>
      <c r="D43" s="799"/>
      <c r="E43" s="800" t="s">
        <v>308</v>
      </c>
      <c r="F43" s="801">
        <v>5441</v>
      </c>
      <c r="G43" s="801"/>
      <c r="H43" s="801"/>
      <c r="I43" s="801"/>
      <c r="J43" s="801"/>
      <c r="K43" s="801"/>
      <c r="L43" s="801"/>
      <c r="M43" s="801">
        <v>166965</v>
      </c>
      <c r="N43" s="802">
        <v>119083</v>
      </c>
      <c r="O43" s="803">
        <f>SUM(F43:M43)</f>
        <v>172406</v>
      </c>
    </row>
    <row r="44" spans="1:16" s="808" customFormat="1" ht="18" customHeight="1" x14ac:dyDescent="0.3">
      <c r="A44" s="61">
        <v>35</v>
      </c>
      <c r="B44" s="797"/>
      <c r="C44" s="798"/>
      <c r="D44" s="799"/>
      <c r="E44" s="683" t="s">
        <v>1158</v>
      </c>
      <c r="F44" s="1358">
        <v>2968</v>
      </c>
      <c r="G44" s="1358"/>
      <c r="H44" s="1358"/>
      <c r="I44" s="1358"/>
      <c r="J44" s="1358"/>
      <c r="K44" s="1358"/>
      <c r="L44" s="1358">
        <v>15535</v>
      </c>
      <c r="M44" s="1358">
        <v>169160</v>
      </c>
      <c r="N44" s="1359">
        <v>125520</v>
      </c>
      <c r="O44" s="328">
        <f>SUM(F44:M44)</f>
        <v>187663</v>
      </c>
    </row>
    <row r="45" spans="1:16" s="284" customFormat="1" ht="18" customHeight="1" x14ac:dyDescent="0.3">
      <c r="A45" s="61">
        <v>36</v>
      </c>
      <c r="B45" s="1353"/>
      <c r="C45" s="1169"/>
      <c r="D45" s="1354"/>
      <c r="E45" s="1355" t="s">
        <v>1329</v>
      </c>
      <c r="F45" s="157"/>
      <c r="G45" s="157"/>
      <c r="H45" s="157"/>
      <c r="I45" s="157"/>
      <c r="J45" s="157"/>
      <c r="K45" s="157"/>
      <c r="L45" s="157">
        <v>-324</v>
      </c>
      <c r="M45" s="157"/>
      <c r="N45" s="157"/>
      <c r="O45" s="1171">
        <f>SUM(F45:M45)</f>
        <v>-324</v>
      </c>
      <c r="P45" s="49"/>
    </row>
    <row r="46" spans="1:16" s="285" customFormat="1" ht="18" customHeight="1" x14ac:dyDescent="0.3">
      <c r="A46" s="61">
        <v>37</v>
      </c>
      <c r="B46" s="460"/>
      <c r="C46" s="1356"/>
      <c r="D46" s="1357"/>
      <c r="E46" s="683" t="s">
        <v>1250</v>
      </c>
      <c r="F46" s="1358">
        <f>SUM(F44:F45)</f>
        <v>2968</v>
      </c>
      <c r="G46" s="1358"/>
      <c r="H46" s="1358"/>
      <c r="I46" s="1358"/>
      <c r="J46" s="1358"/>
      <c r="K46" s="1358"/>
      <c r="L46" s="1358">
        <f>SUM(L44:L45)</f>
        <v>15211</v>
      </c>
      <c r="M46" s="1358">
        <f>SUM(M44:M45)</f>
        <v>169160</v>
      </c>
      <c r="N46" s="1358">
        <f>SUM(N44:N45)</f>
        <v>125520</v>
      </c>
      <c r="O46" s="328">
        <f>SUM(F46:M46)</f>
        <v>187339</v>
      </c>
      <c r="P46" s="57"/>
    </row>
    <row r="47" spans="1:16" ht="18" customHeight="1" x14ac:dyDescent="0.3">
      <c r="A47" s="61">
        <v>38</v>
      </c>
      <c r="B47" s="312"/>
      <c r="C47" s="309">
        <v>1</v>
      </c>
      <c r="D47" s="2171" t="s">
        <v>152</v>
      </c>
      <c r="E47" s="2172"/>
      <c r="F47" s="314"/>
      <c r="G47" s="314"/>
      <c r="H47" s="314"/>
      <c r="I47" s="314"/>
      <c r="J47" s="314"/>
      <c r="K47" s="314"/>
      <c r="L47" s="314"/>
      <c r="M47" s="314"/>
      <c r="N47" s="315"/>
      <c r="O47" s="316"/>
      <c r="P47" s="48"/>
    </row>
    <row r="48" spans="1:16" s="805" customFormat="1" ht="18" customHeight="1" x14ac:dyDescent="0.3">
      <c r="A48" s="61">
        <v>39</v>
      </c>
      <c r="B48" s="809"/>
      <c r="C48" s="810"/>
      <c r="D48" s="811"/>
      <c r="E48" s="812" t="s">
        <v>308</v>
      </c>
      <c r="F48" s="813"/>
      <c r="G48" s="813">
        <v>2225</v>
      </c>
      <c r="H48" s="813"/>
      <c r="I48" s="813"/>
      <c r="J48" s="813"/>
      <c r="K48" s="813"/>
      <c r="L48" s="813"/>
      <c r="M48" s="813"/>
      <c r="N48" s="814"/>
      <c r="O48" s="815">
        <f>SUM(F48:M48)</f>
        <v>2225</v>
      </c>
      <c r="P48" s="804"/>
    </row>
    <row r="49" spans="1:16" s="805" customFormat="1" ht="18" customHeight="1" x14ac:dyDescent="0.3">
      <c r="A49" s="61">
        <v>40</v>
      </c>
      <c r="B49" s="809"/>
      <c r="C49" s="810"/>
      <c r="D49" s="811"/>
      <c r="E49" s="683" t="s">
        <v>1158</v>
      </c>
      <c r="F49" s="813"/>
      <c r="G49" s="1797">
        <v>2225</v>
      </c>
      <c r="H49" s="813"/>
      <c r="I49" s="813"/>
      <c r="J49" s="813"/>
      <c r="K49" s="813"/>
      <c r="L49" s="813"/>
      <c r="M49" s="813"/>
      <c r="N49" s="814"/>
      <c r="O49" s="328">
        <f>SUM(F49:M49)</f>
        <v>2225</v>
      </c>
      <c r="P49" s="804"/>
    </row>
    <row r="50" spans="1:16" s="284" customFormat="1" ht="18" customHeight="1" x14ac:dyDescent="0.3">
      <c r="A50" s="61">
        <v>41</v>
      </c>
      <c r="B50" s="1353"/>
      <c r="C50" s="1169"/>
      <c r="D50" s="1354"/>
      <c r="E50" s="1355" t="s">
        <v>947</v>
      </c>
      <c r="F50" s="157"/>
      <c r="G50" s="157"/>
      <c r="H50" s="157"/>
      <c r="I50" s="157"/>
      <c r="J50" s="157"/>
      <c r="K50" s="157"/>
      <c r="L50" s="157"/>
      <c r="M50" s="157"/>
      <c r="N50" s="157"/>
      <c r="O50" s="1171">
        <f>SUM(F50:M50)</f>
        <v>0</v>
      </c>
      <c r="P50" s="49"/>
    </row>
    <row r="51" spans="1:16" s="285" customFormat="1" ht="18" customHeight="1" thickBot="1" x14ac:dyDescent="0.35">
      <c r="A51" s="61">
        <v>42</v>
      </c>
      <c r="B51" s="460"/>
      <c r="C51" s="1356"/>
      <c r="D51" s="1357"/>
      <c r="E51" s="683" t="s">
        <v>1250</v>
      </c>
      <c r="F51" s="1358"/>
      <c r="G51" s="1358">
        <f>SUM(G49:G50)</f>
        <v>2225</v>
      </c>
      <c r="H51" s="1358"/>
      <c r="I51" s="1358"/>
      <c r="J51" s="1358"/>
      <c r="K51" s="1358"/>
      <c r="L51" s="1358"/>
      <c r="M51" s="1358"/>
      <c r="N51" s="1359"/>
      <c r="O51" s="328">
        <f>SUM(F51:M51)</f>
        <v>2225</v>
      </c>
      <c r="P51" s="57"/>
    </row>
    <row r="52" spans="1:16" s="48" customFormat="1" ht="22.5" customHeight="1" thickTop="1" x14ac:dyDescent="0.2">
      <c r="A52" s="61">
        <v>43</v>
      </c>
      <c r="B52" s="310"/>
      <c r="C52" s="2173" t="s">
        <v>656</v>
      </c>
      <c r="D52" s="2174"/>
      <c r="E52" s="2175"/>
      <c r="F52" s="795"/>
      <c r="G52" s="795"/>
      <c r="H52" s="795"/>
      <c r="I52" s="795"/>
      <c r="J52" s="795"/>
      <c r="K52" s="795"/>
      <c r="L52" s="795"/>
      <c r="M52" s="795"/>
      <c r="N52" s="723"/>
      <c r="O52" s="796"/>
    </row>
    <row r="53" spans="1:16" s="805" customFormat="1" ht="18" customHeight="1" x14ac:dyDescent="0.3">
      <c r="A53" s="61">
        <v>44</v>
      </c>
      <c r="B53" s="809"/>
      <c r="C53" s="810"/>
      <c r="D53" s="811"/>
      <c r="E53" s="812" t="s">
        <v>308</v>
      </c>
      <c r="F53" s="813">
        <f t="shared" ref="F53:N53" si="2">SUM(F12,F18,F24,F30,F36,F43,F48)</f>
        <v>66133</v>
      </c>
      <c r="G53" s="813">
        <f t="shared" si="2"/>
        <v>2225</v>
      </c>
      <c r="H53" s="813">
        <f t="shared" si="2"/>
        <v>0</v>
      </c>
      <c r="I53" s="813">
        <f t="shared" si="2"/>
        <v>0</v>
      </c>
      <c r="J53" s="813">
        <f t="shared" si="2"/>
        <v>0</v>
      </c>
      <c r="K53" s="813">
        <f t="shared" si="2"/>
        <v>0</v>
      </c>
      <c r="L53" s="813">
        <f t="shared" si="2"/>
        <v>1410</v>
      </c>
      <c r="M53" s="813">
        <f t="shared" si="2"/>
        <v>1775588</v>
      </c>
      <c r="N53" s="814">
        <f t="shared" si="2"/>
        <v>1335966</v>
      </c>
      <c r="O53" s="815">
        <f>SUM(F53:M53)</f>
        <v>1845356</v>
      </c>
      <c r="P53" s="804"/>
    </row>
    <row r="54" spans="1:16" s="805" customFormat="1" ht="18" customHeight="1" x14ac:dyDescent="0.3">
      <c r="A54" s="61">
        <v>45</v>
      </c>
      <c r="B54" s="809"/>
      <c r="C54" s="810"/>
      <c r="D54" s="811"/>
      <c r="E54" s="683" t="s">
        <v>1158</v>
      </c>
      <c r="F54" s="1797">
        <f t="shared" ref="F54:N54" si="3">SUM(F13,F19,F25,F31,F37,F44,F49)</f>
        <v>51170</v>
      </c>
      <c r="G54" s="1797">
        <f t="shared" si="3"/>
        <v>2375</v>
      </c>
      <c r="H54" s="1797">
        <f t="shared" si="3"/>
        <v>0</v>
      </c>
      <c r="I54" s="1797">
        <f t="shared" si="3"/>
        <v>0</v>
      </c>
      <c r="J54" s="1797">
        <f t="shared" si="3"/>
        <v>0</v>
      </c>
      <c r="K54" s="1797">
        <f t="shared" si="3"/>
        <v>0</v>
      </c>
      <c r="L54" s="1797">
        <f t="shared" si="3"/>
        <v>94961</v>
      </c>
      <c r="M54" s="1797">
        <f t="shared" si="3"/>
        <v>1812788</v>
      </c>
      <c r="N54" s="1798">
        <f t="shared" si="3"/>
        <v>1390144</v>
      </c>
      <c r="O54" s="1799">
        <f>SUM(F54:M54)</f>
        <v>1961294</v>
      </c>
      <c r="P54" s="804"/>
    </row>
    <row r="55" spans="1:16" s="284" customFormat="1" ht="18" customHeight="1" x14ac:dyDescent="0.3">
      <c r="A55" s="61">
        <v>46</v>
      </c>
      <c r="B55" s="1353"/>
      <c r="C55" s="1169"/>
      <c r="D55" s="1354"/>
      <c r="E55" s="1355" t="s">
        <v>947</v>
      </c>
      <c r="F55" s="157">
        <f t="shared" ref="F55:N55" si="4">SUM(F14:F14,F20:F20,F26:F26,F32:F32,F38:F39,F45:F45,F50)</f>
        <v>-600</v>
      </c>
      <c r="G55" s="157">
        <f t="shared" si="4"/>
        <v>0</v>
      </c>
      <c r="H55" s="157">
        <f t="shared" si="4"/>
        <v>0</v>
      </c>
      <c r="I55" s="157">
        <f t="shared" si="4"/>
        <v>0</v>
      </c>
      <c r="J55" s="157">
        <f t="shared" si="4"/>
        <v>0</v>
      </c>
      <c r="K55" s="157">
        <f t="shared" si="4"/>
        <v>0</v>
      </c>
      <c r="L55" s="157">
        <f t="shared" si="4"/>
        <v>-696</v>
      </c>
      <c r="M55" s="157">
        <f t="shared" si="4"/>
        <v>0</v>
      </c>
      <c r="N55" s="157">
        <f t="shared" si="4"/>
        <v>0</v>
      </c>
      <c r="O55" s="1171">
        <f>SUM(F55:M55)</f>
        <v>-1296</v>
      </c>
      <c r="P55" s="49"/>
    </row>
    <row r="56" spans="1:16" s="285" customFormat="1" ht="18" customHeight="1" thickBot="1" x14ac:dyDescent="0.35">
      <c r="A56" s="61">
        <v>47</v>
      </c>
      <c r="B56" s="460"/>
      <c r="C56" s="1360"/>
      <c r="D56" s="1361"/>
      <c r="E56" s="1362" t="s">
        <v>1250</v>
      </c>
      <c r="F56" s="1363">
        <f>SUM(F54:F55)</f>
        <v>50570</v>
      </c>
      <c r="G56" s="1363">
        <f t="shared" ref="G56:N56" si="5">SUM(G54:G55)</f>
        <v>2375</v>
      </c>
      <c r="H56" s="1363">
        <f t="shared" si="5"/>
        <v>0</v>
      </c>
      <c r="I56" s="1363">
        <f t="shared" si="5"/>
        <v>0</v>
      </c>
      <c r="J56" s="1363">
        <f t="shared" si="5"/>
        <v>0</v>
      </c>
      <c r="K56" s="1363">
        <f t="shared" si="5"/>
        <v>0</v>
      </c>
      <c r="L56" s="1363">
        <f>SUM(L54:L55)</f>
        <v>94265</v>
      </c>
      <c r="M56" s="1363">
        <f t="shared" si="5"/>
        <v>1812788</v>
      </c>
      <c r="N56" s="1363">
        <f t="shared" si="5"/>
        <v>1390144</v>
      </c>
      <c r="O56" s="1364">
        <f>SUM(F56:M56)</f>
        <v>1959998</v>
      </c>
      <c r="P56" s="57"/>
    </row>
    <row r="57" spans="1:16" s="53" customFormat="1" ht="22.5" customHeight="1" thickTop="1" x14ac:dyDescent="0.3">
      <c r="A57" s="61">
        <v>48</v>
      </c>
      <c r="B57" s="322">
        <v>7</v>
      </c>
      <c r="C57" s="323"/>
      <c r="D57" s="684" t="s">
        <v>386</v>
      </c>
      <c r="E57" s="684"/>
      <c r="F57" s="324"/>
      <c r="G57" s="324"/>
      <c r="H57" s="324"/>
      <c r="I57" s="324"/>
      <c r="J57" s="324"/>
      <c r="K57" s="324"/>
      <c r="L57" s="324"/>
      <c r="M57" s="324"/>
      <c r="N57" s="325"/>
      <c r="O57" s="326"/>
    </row>
    <row r="58" spans="1:16" s="804" customFormat="1" ht="18" customHeight="1" x14ac:dyDescent="0.3">
      <c r="A58" s="61">
        <v>49</v>
      </c>
      <c r="B58" s="797"/>
      <c r="C58" s="798"/>
      <c r="D58" s="799"/>
      <c r="E58" s="800" t="s">
        <v>308</v>
      </c>
      <c r="F58" s="819">
        <v>21777</v>
      </c>
      <c r="G58" s="819">
        <v>1473</v>
      </c>
      <c r="H58" s="819"/>
      <c r="I58" s="819"/>
      <c r="J58" s="819"/>
      <c r="K58" s="819"/>
      <c r="L58" s="819">
        <v>1630</v>
      </c>
      <c r="M58" s="819">
        <v>972097</v>
      </c>
      <c r="N58" s="820">
        <v>747388</v>
      </c>
      <c r="O58" s="816">
        <f t="shared" ref="O58:O60" si="6">SUM(F58:M58)</f>
        <v>996977</v>
      </c>
    </row>
    <row r="59" spans="1:16" s="804" customFormat="1" ht="18" customHeight="1" x14ac:dyDescent="0.3">
      <c r="A59" s="61">
        <v>50</v>
      </c>
      <c r="B59" s="797"/>
      <c r="C59" s="798"/>
      <c r="D59" s="799"/>
      <c r="E59" s="683" t="s">
        <v>1158</v>
      </c>
      <c r="F59" s="1385">
        <v>15700</v>
      </c>
      <c r="G59" s="1385">
        <v>10508</v>
      </c>
      <c r="H59" s="1385"/>
      <c r="I59" s="1385">
        <v>1550</v>
      </c>
      <c r="J59" s="1385"/>
      <c r="K59" s="1385"/>
      <c r="L59" s="1385">
        <v>49233</v>
      </c>
      <c r="M59" s="1385">
        <v>1016287</v>
      </c>
      <c r="N59" s="1402">
        <v>786556</v>
      </c>
      <c r="O59" s="328">
        <f t="shared" si="6"/>
        <v>1093278</v>
      </c>
    </row>
    <row r="60" spans="1:16" s="284" customFormat="1" ht="18" customHeight="1" x14ac:dyDescent="0.3">
      <c r="A60" s="61">
        <v>51</v>
      </c>
      <c r="B60" s="1353"/>
      <c r="C60" s="1169"/>
      <c r="D60" s="1354"/>
      <c r="E60" s="1355" t="s">
        <v>1329</v>
      </c>
      <c r="F60" s="157"/>
      <c r="G60" s="157"/>
      <c r="H60" s="157"/>
      <c r="I60" s="157"/>
      <c r="J60" s="157"/>
      <c r="K60" s="157"/>
      <c r="L60" s="157">
        <v>-1213</v>
      </c>
      <c r="M60" s="157"/>
      <c r="N60" s="157"/>
      <c r="O60" s="1171">
        <f t="shared" si="6"/>
        <v>-1213</v>
      </c>
      <c r="P60" s="49"/>
    </row>
    <row r="61" spans="1:16" s="285" customFormat="1" ht="18" customHeight="1" x14ac:dyDescent="0.3">
      <c r="A61" s="61">
        <v>52</v>
      </c>
      <c r="B61" s="460"/>
      <c r="C61" s="1356"/>
      <c r="D61" s="1357"/>
      <c r="E61" s="683" t="s">
        <v>1250</v>
      </c>
      <c r="F61" s="1358">
        <f>SUM(F59:F60)</f>
        <v>15700</v>
      </c>
      <c r="G61" s="1358">
        <f>SUM(G59:G60)</f>
        <v>10508</v>
      </c>
      <c r="H61" s="1358"/>
      <c r="I61" s="1358">
        <f>SUM(I59:I60)</f>
        <v>1550</v>
      </c>
      <c r="J61" s="1358"/>
      <c r="K61" s="1358"/>
      <c r="L61" s="1358">
        <f>SUM(L59:L60)</f>
        <v>48020</v>
      </c>
      <c r="M61" s="1358">
        <f>SUM(M59:M60)</f>
        <v>1016287</v>
      </c>
      <c r="N61" s="1358">
        <f>SUM(N59:N60)</f>
        <v>786556</v>
      </c>
      <c r="O61" s="328">
        <f>SUM(F61:M61)</f>
        <v>1092065</v>
      </c>
      <c r="P61" s="57"/>
    </row>
    <row r="62" spans="1:16" s="286" customFormat="1" ht="22.5" customHeight="1" x14ac:dyDescent="0.3">
      <c r="A62" s="61">
        <v>53</v>
      </c>
      <c r="B62" s="308">
        <v>8</v>
      </c>
      <c r="C62" s="309"/>
      <c r="D62" s="683" t="s">
        <v>125</v>
      </c>
      <c r="E62" s="683"/>
      <c r="F62" s="314"/>
      <c r="G62" s="314"/>
      <c r="H62" s="314"/>
      <c r="I62" s="314"/>
      <c r="J62" s="314"/>
      <c r="K62" s="314"/>
      <c r="L62" s="314"/>
      <c r="M62" s="314"/>
      <c r="N62" s="315"/>
      <c r="O62" s="316"/>
      <c r="P62" s="53"/>
    </row>
    <row r="63" spans="1:16" s="806" customFormat="1" ht="18" customHeight="1" x14ac:dyDescent="0.3">
      <c r="A63" s="61">
        <v>54</v>
      </c>
      <c r="B63" s="797"/>
      <c r="C63" s="798"/>
      <c r="D63" s="799"/>
      <c r="E63" s="800" t="s">
        <v>308</v>
      </c>
      <c r="F63" s="819">
        <v>13800</v>
      </c>
      <c r="G63" s="819"/>
      <c r="H63" s="819"/>
      <c r="I63" s="819"/>
      <c r="J63" s="819"/>
      <c r="K63" s="819"/>
      <c r="L63" s="819"/>
      <c r="M63" s="819">
        <v>55450</v>
      </c>
      <c r="N63" s="820">
        <v>32245</v>
      </c>
      <c r="O63" s="816">
        <f t="shared" ref="O63:O65" si="7">SUM(F63:M63)</f>
        <v>69250</v>
      </c>
    </row>
    <row r="64" spans="1:16" s="806" customFormat="1" ht="18" customHeight="1" x14ac:dyDescent="0.3">
      <c r="A64" s="61">
        <v>55</v>
      </c>
      <c r="B64" s="797"/>
      <c r="C64" s="798"/>
      <c r="D64" s="799"/>
      <c r="E64" s="683" t="s">
        <v>1158</v>
      </c>
      <c r="F64" s="1385">
        <v>10425</v>
      </c>
      <c r="G64" s="1385"/>
      <c r="H64" s="1385"/>
      <c r="I64" s="1385"/>
      <c r="J64" s="1385"/>
      <c r="K64" s="1385"/>
      <c r="L64" s="1385">
        <v>16508</v>
      </c>
      <c r="M64" s="1385">
        <v>78013</v>
      </c>
      <c r="N64" s="1402">
        <v>53534</v>
      </c>
      <c r="O64" s="328">
        <f t="shared" si="7"/>
        <v>104946</v>
      </c>
    </row>
    <row r="65" spans="1:16" s="284" customFormat="1" ht="18" customHeight="1" x14ac:dyDescent="0.3">
      <c r="A65" s="61">
        <v>56</v>
      </c>
      <c r="B65" s="1353"/>
      <c r="C65" s="1169"/>
      <c r="D65" s="1354"/>
      <c r="E65" s="1355" t="s">
        <v>1329</v>
      </c>
      <c r="F65" s="157"/>
      <c r="G65" s="157"/>
      <c r="H65" s="157"/>
      <c r="I65" s="157"/>
      <c r="J65" s="157"/>
      <c r="K65" s="157"/>
      <c r="L65" s="157">
        <v>-1</v>
      </c>
      <c r="M65" s="157"/>
      <c r="N65" s="157"/>
      <c r="O65" s="1171">
        <f t="shared" si="7"/>
        <v>-1</v>
      </c>
      <c r="P65" s="49"/>
    </row>
    <row r="66" spans="1:16" s="285" customFormat="1" ht="18" customHeight="1" x14ac:dyDescent="0.3">
      <c r="A66" s="61">
        <v>57</v>
      </c>
      <c r="B66" s="460"/>
      <c r="C66" s="1356"/>
      <c r="D66" s="1357"/>
      <c r="E66" s="683" t="s">
        <v>1250</v>
      </c>
      <c r="F66" s="1358">
        <f>SUM(F64:F65)</f>
        <v>10425</v>
      </c>
      <c r="G66" s="1358"/>
      <c r="H66" s="1358"/>
      <c r="I66" s="1358"/>
      <c r="J66" s="1358"/>
      <c r="K66" s="1358"/>
      <c r="L66" s="1358">
        <f>SUM(L64:L65)</f>
        <v>16507</v>
      </c>
      <c r="M66" s="1358">
        <f>SUM(M64:M65)</f>
        <v>78013</v>
      </c>
      <c r="N66" s="1358">
        <f>SUM(N64:N65)</f>
        <v>53534</v>
      </c>
      <c r="O66" s="328">
        <f>SUM(F66:M66)</f>
        <v>104945</v>
      </c>
      <c r="P66" s="57"/>
    </row>
    <row r="67" spans="1:16" s="286" customFormat="1" ht="22.5" customHeight="1" x14ac:dyDescent="0.3">
      <c r="A67" s="61">
        <v>58</v>
      </c>
      <c r="B67" s="308">
        <v>9</v>
      </c>
      <c r="C67" s="309"/>
      <c r="D67" s="683" t="s">
        <v>541</v>
      </c>
      <c r="E67" s="683"/>
      <c r="F67" s="314"/>
      <c r="G67" s="314"/>
      <c r="H67" s="314"/>
      <c r="I67" s="314"/>
      <c r="J67" s="314"/>
      <c r="K67" s="314"/>
      <c r="L67" s="314"/>
      <c r="M67" s="314"/>
      <c r="N67" s="315"/>
      <c r="O67" s="316"/>
      <c r="P67" s="53"/>
    </row>
    <row r="68" spans="1:16" s="806" customFormat="1" ht="18" customHeight="1" x14ac:dyDescent="0.3">
      <c r="A68" s="61">
        <v>59</v>
      </c>
      <c r="B68" s="797"/>
      <c r="C68" s="810"/>
      <c r="D68" s="811"/>
      <c r="E68" s="826" t="s">
        <v>308</v>
      </c>
      <c r="F68" s="827">
        <v>1800</v>
      </c>
      <c r="G68" s="827"/>
      <c r="H68" s="827"/>
      <c r="I68" s="827"/>
      <c r="J68" s="827"/>
      <c r="K68" s="827"/>
      <c r="L68" s="827">
        <v>1150</v>
      </c>
      <c r="M68" s="827">
        <v>240692</v>
      </c>
      <c r="N68" s="828">
        <v>148192</v>
      </c>
      <c r="O68" s="818">
        <f t="shared" ref="O68:O71" si="8">SUM(F68:M68)</f>
        <v>243642</v>
      </c>
    </row>
    <row r="69" spans="1:16" s="806" customFormat="1" ht="18" customHeight="1" x14ac:dyDescent="0.3">
      <c r="A69" s="61">
        <v>60</v>
      </c>
      <c r="B69" s="797"/>
      <c r="C69" s="810"/>
      <c r="D69" s="811"/>
      <c r="E69" s="683" t="s">
        <v>1158</v>
      </c>
      <c r="F69" s="1423">
        <v>1800</v>
      </c>
      <c r="G69" s="1423"/>
      <c r="H69" s="1423"/>
      <c r="I69" s="1423"/>
      <c r="J69" s="1423"/>
      <c r="K69" s="1423"/>
      <c r="L69" s="1423">
        <v>29468</v>
      </c>
      <c r="M69" s="1423">
        <v>312578</v>
      </c>
      <c r="N69" s="1800">
        <v>232122</v>
      </c>
      <c r="O69" s="328">
        <f t="shared" si="8"/>
        <v>343846</v>
      </c>
    </row>
    <row r="70" spans="1:16" s="284" customFormat="1" ht="18" customHeight="1" x14ac:dyDescent="0.3">
      <c r="A70" s="61">
        <v>61</v>
      </c>
      <c r="B70" s="1353"/>
      <c r="C70" s="1169"/>
      <c r="D70" s="1354"/>
      <c r="E70" s="1355" t="s">
        <v>1329</v>
      </c>
      <c r="F70" s="157"/>
      <c r="G70" s="157"/>
      <c r="H70" s="157"/>
      <c r="I70" s="157"/>
      <c r="J70" s="157"/>
      <c r="K70" s="157"/>
      <c r="L70" s="157">
        <v>-1119</v>
      </c>
      <c r="M70" s="157"/>
      <c r="N70" s="157"/>
      <c r="O70" s="1171">
        <f t="shared" si="8"/>
        <v>-1119</v>
      </c>
      <c r="P70" s="49"/>
    </row>
    <row r="71" spans="1:16" s="284" customFormat="1" ht="18" customHeight="1" x14ac:dyDescent="0.3">
      <c r="A71" s="61">
        <v>62</v>
      </c>
      <c r="B71" s="1353"/>
      <c r="C71" s="1169"/>
      <c r="D71" s="1354"/>
      <c r="E71" s="1355"/>
      <c r="F71" s="157"/>
      <c r="G71" s="157"/>
      <c r="H71" s="157"/>
      <c r="I71" s="157"/>
      <c r="J71" s="157"/>
      <c r="K71" s="157"/>
      <c r="L71" s="157"/>
      <c r="M71" s="157"/>
      <c r="N71" s="157"/>
      <c r="O71" s="1171">
        <f t="shared" si="8"/>
        <v>0</v>
      </c>
      <c r="P71" s="49"/>
    </row>
    <row r="72" spans="1:16" s="285" customFormat="1" ht="18" customHeight="1" thickBot="1" x14ac:dyDescent="0.35">
      <c r="A72" s="61">
        <v>63</v>
      </c>
      <c r="B72" s="460"/>
      <c r="C72" s="1356"/>
      <c r="D72" s="1357"/>
      <c r="E72" s="683" t="s">
        <v>1250</v>
      </c>
      <c r="F72" s="1358">
        <f>SUM(F69:F71)</f>
        <v>1800</v>
      </c>
      <c r="G72" s="1358"/>
      <c r="H72" s="1358"/>
      <c r="I72" s="1358"/>
      <c r="J72" s="1358"/>
      <c r="K72" s="1358"/>
      <c r="L72" s="1358">
        <f>SUM(L69:L71)</f>
        <v>28349</v>
      </c>
      <c r="M72" s="1358">
        <f>SUM(M69:M71)</f>
        <v>312578</v>
      </c>
      <c r="N72" s="1358">
        <f>SUM(N69:N71)</f>
        <v>232122</v>
      </c>
      <c r="O72" s="328">
        <f>SUM(F72:M72)</f>
        <v>342727</v>
      </c>
      <c r="P72" s="57"/>
    </row>
    <row r="73" spans="1:16" s="56" customFormat="1" ht="22.5" customHeight="1" thickTop="1" x14ac:dyDescent="0.2">
      <c r="A73" s="61">
        <v>64</v>
      </c>
      <c r="B73" s="310"/>
      <c r="C73" s="2173" t="s">
        <v>657</v>
      </c>
      <c r="D73" s="2174"/>
      <c r="E73" s="2175"/>
      <c r="F73" s="795"/>
      <c r="G73" s="795"/>
      <c r="H73" s="795"/>
      <c r="I73" s="795"/>
      <c r="J73" s="795"/>
      <c r="K73" s="795"/>
      <c r="L73" s="795"/>
      <c r="M73" s="795"/>
      <c r="N73" s="795"/>
      <c r="O73" s="796"/>
    </row>
    <row r="74" spans="1:16" s="806" customFormat="1" ht="18" customHeight="1" x14ac:dyDescent="0.3">
      <c r="A74" s="61">
        <v>65</v>
      </c>
      <c r="B74" s="797"/>
      <c r="C74" s="810"/>
      <c r="D74" s="811"/>
      <c r="E74" s="826" t="s">
        <v>308</v>
      </c>
      <c r="F74" s="827">
        <f t="shared" ref="F74:N74" si="9">SUM(F58,F63,F68)</f>
        <v>37377</v>
      </c>
      <c r="G74" s="827">
        <f t="shared" si="9"/>
        <v>1473</v>
      </c>
      <c r="H74" s="827">
        <f t="shared" si="9"/>
        <v>0</v>
      </c>
      <c r="I74" s="827">
        <f t="shared" si="9"/>
        <v>0</v>
      </c>
      <c r="J74" s="827">
        <f t="shared" si="9"/>
        <v>0</v>
      </c>
      <c r="K74" s="827">
        <f t="shared" si="9"/>
        <v>0</v>
      </c>
      <c r="L74" s="827">
        <f t="shared" si="9"/>
        <v>2780</v>
      </c>
      <c r="M74" s="827">
        <f t="shared" si="9"/>
        <v>1268239</v>
      </c>
      <c r="N74" s="828">
        <f t="shared" si="9"/>
        <v>927825</v>
      </c>
      <c r="O74" s="818">
        <f>SUM(F74:M74)</f>
        <v>1309869</v>
      </c>
    </row>
    <row r="75" spans="1:16" s="806" customFormat="1" ht="18" customHeight="1" x14ac:dyDescent="0.3">
      <c r="A75" s="61">
        <v>66</v>
      </c>
      <c r="B75" s="797"/>
      <c r="C75" s="810"/>
      <c r="D75" s="811"/>
      <c r="E75" s="683" t="s">
        <v>1158</v>
      </c>
      <c r="F75" s="1423">
        <f t="shared" ref="F75:N75" si="10">SUM(F59,F64,F69)</f>
        <v>27925</v>
      </c>
      <c r="G75" s="1423">
        <f t="shared" si="10"/>
        <v>10508</v>
      </c>
      <c r="H75" s="1423">
        <f t="shared" si="10"/>
        <v>0</v>
      </c>
      <c r="I75" s="1423">
        <f t="shared" si="10"/>
        <v>1550</v>
      </c>
      <c r="J75" s="1423">
        <f t="shared" si="10"/>
        <v>0</v>
      </c>
      <c r="K75" s="1423">
        <f t="shared" si="10"/>
        <v>0</v>
      </c>
      <c r="L75" s="1423">
        <f t="shared" si="10"/>
        <v>95209</v>
      </c>
      <c r="M75" s="1423">
        <f t="shared" si="10"/>
        <v>1406878</v>
      </c>
      <c r="N75" s="1800">
        <f t="shared" si="10"/>
        <v>1072212</v>
      </c>
      <c r="O75" s="1801">
        <f>SUM(F75:M75)</f>
        <v>1542070</v>
      </c>
    </row>
    <row r="76" spans="1:16" s="284" customFormat="1" ht="18" customHeight="1" x14ac:dyDescent="0.3">
      <c r="A76" s="61">
        <v>67</v>
      </c>
      <c r="B76" s="1353"/>
      <c r="C76" s="1169"/>
      <c r="D76" s="1354"/>
      <c r="E76" s="1355" t="s">
        <v>947</v>
      </c>
      <c r="F76" s="157">
        <f t="shared" ref="F76:N76" si="11">SUM(F60:F60,F65:F65,F70:F71)</f>
        <v>0</v>
      </c>
      <c r="G76" s="157">
        <f t="shared" si="11"/>
        <v>0</v>
      </c>
      <c r="H76" s="157">
        <f t="shared" si="11"/>
        <v>0</v>
      </c>
      <c r="I76" s="157">
        <f t="shared" si="11"/>
        <v>0</v>
      </c>
      <c r="J76" s="157">
        <f t="shared" si="11"/>
        <v>0</v>
      </c>
      <c r="K76" s="157">
        <f t="shared" si="11"/>
        <v>0</v>
      </c>
      <c r="L76" s="157">
        <f t="shared" si="11"/>
        <v>-2333</v>
      </c>
      <c r="M76" s="157">
        <f t="shared" si="11"/>
        <v>0</v>
      </c>
      <c r="N76" s="157">
        <f t="shared" si="11"/>
        <v>0</v>
      </c>
      <c r="O76" s="1171">
        <f>SUM(F76:M76)</f>
        <v>-2333</v>
      </c>
      <c r="P76" s="49"/>
    </row>
    <row r="77" spans="1:16" s="285" customFormat="1" ht="18" customHeight="1" thickBot="1" x14ac:dyDescent="0.35">
      <c r="A77" s="61">
        <v>68</v>
      </c>
      <c r="B77" s="460"/>
      <c r="C77" s="1360"/>
      <c r="D77" s="1361"/>
      <c r="E77" s="1362" t="s">
        <v>1250</v>
      </c>
      <c r="F77" s="1363">
        <f>SUM(F75:F76)</f>
        <v>27925</v>
      </c>
      <c r="G77" s="1363">
        <f t="shared" ref="G77:N77" si="12">SUM(G75:G76)</f>
        <v>10508</v>
      </c>
      <c r="H77" s="1363">
        <f t="shared" si="12"/>
        <v>0</v>
      </c>
      <c r="I77" s="1363">
        <f t="shared" si="12"/>
        <v>1550</v>
      </c>
      <c r="J77" s="1363">
        <f t="shared" si="12"/>
        <v>0</v>
      </c>
      <c r="K77" s="1363">
        <f t="shared" si="12"/>
        <v>0</v>
      </c>
      <c r="L77" s="1363">
        <f t="shared" si="12"/>
        <v>92876</v>
      </c>
      <c r="M77" s="1363">
        <f t="shared" si="12"/>
        <v>1406878</v>
      </c>
      <c r="N77" s="1363">
        <f t="shared" si="12"/>
        <v>1072212</v>
      </c>
      <c r="O77" s="1364">
        <f>SUM(F77:M77)</f>
        <v>1539737</v>
      </c>
      <c r="P77" s="57"/>
    </row>
    <row r="78" spans="1:16" s="49" customFormat="1" ht="22.5" customHeight="1" thickTop="1" x14ac:dyDescent="0.3">
      <c r="A78" s="61">
        <v>69</v>
      </c>
      <c r="B78" s="322">
        <v>10</v>
      </c>
      <c r="C78" s="323"/>
      <c r="D78" s="684" t="s">
        <v>543</v>
      </c>
      <c r="E78" s="685"/>
      <c r="F78" s="333"/>
      <c r="G78" s="333"/>
      <c r="H78" s="333"/>
      <c r="I78" s="333"/>
      <c r="J78" s="333"/>
      <c r="K78" s="333"/>
      <c r="L78" s="333"/>
      <c r="M78" s="333"/>
      <c r="N78" s="334"/>
      <c r="O78" s="335"/>
      <c r="P78" s="48"/>
    </row>
    <row r="79" spans="1:16" s="804" customFormat="1" ht="18" customHeight="1" x14ac:dyDescent="0.3">
      <c r="A79" s="61">
        <v>70</v>
      </c>
      <c r="B79" s="797"/>
      <c r="C79" s="798"/>
      <c r="D79" s="799"/>
      <c r="E79" s="800" t="s">
        <v>308</v>
      </c>
      <c r="F79" s="819">
        <v>39412</v>
      </c>
      <c r="G79" s="819"/>
      <c r="H79" s="819"/>
      <c r="I79" s="819"/>
      <c r="J79" s="819"/>
      <c r="K79" s="819"/>
      <c r="L79" s="819"/>
      <c r="M79" s="819">
        <v>173717</v>
      </c>
      <c r="N79" s="820"/>
      <c r="O79" s="816">
        <f t="shared" ref="O79:O82" si="13">SUM(F79:M79)</f>
        <v>213129</v>
      </c>
    </row>
    <row r="80" spans="1:16" s="804" customFormat="1" ht="18" customHeight="1" x14ac:dyDescent="0.3">
      <c r="A80" s="61">
        <v>71</v>
      </c>
      <c r="B80" s="797"/>
      <c r="C80" s="798"/>
      <c r="D80" s="799"/>
      <c r="E80" s="683" t="s">
        <v>1158</v>
      </c>
      <c r="F80" s="1385">
        <v>23539</v>
      </c>
      <c r="G80" s="1385">
        <v>1515</v>
      </c>
      <c r="H80" s="1385"/>
      <c r="I80" s="1385"/>
      <c r="J80" s="1385"/>
      <c r="K80" s="1385"/>
      <c r="L80" s="1385">
        <v>39054</v>
      </c>
      <c r="M80" s="1385">
        <v>185366</v>
      </c>
      <c r="N80" s="1402">
        <v>6630</v>
      </c>
      <c r="O80" s="328">
        <f t="shared" si="13"/>
        <v>249474</v>
      </c>
    </row>
    <row r="81" spans="1:16" s="284" customFormat="1" ht="18" customHeight="1" x14ac:dyDescent="0.3">
      <c r="A81" s="61">
        <v>72</v>
      </c>
      <c r="B81" s="1353"/>
      <c r="C81" s="1169"/>
      <c r="D81" s="1354"/>
      <c r="E81" s="1355" t="s">
        <v>1307</v>
      </c>
      <c r="F81" s="157"/>
      <c r="G81" s="157">
        <v>5963</v>
      </c>
      <c r="H81" s="157"/>
      <c r="I81" s="157"/>
      <c r="J81" s="157"/>
      <c r="K81" s="157"/>
      <c r="L81" s="157"/>
      <c r="M81" s="157"/>
      <c r="N81" s="157"/>
      <c r="O81" s="1171">
        <f t="shared" si="13"/>
        <v>5963</v>
      </c>
      <c r="P81" s="49"/>
    </row>
    <row r="82" spans="1:16" s="284" customFormat="1" ht="18" customHeight="1" x14ac:dyDescent="0.3">
      <c r="A82" s="61">
        <v>73</v>
      </c>
      <c r="B82" s="1353"/>
      <c r="C82" s="1169"/>
      <c r="D82" s="1354"/>
      <c r="E82" s="1355" t="s">
        <v>1329</v>
      </c>
      <c r="F82" s="157"/>
      <c r="G82" s="157"/>
      <c r="H82" s="157"/>
      <c r="I82" s="157"/>
      <c r="J82" s="157"/>
      <c r="K82" s="157"/>
      <c r="L82" s="157">
        <v>1</v>
      </c>
      <c r="M82" s="157"/>
      <c r="N82" s="157"/>
      <c r="O82" s="1171">
        <f t="shared" si="13"/>
        <v>1</v>
      </c>
      <c r="P82" s="49"/>
    </row>
    <row r="83" spans="1:16" s="285" customFormat="1" ht="18" customHeight="1" x14ac:dyDescent="0.3">
      <c r="A83" s="61">
        <v>74</v>
      </c>
      <c r="B83" s="460"/>
      <c r="C83" s="1356"/>
      <c r="D83" s="1357"/>
      <c r="E83" s="683" t="s">
        <v>1250</v>
      </c>
      <c r="F83" s="1358">
        <f>SUM(F80:F82)</f>
        <v>23539</v>
      </c>
      <c r="G83" s="1358">
        <f>SUM(G80:G82)</f>
        <v>7478</v>
      </c>
      <c r="H83" s="1358"/>
      <c r="I83" s="1358"/>
      <c r="J83" s="1358"/>
      <c r="K83" s="1358"/>
      <c r="L83" s="1358">
        <f>SUM(L80:L82)</f>
        <v>39055</v>
      </c>
      <c r="M83" s="1358">
        <f t="shared" ref="M83" si="14">SUM(M80:M82)</f>
        <v>185366</v>
      </c>
      <c r="N83" s="1358">
        <f>SUM(N80:N82)</f>
        <v>6630</v>
      </c>
      <c r="O83" s="328">
        <f>SUM(F83:M83)</f>
        <v>255438</v>
      </c>
      <c r="P83" s="57"/>
    </row>
    <row r="84" spans="1:16" s="57" customFormat="1" ht="18" customHeight="1" x14ac:dyDescent="0.3">
      <c r="A84" s="61">
        <v>75</v>
      </c>
      <c r="B84" s="308"/>
      <c r="C84" s="309">
        <v>1</v>
      </c>
      <c r="D84" s="2129" t="s">
        <v>647</v>
      </c>
      <c r="E84" s="2129"/>
      <c r="F84" s="120"/>
      <c r="G84" s="120"/>
      <c r="H84" s="120"/>
      <c r="I84" s="120"/>
      <c r="J84" s="120"/>
      <c r="K84" s="120"/>
      <c r="L84" s="120"/>
      <c r="M84" s="120"/>
      <c r="N84" s="157"/>
      <c r="O84" s="328"/>
      <c r="P84" s="48"/>
    </row>
    <row r="85" spans="1:16" s="804" customFormat="1" ht="18" customHeight="1" x14ac:dyDescent="0.3">
      <c r="A85" s="61">
        <v>76</v>
      </c>
      <c r="B85" s="809"/>
      <c r="C85" s="810"/>
      <c r="D85" s="811"/>
      <c r="E85" s="812" t="s">
        <v>308</v>
      </c>
      <c r="F85" s="813"/>
      <c r="G85" s="813">
        <v>66905</v>
      </c>
      <c r="H85" s="813"/>
      <c r="I85" s="813"/>
      <c r="J85" s="813">
        <v>4050</v>
      </c>
      <c r="K85" s="813"/>
      <c r="L85" s="813">
        <v>18424</v>
      </c>
      <c r="M85" s="813"/>
      <c r="N85" s="814"/>
      <c r="O85" s="815">
        <f>SUM(F85:M85)</f>
        <v>89379</v>
      </c>
    </row>
    <row r="86" spans="1:16" s="804" customFormat="1" ht="18" customHeight="1" x14ac:dyDescent="0.3">
      <c r="A86" s="61">
        <v>77</v>
      </c>
      <c r="B86" s="809"/>
      <c r="C86" s="810"/>
      <c r="D86" s="811"/>
      <c r="E86" s="683" t="s">
        <v>1158</v>
      </c>
      <c r="F86" s="813"/>
      <c r="G86" s="1797">
        <v>66905</v>
      </c>
      <c r="H86" s="1797"/>
      <c r="I86" s="1797"/>
      <c r="J86" s="1797">
        <v>4050</v>
      </c>
      <c r="K86" s="1797"/>
      <c r="L86" s="1797">
        <v>18424</v>
      </c>
      <c r="M86" s="1797"/>
      <c r="N86" s="1798"/>
      <c r="O86" s="328">
        <f>SUM(F86:M86)</f>
        <v>89379</v>
      </c>
    </row>
    <row r="87" spans="1:16" s="284" customFormat="1" ht="18" customHeight="1" x14ac:dyDescent="0.3">
      <c r="A87" s="61">
        <v>78</v>
      </c>
      <c r="B87" s="1353"/>
      <c r="C87" s="1169"/>
      <c r="D87" s="1354"/>
      <c r="E87" s="1355" t="s">
        <v>969</v>
      </c>
      <c r="F87" s="157"/>
      <c r="G87" s="157"/>
      <c r="H87" s="157"/>
      <c r="I87" s="157"/>
      <c r="J87" s="157"/>
      <c r="K87" s="157"/>
      <c r="L87" s="157"/>
      <c r="M87" s="157"/>
      <c r="N87" s="157"/>
      <c r="O87" s="1171">
        <f>SUM(F87:M87)</f>
        <v>0</v>
      </c>
      <c r="P87" s="49"/>
    </row>
    <row r="88" spans="1:16" s="285" customFormat="1" ht="18" customHeight="1" x14ac:dyDescent="0.3">
      <c r="A88" s="61">
        <v>79</v>
      </c>
      <c r="B88" s="460"/>
      <c r="C88" s="1356"/>
      <c r="D88" s="1357"/>
      <c r="E88" s="683" t="s">
        <v>1250</v>
      </c>
      <c r="F88" s="1358"/>
      <c r="G88" s="1358">
        <f>SUM(G86:G87)</f>
        <v>66905</v>
      </c>
      <c r="H88" s="1358"/>
      <c r="I88" s="1358"/>
      <c r="J88" s="1358">
        <f>SUM(J86:J87)</f>
        <v>4050</v>
      </c>
      <c r="K88" s="1358"/>
      <c r="L88" s="1358">
        <f>SUM(L86:L87)</f>
        <v>18424</v>
      </c>
      <c r="M88" s="1358"/>
      <c r="N88" s="1359"/>
      <c r="O88" s="328">
        <f>SUM(F88:M88)</f>
        <v>89379</v>
      </c>
      <c r="P88" s="57"/>
    </row>
    <row r="89" spans="1:16" s="57" customFormat="1" ht="22.5" customHeight="1" x14ac:dyDescent="0.3">
      <c r="A89" s="61">
        <v>80</v>
      </c>
      <c r="B89" s="308">
        <v>11</v>
      </c>
      <c r="C89" s="309"/>
      <c r="D89" s="683" t="s">
        <v>525</v>
      </c>
      <c r="E89" s="683"/>
      <c r="F89" s="314"/>
      <c r="G89" s="314"/>
      <c r="H89" s="314"/>
      <c r="I89" s="314"/>
      <c r="J89" s="314"/>
      <c r="K89" s="314"/>
      <c r="L89" s="314"/>
      <c r="M89" s="314"/>
      <c r="N89" s="315"/>
      <c r="O89" s="316"/>
      <c r="P89" s="48"/>
    </row>
    <row r="90" spans="1:16" s="804" customFormat="1" ht="18" customHeight="1" x14ac:dyDescent="0.3">
      <c r="A90" s="61">
        <v>81</v>
      </c>
      <c r="B90" s="797"/>
      <c r="C90" s="798"/>
      <c r="D90" s="799"/>
      <c r="E90" s="800" t="s">
        <v>308</v>
      </c>
      <c r="F90" s="819">
        <v>9529</v>
      </c>
      <c r="G90" s="819">
        <v>400</v>
      </c>
      <c r="H90" s="819"/>
      <c r="I90" s="819"/>
      <c r="J90" s="819"/>
      <c r="K90" s="819"/>
      <c r="L90" s="819"/>
      <c r="M90" s="819">
        <v>115399</v>
      </c>
      <c r="N90" s="820"/>
      <c r="O90" s="816">
        <f t="shared" ref="O90:O99" si="15">SUM(F90:M90)</f>
        <v>125328</v>
      </c>
    </row>
    <row r="91" spans="1:16" s="804" customFormat="1" ht="18" customHeight="1" x14ac:dyDescent="0.3">
      <c r="A91" s="61">
        <v>82</v>
      </c>
      <c r="B91" s="797"/>
      <c r="C91" s="798"/>
      <c r="D91" s="799"/>
      <c r="E91" s="683" t="s">
        <v>1158</v>
      </c>
      <c r="F91" s="1385">
        <v>6882</v>
      </c>
      <c r="G91" s="1385">
        <v>6355</v>
      </c>
      <c r="H91" s="1385">
        <v>1485</v>
      </c>
      <c r="I91" s="1385"/>
      <c r="J91" s="1385"/>
      <c r="K91" s="1385"/>
      <c r="L91" s="1385">
        <v>12321</v>
      </c>
      <c r="M91" s="1385">
        <v>122328</v>
      </c>
      <c r="N91" s="1402">
        <v>5980</v>
      </c>
      <c r="O91" s="328">
        <f t="shared" si="15"/>
        <v>149371</v>
      </c>
    </row>
    <row r="92" spans="1:16" s="284" customFormat="1" ht="18" customHeight="1" x14ac:dyDescent="0.3">
      <c r="A92" s="61">
        <v>83</v>
      </c>
      <c r="B92" s="1353"/>
      <c r="C92" s="1169"/>
      <c r="D92" s="1354"/>
      <c r="E92" s="1355" t="s">
        <v>1306</v>
      </c>
      <c r="F92" s="157"/>
      <c r="G92" s="157">
        <v>6020</v>
      </c>
      <c r="H92" s="157"/>
      <c r="I92" s="157"/>
      <c r="J92" s="157"/>
      <c r="K92" s="157"/>
      <c r="L92" s="157"/>
      <c r="M92" s="157"/>
      <c r="N92" s="157"/>
      <c r="O92" s="1171">
        <f t="shared" si="15"/>
        <v>6020</v>
      </c>
      <c r="P92" s="49"/>
    </row>
    <row r="93" spans="1:16" s="284" customFormat="1" ht="18" customHeight="1" x14ac:dyDescent="0.3">
      <c r="A93" s="61">
        <v>84</v>
      </c>
      <c r="B93" s="1353"/>
      <c r="C93" s="1169"/>
      <c r="D93" s="1354"/>
      <c r="E93" s="1355" t="s">
        <v>1350</v>
      </c>
      <c r="F93" s="157">
        <v>-1102</v>
      </c>
      <c r="G93" s="157"/>
      <c r="H93" s="157"/>
      <c r="I93" s="157"/>
      <c r="J93" s="157"/>
      <c r="K93" s="157"/>
      <c r="L93" s="157"/>
      <c r="M93" s="157"/>
      <c r="N93" s="157"/>
      <c r="O93" s="1171">
        <f t="shared" si="15"/>
        <v>-1102</v>
      </c>
      <c r="P93" s="49"/>
    </row>
    <row r="94" spans="1:16" s="284" customFormat="1" ht="18" customHeight="1" x14ac:dyDescent="0.3">
      <c r="A94" s="61">
        <v>85</v>
      </c>
      <c r="B94" s="1353"/>
      <c r="C94" s="1169"/>
      <c r="D94" s="1354"/>
      <c r="E94" s="1355" t="s">
        <v>1329</v>
      </c>
      <c r="F94" s="157"/>
      <c r="G94" s="157"/>
      <c r="H94" s="157"/>
      <c r="I94" s="157"/>
      <c r="J94" s="157"/>
      <c r="K94" s="157"/>
      <c r="L94" s="157">
        <v>1</v>
      </c>
      <c r="M94" s="157"/>
      <c r="N94" s="157"/>
      <c r="O94" s="1171">
        <f t="shared" si="15"/>
        <v>1</v>
      </c>
      <c r="P94" s="49"/>
    </row>
    <row r="95" spans="1:16" s="285" customFormat="1" ht="18" customHeight="1" x14ac:dyDescent="0.3">
      <c r="A95" s="61">
        <v>86</v>
      </c>
      <c r="B95" s="460"/>
      <c r="C95" s="1356"/>
      <c r="D95" s="1357"/>
      <c r="E95" s="683" t="s">
        <v>1250</v>
      </c>
      <c r="F95" s="1358">
        <f>SUM(F91:F94)</f>
        <v>5780</v>
      </c>
      <c r="G95" s="1358">
        <f>SUM(G91:G94)</f>
        <v>12375</v>
      </c>
      <c r="H95" s="1358">
        <f>SUM(H91:H94)</f>
        <v>1485</v>
      </c>
      <c r="I95" s="1358"/>
      <c r="J95" s="1358"/>
      <c r="K95" s="1358"/>
      <c r="L95" s="1358">
        <f>SUM(L91:L94)</f>
        <v>12322</v>
      </c>
      <c r="M95" s="1358">
        <f>SUM(M91:M94)</f>
        <v>122328</v>
      </c>
      <c r="N95" s="1358">
        <f>SUM(N91:N94)</f>
        <v>5980</v>
      </c>
      <c r="O95" s="328">
        <f t="shared" si="15"/>
        <v>154290</v>
      </c>
      <c r="P95" s="57"/>
    </row>
    <row r="96" spans="1:16" s="285" customFormat="1" ht="18" customHeight="1" x14ac:dyDescent="0.3">
      <c r="A96" s="61">
        <v>87</v>
      </c>
      <c r="B96" s="460"/>
      <c r="C96" s="309">
        <v>1</v>
      </c>
      <c r="D96" s="682" t="s">
        <v>1180</v>
      </c>
      <c r="E96" s="2129"/>
      <c r="F96" s="120"/>
      <c r="G96" s="120"/>
      <c r="H96" s="1358"/>
      <c r="I96" s="1358"/>
      <c r="J96" s="1358"/>
      <c r="K96" s="1358"/>
      <c r="L96" s="1358"/>
      <c r="M96" s="1358"/>
      <c r="N96" s="1358"/>
      <c r="O96" s="328"/>
      <c r="P96" s="57"/>
    </row>
    <row r="97" spans="1:16" s="285" customFormat="1" ht="18" customHeight="1" x14ac:dyDescent="0.3">
      <c r="A97" s="61">
        <v>88</v>
      </c>
      <c r="B97" s="460"/>
      <c r="C97" s="309"/>
      <c r="D97" s="2071"/>
      <c r="E97" s="683" t="s">
        <v>1158</v>
      </c>
      <c r="F97" s="120"/>
      <c r="G97" s="120"/>
      <c r="H97" s="1358">
        <v>1879</v>
      </c>
      <c r="I97" s="1358"/>
      <c r="J97" s="1358"/>
      <c r="K97" s="1358"/>
      <c r="L97" s="1358"/>
      <c r="M97" s="1358"/>
      <c r="N97" s="1358"/>
      <c r="O97" s="328">
        <f>SUM(F97:N97)</f>
        <v>1879</v>
      </c>
      <c r="P97" s="57"/>
    </row>
    <row r="98" spans="1:16" s="285" customFormat="1" ht="18" customHeight="1" x14ac:dyDescent="0.3">
      <c r="A98" s="61">
        <v>89</v>
      </c>
      <c r="B98" s="460"/>
      <c r="C98" s="1356"/>
      <c r="D98" s="1357"/>
      <c r="E98" s="1355" t="s">
        <v>969</v>
      </c>
      <c r="F98" s="1358"/>
      <c r="G98" s="1358"/>
      <c r="H98" s="157"/>
      <c r="I98" s="1358"/>
      <c r="J98" s="1358"/>
      <c r="K98" s="1358"/>
      <c r="L98" s="1358"/>
      <c r="M98" s="1358"/>
      <c r="N98" s="1358"/>
      <c r="O98" s="1171">
        <f t="shared" si="15"/>
        <v>0</v>
      </c>
      <c r="P98" s="57"/>
    </row>
    <row r="99" spans="1:16" s="285" customFormat="1" ht="18" customHeight="1" x14ac:dyDescent="0.3">
      <c r="A99" s="61">
        <v>90</v>
      </c>
      <c r="B99" s="460"/>
      <c r="C99" s="1356"/>
      <c r="D99" s="1357"/>
      <c r="E99" s="683" t="s">
        <v>1250</v>
      </c>
      <c r="F99" s="1358"/>
      <c r="G99" s="1358"/>
      <c r="H99" s="1358">
        <f>SUM(H97:H98)</f>
        <v>1879</v>
      </c>
      <c r="I99" s="1358"/>
      <c r="J99" s="1358"/>
      <c r="K99" s="1358"/>
      <c r="L99" s="1358"/>
      <c r="M99" s="1358"/>
      <c r="N99" s="1358"/>
      <c r="O99" s="328">
        <f t="shared" si="15"/>
        <v>1879</v>
      </c>
      <c r="P99" s="57"/>
    </row>
    <row r="100" spans="1:16" s="151" customFormat="1" ht="22.5" customHeight="1" x14ac:dyDescent="0.3">
      <c r="A100" s="61">
        <v>91</v>
      </c>
      <c r="B100" s="308">
        <v>12</v>
      </c>
      <c r="C100" s="309"/>
      <c r="D100" s="683" t="s">
        <v>25</v>
      </c>
      <c r="E100" s="686"/>
      <c r="F100" s="317"/>
      <c r="G100" s="317"/>
      <c r="H100" s="317"/>
      <c r="I100" s="317"/>
      <c r="J100" s="317"/>
      <c r="K100" s="317"/>
      <c r="L100" s="317"/>
      <c r="M100" s="317"/>
      <c r="N100" s="318"/>
      <c r="O100" s="319"/>
    </row>
    <row r="101" spans="1:16" s="807" customFormat="1" ht="18" customHeight="1" x14ac:dyDescent="0.3">
      <c r="A101" s="61">
        <v>92</v>
      </c>
      <c r="B101" s="797"/>
      <c r="C101" s="798"/>
      <c r="D101" s="799"/>
      <c r="E101" s="800" t="s">
        <v>308</v>
      </c>
      <c r="F101" s="819">
        <v>21200</v>
      </c>
      <c r="G101" s="819"/>
      <c r="H101" s="819"/>
      <c r="I101" s="819"/>
      <c r="J101" s="819"/>
      <c r="K101" s="819"/>
      <c r="L101" s="819"/>
      <c r="M101" s="819">
        <v>390704</v>
      </c>
      <c r="N101" s="820">
        <v>290848</v>
      </c>
      <c r="O101" s="816">
        <f t="shared" ref="O101:O105" si="16">SUM(F101:M101)</f>
        <v>411904</v>
      </c>
    </row>
    <row r="102" spans="1:16" s="807" customFormat="1" ht="18" customHeight="1" x14ac:dyDescent="0.3">
      <c r="A102" s="61">
        <v>93</v>
      </c>
      <c r="B102" s="797"/>
      <c r="C102" s="798"/>
      <c r="D102" s="799"/>
      <c r="E102" s="683" t="s">
        <v>1158</v>
      </c>
      <c r="F102" s="1385">
        <v>28840</v>
      </c>
      <c r="G102" s="1385">
        <v>842</v>
      </c>
      <c r="H102" s="1385">
        <v>549</v>
      </c>
      <c r="I102" s="819"/>
      <c r="J102" s="1385">
        <v>250</v>
      </c>
      <c r="K102" s="819"/>
      <c r="L102" s="1385">
        <v>21523</v>
      </c>
      <c r="M102" s="1385">
        <v>408032</v>
      </c>
      <c r="N102" s="1402">
        <v>307690</v>
      </c>
      <c r="O102" s="328">
        <f t="shared" si="16"/>
        <v>460036</v>
      </c>
    </row>
    <row r="103" spans="1:16" s="284" customFormat="1" ht="18" customHeight="1" x14ac:dyDescent="0.3">
      <c r="A103" s="61">
        <v>94</v>
      </c>
      <c r="B103" s="1353"/>
      <c r="C103" s="1169"/>
      <c r="D103" s="1354"/>
      <c r="E103" s="1355" t="s">
        <v>1320</v>
      </c>
      <c r="F103" s="157">
        <v>409</v>
      </c>
      <c r="G103" s="157"/>
      <c r="H103" s="157"/>
      <c r="I103" s="157"/>
      <c r="J103" s="157"/>
      <c r="K103" s="157"/>
      <c r="L103" s="157"/>
      <c r="M103" s="157"/>
      <c r="N103" s="157"/>
      <c r="O103" s="1171">
        <f t="shared" si="16"/>
        <v>409</v>
      </c>
      <c r="P103" s="49"/>
    </row>
    <row r="104" spans="1:16" s="284" customFormat="1" ht="18" customHeight="1" x14ac:dyDescent="0.3">
      <c r="A104" s="61">
        <v>95</v>
      </c>
      <c r="B104" s="1353"/>
      <c r="C104" s="1169"/>
      <c r="D104" s="1354"/>
      <c r="E104" s="1355" t="s">
        <v>1329</v>
      </c>
      <c r="F104" s="157"/>
      <c r="G104" s="157"/>
      <c r="H104" s="157"/>
      <c r="I104" s="157"/>
      <c r="J104" s="157"/>
      <c r="K104" s="157"/>
      <c r="L104" s="157">
        <v>1</v>
      </c>
      <c r="M104" s="157"/>
      <c r="N104" s="157"/>
      <c r="O104" s="1171">
        <f t="shared" si="16"/>
        <v>1</v>
      </c>
      <c r="P104" s="49"/>
    </row>
    <row r="105" spans="1:16" s="285" customFormat="1" ht="18" customHeight="1" x14ac:dyDescent="0.3">
      <c r="A105" s="61">
        <v>96</v>
      </c>
      <c r="B105" s="460"/>
      <c r="C105" s="1356"/>
      <c r="D105" s="1357"/>
      <c r="E105" s="683" t="s">
        <v>1250</v>
      </c>
      <c r="F105" s="1358">
        <f>SUM(F102:F104)</f>
        <v>29249</v>
      </c>
      <c r="G105" s="1358">
        <f>SUM(G102:G104)</f>
        <v>842</v>
      </c>
      <c r="H105" s="1358">
        <f>SUM(H102:H104)</f>
        <v>549</v>
      </c>
      <c r="I105" s="1358"/>
      <c r="J105" s="1358">
        <f>SUM(J102:J104)</f>
        <v>250</v>
      </c>
      <c r="K105" s="1358"/>
      <c r="L105" s="1358">
        <f>SUM(L102:L104)</f>
        <v>21524</v>
      </c>
      <c r="M105" s="1358">
        <f>SUM(M102:M104)</f>
        <v>408032</v>
      </c>
      <c r="N105" s="1358">
        <f>SUM(N102:N104)</f>
        <v>307690</v>
      </c>
      <c r="O105" s="328">
        <f t="shared" si="16"/>
        <v>460446</v>
      </c>
      <c r="P105" s="57"/>
    </row>
    <row r="106" spans="1:16" s="151" customFormat="1" ht="18" customHeight="1" x14ac:dyDescent="0.3">
      <c r="A106" s="61">
        <v>97</v>
      </c>
      <c r="B106" s="310"/>
      <c r="C106" s="309">
        <v>2</v>
      </c>
      <c r="D106" s="2129" t="s">
        <v>647</v>
      </c>
      <c r="E106" s="2129"/>
      <c r="F106" s="314"/>
      <c r="G106" s="314"/>
      <c r="H106" s="314"/>
      <c r="I106" s="314"/>
      <c r="J106" s="314"/>
      <c r="K106" s="314"/>
      <c r="L106" s="314"/>
      <c r="M106" s="314"/>
      <c r="N106" s="315"/>
      <c r="O106" s="316"/>
    </row>
    <row r="107" spans="1:16" s="805" customFormat="1" ht="18" customHeight="1" x14ac:dyDescent="0.3">
      <c r="A107" s="61">
        <v>98</v>
      </c>
      <c r="B107" s="809"/>
      <c r="C107" s="798"/>
      <c r="D107" s="799"/>
      <c r="E107" s="821" t="s">
        <v>308</v>
      </c>
      <c r="F107" s="822"/>
      <c r="G107" s="822">
        <v>43191</v>
      </c>
      <c r="H107" s="822"/>
      <c r="I107" s="822"/>
      <c r="J107" s="822"/>
      <c r="K107" s="822"/>
      <c r="L107" s="822">
        <f>9983+2400</f>
        <v>12383</v>
      </c>
      <c r="M107" s="822"/>
      <c r="N107" s="823"/>
      <c r="O107" s="817">
        <f>SUM(F107:M107)</f>
        <v>55574</v>
      </c>
      <c r="P107" s="804"/>
    </row>
    <row r="108" spans="1:16" s="805" customFormat="1" ht="18" customHeight="1" x14ac:dyDescent="0.3">
      <c r="A108" s="61">
        <v>99</v>
      </c>
      <c r="B108" s="809"/>
      <c r="C108" s="798"/>
      <c r="D108" s="799"/>
      <c r="E108" s="683" t="s">
        <v>1158</v>
      </c>
      <c r="F108" s="822"/>
      <c r="G108" s="1802">
        <v>43191</v>
      </c>
      <c r="H108" s="1802"/>
      <c r="I108" s="1802"/>
      <c r="J108" s="1802"/>
      <c r="K108" s="1802"/>
      <c r="L108" s="1802">
        <v>12300</v>
      </c>
      <c r="M108" s="1802"/>
      <c r="N108" s="1803"/>
      <c r="O108" s="328">
        <f>SUM(F108:M108)</f>
        <v>55491</v>
      </c>
      <c r="P108" s="804"/>
    </row>
    <row r="109" spans="1:16" s="284" customFormat="1" ht="18" customHeight="1" x14ac:dyDescent="0.3">
      <c r="A109" s="61">
        <v>100</v>
      </c>
      <c r="B109" s="1353"/>
      <c r="C109" s="1169"/>
      <c r="D109" s="1354"/>
      <c r="E109" s="1355" t="s">
        <v>969</v>
      </c>
      <c r="F109" s="157"/>
      <c r="G109" s="157"/>
      <c r="H109" s="157"/>
      <c r="I109" s="157"/>
      <c r="J109" s="157"/>
      <c r="K109" s="157"/>
      <c r="L109" s="157"/>
      <c r="M109" s="157"/>
      <c r="N109" s="157"/>
      <c r="O109" s="1171">
        <f>SUM(F109:M109)</f>
        <v>0</v>
      </c>
      <c r="P109" s="49"/>
    </row>
    <row r="110" spans="1:16" s="285" customFormat="1" ht="18" customHeight="1" x14ac:dyDescent="0.3">
      <c r="A110" s="61">
        <v>101</v>
      </c>
      <c r="B110" s="460"/>
      <c r="C110" s="1356"/>
      <c r="D110" s="1357"/>
      <c r="E110" s="683" t="s">
        <v>1250</v>
      </c>
      <c r="F110" s="1358"/>
      <c r="G110" s="1358">
        <f>SUM(G108:G109)</f>
        <v>43191</v>
      </c>
      <c r="H110" s="1358"/>
      <c r="I110" s="1358"/>
      <c r="J110" s="1358"/>
      <c r="K110" s="1358"/>
      <c r="L110" s="1358">
        <f>SUM(L108:L109)</f>
        <v>12300</v>
      </c>
      <c r="M110" s="1358"/>
      <c r="N110" s="1359"/>
      <c r="O110" s="328">
        <f>SUM(F110:M110)</f>
        <v>55491</v>
      </c>
      <c r="P110" s="57"/>
    </row>
    <row r="111" spans="1:16" s="151" customFormat="1" ht="22.5" customHeight="1" x14ac:dyDescent="0.3">
      <c r="A111" s="61">
        <v>102</v>
      </c>
      <c r="B111" s="308">
        <v>13</v>
      </c>
      <c r="C111" s="309"/>
      <c r="D111" s="683" t="s">
        <v>34</v>
      </c>
      <c r="E111" s="686"/>
      <c r="F111" s="317"/>
      <c r="G111" s="317"/>
      <c r="H111" s="317"/>
      <c r="I111" s="317"/>
      <c r="J111" s="317"/>
      <c r="K111" s="317"/>
      <c r="L111" s="317"/>
      <c r="M111" s="317"/>
      <c r="N111" s="318"/>
      <c r="O111" s="319"/>
    </row>
    <row r="112" spans="1:16" s="807" customFormat="1" ht="18" customHeight="1" x14ac:dyDescent="0.3">
      <c r="A112" s="61">
        <v>103</v>
      </c>
      <c r="B112" s="797"/>
      <c r="C112" s="798"/>
      <c r="D112" s="799"/>
      <c r="E112" s="800" t="s">
        <v>308</v>
      </c>
      <c r="F112" s="819">
        <v>209389</v>
      </c>
      <c r="G112" s="819">
        <v>400</v>
      </c>
      <c r="H112" s="819"/>
      <c r="I112" s="819">
        <v>3000</v>
      </c>
      <c r="J112" s="819"/>
      <c r="K112" s="819"/>
      <c r="L112" s="819">
        <v>1200</v>
      </c>
      <c r="M112" s="819">
        <v>192730</v>
      </c>
      <c r="N112" s="820">
        <v>120660</v>
      </c>
      <c r="O112" s="816">
        <f t="shared" ref="O112:O119" si="17">SUM(F112:M112)</f>
        <v>406719</v>
      </c>
    </row>
    <row r="113" spans="1:16" s="807" customFormat="1" ht="18" customHeight="1" x14ac:dyDescent="0.3">
      <c r="A113" s="61">
        <v>104</v>
      </c>
      <c r="B113" s="797"/>
      <c r="C113" s="798"/>
      <c r="D113" s="799"/>
      <c r="E113" s="683" t="s">
        <v>1158</v>
      </c>
      <c r="F113" s="1385">
        <v>224389</v>
      </c>
      <c r="G113" s="1385">
        <v>1600</v>
      </c>
      <c r="H113" s="1385"/>
      <c r="I113" s="1385">
        <v>3200</v>
      </c>
      <c r="J113" s="1385"/>
      <c r="K113" s="1385"/>
      <c r="L113" s="1385">
        <v>36876</v>
      </c>
      <c r="M113" s="1385">
        <v>208568</v>
      </c>
      <c r="N113" s="1402">
        <v>134551</v>
      </c>
      <c r="O113" s="328">
        <f t="shared" si="17"/>
        <v>474633</v>
      </c>
    </row>
    <row r="114" spans="1:16" s="284" customFormat="1" ht="18" customHeight="1" x14ac:dyDescent="0.3">
      <c r="A114" s="61">
        <v>105</v>
      </c>
      <c r="B114" s="1353"/>
      <c r="C114" s="1169"/>
      <c r="D114" s="1354"/>
      <c r="E114" s="1355" t="s">
        <v>1329</v>
      </c>
      <c r="F114" s="157"/>
      <c r="G114" s="157"/>
      <c r="H114" s="157"/>
      <c r="I114" s="157"/>
      <c r="J114" s="157"/>
      <c r="K114" s="157"/>
      <c r="L114" s="157">
        <v>1034</v>
      </c>
      <c r="M114" s="157"/>
      <c r="N114" s="157"/>
      <c r="O114" s="1171">
        <f t="shared" si="17"/>
        <v>1034</v>
      </c>
      <c r="P114" s="49"/>
    </row>
    <row r="115" spans="1:16" s="284" customFormat="1" ht="18" customHeight="1" x14ac:dyDescent="0.3">
      <c r="A115" s="61">
        <v>106</v>
      </c>
      <c r="B115" s="1353"/>
      <c r="C115" s="1169"/>
      <c r="D115" s="1354"/>
      <c r="E115" s="1355" t="s">
        <v>1348</v>
      </c>
      <c r="F115" s="157">
        <v>-2234</v>
      </c>
      <c r="G115" s="157">
        <v>1200</v>
      </c>
      <c r="H115" s="157"/>
      <c r="I115" s="157"/>
      <c r="J115" s="157"/>
      <c r="K115" s="157"/>
      <c r="L115" s="157"/>
      <c r="M115" s="157"/>
      <c r="N115" s="157"/>
      <c r="O115" s="1171">
        <f t="shared" si="17"/>
        <v>-1034</v>
      </c>
      <c r="P115" s="49"/>
    </row>
    <row r="116" spans="1:16" s="285" customFormat="1" ht="18" customHeight="1" x14ac:dyDescent="0.3">
      <c r="A116" s="61">
        <v>107</v>
      </c>
      <c r="B116" s="460"/>
      <c r="C116" s="1356"/>
      <c r="D116" s="1357"/>
      <c r="E116" s="683" t="s">
        <v>1250</v>
      </c>
      <c r="F116" s="1358">
        <f>SUM(F113:F115)</f>
        <v>222155</v>
      </c>
      <c r="G116" s="1358">
        <f t="shared" ref="G116:I116" si="18">SUM(G113:G115)</f>
        <v>2800</v>
      </c>
      <c r="H116" s="1358"/>
      <c r="I116" s="1358">
        <f t="shared" si="18"/>
        <v>3200</v>
      </c>
      <c r="J116" s="1358"/>
      <c r="K116" s="1358"/>
      <c r="L116" s="1358">
        <f>SUM(L113:L115)</f>
        <v>37910</v>
      </c>
      <c r="M116" s="1358">
        <f t="shared" ref="M116:N116" si="19">SUM(M113:M115)</f>
        <v>208568</v>
      </c>
      <c r="N116" s="1358">
        <f t="shared" si="19"/>
        <v>134551</v>
      </c>
      <c r="O116" s="328">
        <f t="shared" si="17"/>
        <v>474633</v>
      </c>
      <c r="P116" s="57"/>
    </row>
    <row r="117" spans="1:16" s="285" customFormat="1" ht="18" customHeight="1" x14ac:dyDescent="0.3">
      <c r="A117" s="61">
        <v>108</v>
      </c>
      <c r="B117" s="460"/>
      <c r="C117" s="309">
        <v>1</v>
      </c>
      <c r="D117" s="2176" t="s">
        <v>1180</v>
      </c>
      <c r="E117" s="2177"/>
      <c r="F117" s="1358"/>
      <c r="G117" s="1358"/>
      <c r="H117" s="1358"/>
      <c r="I117" s="1358"/>
      <c r="J117" s="1358"/>
      <c r="K117" s="1358"/>
      <c r="L117" s="1358"/>
      <c r="M117" s="1358"/>
      <c r="N117" s="1358"/>
      <c r="O117" s="328"/>
      <c r="P117" s="57"/>
    </row>
    <row r="118" spans="1:16" s="285" customFormat="1" ht="18" customHeight="1" x14ac:dyDescent="0.3">
      <c r="A118" s="61">
        <v>109</v>
      </c>
      <c r="B118" s="460"/>
      <c r="C118" s="1356"/>
      <c r="D118" s="1357"/>
      <c r="E118" s="1355" t="s">
        <v>947</v>
      </c>
      <c r="F118" s="1358"/>
      <c r="G118" s="1358"/>
      <c r="H118" s="157">
        <v>8944</v>
      </c>
      <c r="I118" s="1358"/>
      <c r="J118" s="1358"/>
      <c r="K118" s="1358"/>
      <c r="L118" s="1358"/>
      <c r="M118" s="1358"/>
      <c r="N118" s="1358"/>
      <c r="O118" s="1171">
        <f t="shared" si="17"/>
        <v>8944</v>
      </c>
      <c r="P118" s="57"/>
    </row>
    <row r="119" spans="1:16" s="285" customFormat="1" ht="18" customHeight="1" x14ac:dyDescent="0.3">
      <c r="A119" s="61">
        <v>110</v>
      </c>
      <c r="B119" s="460"/>
      <c r="C119" s="1356"/>
      <c r="D119" s="1357"/>
      <c r="E119" s="683" t="s">
        <v>1250</v>
      </c>
      <c r="F119" s="1358"/>
      <c r="G119" s="1358"/>
      <c r="H119" s="1358">
        <f>SUM(H118)</f>
        <v>8944</v>
      </c>
      <c r="I119" s="1358"/>
      <c r="J119" s="1358"/>
      <c r="K119" s="1358"/>
      <c r="L119" s="1358"/>
      <c r="M119" s="1358"/>
      <c r="N119" s="1358"/>
      <c r="O119" s="328">
        <f t="shared" si="17"/>
        <v>8944</v>
      </c>
      <c r="P119" s="57"/>
    </row>
    <row r="120" spans="1:16" s="151" customFormat="1" ht="22.5" customHeight="1" x14ac:dyDescent="0.3">
      <c r="A120" s="61">
        <v>111</v>
      </c>
      <c r="B120" s="308">
        <v>14</v>
      </c>
      <c r="C120" s="309"/>
      <c r="D120" s="683" t="s">
        <v>526</v>
      </c>
      <c r="E120" s="683"/>
      <c r="F120" s="317"/>
      <c r="G120" s="317"/>
      <c r="H120" s="317"/>
      <c r="I120" s="317"/>
      <c r="J120" s="317"/>
      <c r="K120" s="317"/>
      <c r="L120" s="317"/>
      <c r="M120" s="317"/>
      <c r="N120" s="318"/>
      <c r="O120" s="319"/>
    </row>
    <row r="121" spans="1:16" s="807" customFormat="1" ht="18" customHeight="1" x14ac:dyDescent="0.3">
      <c r="A121" s="61">
        <v>112</v>
      </c>
      <c r="B121" s="797"/>
      <c r="C121" s="798"/>
      <c r="D121" s="799"/>
      <c r="E121" s="800" t="s">
        <v>308</v>
      </c>
      <c r="F121" s="819">
        <v>30270</v>
      </c>
      <c r="G121" s="819">
        <v>9000</v>
      </c>
      <c r="H121" s="819"/>
      <c r="I121" s="819"/>
      <c r="J121" s="819"/>
      <c r="K121" s="819"/>
      <c r="L121" s="819"/>
      <c r="M121" s="819">
        <v>90292</v>
      </c>
      <c r="N121" s="820">
        <v>49700</v>
      </c>
      <c r="O121" s="816">
        <f>SUM(F121:M121)</f>
        <v>129562</v>
      </c>
    </row>
    <row r="122" spans="1:16" s="807" customFormat="1" ht="18" customHeight="1" x14ac:dyDescent="0.3">
      <c r="A122" s="61">
        <v>113</v>
      </c>
      <c r="B122" s="797"/>
      <c r="C122" s="798"/>
      <c r="D122" s="799"/>
      <c r="E122" s="683" t="s">
        <v>1158</v>
      </c>
      <c r="F122" s="1385">
        <v>15414</v>
      </c>
      <c r="G122" s="1385">
        <v>17465</v>
      </c>
      <c r="H122" s="1385">
        <v>1306</v>
      </c>
      <c r="I122" s="1385"/>
      <c r="J122" s="1385">
        <v>85</v>
      </c>
      <c r="K122" s="1385"/>
      <c r="L122" s="1385">
        <v>5245</v>
      </c>
      <c r="M122" s="1385">
        <v>107629</v>
      </c>
      <c r="N122" s="1402">
        <v>66565</v>
      </c>
      <c r="O122" s="328">
        <f>SUM(F122:M122)</f>
        <v>147144</v>
      </c>
    </row>
    <row r="123" spans="1:16" s="807" customFormat="1" ht="18" customHeight="1" x14ac:dyDescent="0.3">
      <c r="A123" s="61">
        <v>114</v>
      </c>
      <c r="B123" s="797"/>
      <c r="C123" s="798"/>
      <c r="D123" s="799"/>
      <c r="E123" s="1355" t="s">
        <v>1329</v>
      </c>
      <c r="F123" s="1385"/>
      <c r="G123" s="1385"/>
      <c r="H123" s="1385"/>
      <c r="I123" s="1385"/>
      <c r="J123" s="1385"/>
      <c r="K123" s="1385"/>
      <c r="L123" s="315">
        <v>1</v>
      </c>
      <c r="M123" s="315"/>
      <c r="N123" s="1402"/>
      <c r="O123" s="1171">
        <f>SUM(F123:M123)</f>
        <v>1</v>
      </c>
    </row>
    <row r="124" spans="1:16" s="284" customFormat="1" ht="18" customHeight="1" x14ac:dyDescent="0.3">
      <c r="A124" s="61">
        <v>115</v>
      </c>
      <c r="B124" s="1353"/>
      <c r="C124" s="1169"/>
      <c r="D124" s="1354"/>
      <c r="E124" s="1355"/>
      <c r="F124" s="157"/>
      <c r="G124" s="157"/>
      <c r="H124" s="157"/>
      <c r="I124" s="157"/>
      <c r="J124" s="157"/>
      <c r="K124" s="157"/>
      <c r="L124" s="157"/>
      <c r="M124" s="157"/>
      <c r="N124" s="157"/>
      <c r="O124" s="1171">
        <f>SUM(F124:M124)</f>
        <v>0</v>
      </c>
      <c r="P124" s="49"/>
    </row>
    <row r="125" spans="1:16" s="285" customFormat="1" ht="18" customHeight="1" x14ac:dyDescent="0.3">
      <c r="A125" s="61">
        <v>116</v>
      </c>
      <c r="B125" s="460"/>
      <c r="C125" s="1356"/>
      <c r="D125" s="1357"/>
      <c r="E125" s="683" t="s">
        <v>1250</v>
      </c>
      <c r="F125" s="1358">
        <f>SUM(F122:F124)</f>
        <v>15414</v>
      </c>
      <c r="G125" s="1358">
        <f>SUM(G122:G124)</f>
        <v>17465</v>
      </c>
      <c r="H125" s="1358">
        <f>SUM(H122:H124)</f>
        <v>1306</v>
      </c>
      <c r="I125" s="1358"/>
      <c r="J125" s="1358">
        <f>SUM(J122:J124)</f>
        <v>85</v>
      </c>
      <c r="K125" s="1358"/>
      <c r="L125" s="1358">
        <f>SUM(L122:L124)</f>
        <v>5246</v>
      </c>
      <c r="M125" s="1358">
        <f>SUM(M122:M124)</f>
        <v>107629</v>
      </c>
      <c r="N125" s="1358">
        <f>SUM(N122:N124)</f>
        <v>66565</v>
      </c>
      <c r="O125" s="328">
        <f>SUM(F125:M125)</f>
        <v>147145</v>
      </c>
      <c r="P125" s="57"/>
    </row>
    <row r="126" spans="1:16" s="284" customFormat="1" ht="18" customHeight="1" x14ac:dyDescent="0.3">
      <c r="A126" s="61">
        <v>117</v>
      </c>
      <c r="B126" s="312"/>
      <c r="C126" s="309">
        <v>1</v>
      </c>
      <c r="D126" s="2129" t="s">
        <v>152</v>
      </c>
      <c r="E126" s="2129"/>
      <c r="F126" s="120"/>
      <c r="G126" s="120"/>
      <c r="H126" s="120"/>
      <c r="I126" s="120"/>
      <c r="J126" s="120"/>
      <c r="K126" s="120"/>
      <c r="L126" s="120"/>
      <c r="M126" s="120"/>
      <c r="N126" s="157"/>
      <c r="O126" s="328"/>
      <c r="P126" s="49"/>
    </row>
    <row r="127" spans="1:16" s="825" customFormat="1" ht="18" customHeight="1" x14ac:dyDescent="0.3">
      <c r="A127" s="61">
        <v>118</v>
      </c>
      <c r="B127" s="809"/>
      <c r="C127" s="798"/>
      <c r="D127" s="799"/>
      <c r="E127" s="821" t="s">
        <v>308</v>
      </c>
      <c r="F127" s="801"/>
      <c r="G127" s="801">
        <v>2455</v>
      </c>
      <c r="H127" s="801"/>
      <c r="I127" s="801"/>
      <c r="J127" s="801"/>
      <c r="K127" s="801"/>
      <c r="L127" s="801"/>
      <c r="M127" s="801"/>
      <c r="N127" s="802"/>
      <c r="O127" s="817">
        <f>SUM(F127:M127)</f>
        <v>2455</v>
      </c>
      <c r="P127" s="824"/>
    </row>
    <row r="128" spans="1:16" s="825" customFormat="1" ht="18" customHeight="1" x14ac:dyDescent="0.3">
      <c r="A128" s="61">
        <v>119</v>
      </c>
      <c r="B128" s="809"/>
      <c r="C128" s="798"/>
      <c r="D128" s="799"/>
      <c r="E128" s="683" t="s">
        <v>1158</v>
      </c>
      <c r="F128" s="801"/>
      <c r="G128" s="1358">
        <v>1064</v>
      </c>
      <c r="H128" s="801"/>
      <c r="I128" s="801"/>
      <c r="J128" s="801"/>
      <c r="K128" s="801"/>
      <c r="L128" s="801"/>
      <c r="M128" s="801"/>
      <c r="N128" s="802"/>
      <c r="O128" s="328">
        <f>SUM(F128:M128)</f>
        <v>1064</v>
      </c>
      <c r="P128" s="824"/>
    </row>
    <row r="129" spans="1:16" s="284" customFormat="1" ht="18" customHeight="1" x14ac:dyDescent="0.3">
      <c r="A129" s="61">
        <v>120</v>
      </c>
      <c r="B129" s="1353"/>
      <c r="C129" s="1169"/>
      <c r="D129" s="1354"/>
      <c r="E129" s="1355" t="s">
        <v>969</v>
      </c>
      <c r="F129" s="157"/>
      <c r="G129" s="157"/>
      <c r="H129" s="157"/>
      <c r="I129" s="157"/>
      <c r="J129" s="157"/>
      <c r="K129" s="157"/>
      <c r="L129" s="157"/>
      <c r="M129" s="157"/>
      <c r="N129" s="157"/>
      <c r="O129" s="1171">
        <f>SUM(F129:M129)</f>
        <v>0</v>
      </c>
      <c r="P129" s="49"/>
    </row>
    <row r="130" spans="1:16" s="285" customFormat="1" ht="18" customHeight="1" x14ac:dyDescent="0.3">
      <c r="A130" s="61">
        <v>121</v>
      </c>
      <c r="B130" s="460"/>
      <c r="C130" s="1356"/>
      <c r="D130" s="1357"/>
      <c r="E130" s="683" t="s">
        <v>1250</v>
      </c>
      <c r="F130" s="1358"/>
      <c r="G130" s="1358">
        <f>SUM(G128:G129)</f>
        <v>1064</v>
      </c>
      <c r="H130" s="1358"/>
      <c r="I130" s="1358"/>
      <c r="J130" s="1358"/>
      <c r="K130" s="1358"/>
      <c r="L130" s="1358"/>
      <c r="M130" s="1358"/>
      <c r="N130" s="1359"/>
      <c r="O130" s="328">
        <f>SUM(F130:M130)</f>
        <v>1064</v>
      </c>
      <c r="P130" s="57"/>
    </row>
    <row r="131" spans="1:16" s="284" customFormat="1" ht="29.25" customHeight="1" x14ac:dyDescent="0.3">
      <c r="A131" s="61">
        <v>122</v>
      </c>
      <c r="B131" s="312"/>
      <c r="C131" s="313">
        <v>2</v>
      </c>
      <c r="D131" s="2176" t="s">
        <v>529</v>
      </c>
      <c r="E131" s="2177"/>
      <c r="F131" s="120"/>
      <c r="G131" s="120"/>
      <c r="H131" s="120"/>
      <c r="I131" s="120"/>
      <c r="J131" s="120"/>
      <c r="K131" s="120"/>
      <c r="L131" s="120"/>
      <c r="M131" s="120"/>
      <c r="N131" s="157"/>
      <c r="O131" s="328"/>
      <c r="P131" s="49"/>
    </row>
    <row r="132" spans="1:16" s="825" customFormat="1" ht="18" customHeight="1" x14ac:dyDescent="0.3">
      <c r="A132" s="61">
        <v>123</v>
      </c>
      <c r="B132" s="809"/>
      <c r="C132" s="798"/>
      <c r="D132" s="799"/>
      <c r="E132" s="821" t="s">
        <v>308</v>
      </c>
      <c r="F132" s="801"/>
      <c r="G132" s="801"/>
      <c r="H132" s="801"/>
      <c r="I132" s="801"/>
      <c r="J132" s="801"/>
      <c r="K132" s="801"/>
      <c r="L132" s="801">
        <v>5725</v>
      </c>
      <c r="M132" s="801"/>
      <c r="N132" s="802"/>
      <c r="O132" s="817">
        <f>SUM(F132:M132)</f>
        <v>5725</v>
      </c>
      <c r="P132" s="824"/>
    </row>
    <row r="133" spans="1:16" s="825" customFormat="1" ht="18" customHeight="1" x14ac:dyDescent="0.3">
      <c r="A133" s="61">
        <v>124</v>
      </c>
      <c r="B133" s="809"/>
      <c r="C133" s="798"/>
      <c r="D133" s="799"/>
      <c r="E133" s="683" t="s">
        <v>1158</v>
      </c>
      <c r="F133" s="1358">
        <v>228</v>
      </c>
      <c r="G133" s="1358"/>
      <c r="H133" s="1358"/>
      <c r="I133" s="1358"/>
      <c r="J133" s="1358"/>
      <c r="K133" s="1358"/>
      <c r="L133" s="1358">
        <v>5124</v>
      </c>
      <c r="M133" s="1358"/>
      <c r="N133" s="1359"/>
      <c r="O133" s="328">
        <f>SUM(F133:M133)</f>
        <v>5352</v>
      </c>
      <c r="P133" s="824"/>
    </row>
    <row r="134" spans="1:16" s="284" customFormat="1" ht="18" customHeight="1" x14ac:dyDescent="0.3">
      <c r="A134" s="61">
        <v>125</v>
      </c>
      <c r="B134" s="1353"/>
      <c r="C134" s="1169"/>
      <c r="D134" s="1354"/>
      <c r="E134" s="1355" t="s">
        <v>947</v>
      </c>
      <c r="F134" s="157"/>
      <c r="G134" s="157"/>
      <c r="H134" s="157"/>
      <c r="I134" s="157"/>
      <c r="J134" s="157"/>
      <c r="K134" s="157"/>
      <c r="L134" s="157"/>
      <c r="M134" s="157"/>
      <c r="N134" s="157"/>
      <c r="O134" s="1171">
        <f>SUM(F134:M134)</f>
        <v>0</v>
      </c>
      <c r="P134" s="49"/>
    </row>
    <row r="135" spans="1:16" s="285" customFormat="1" ht="18" customHeight="1" x14ac:dyDescent="0.3">
      <c r="A135" s="61">
        <v>126</v>
      </c>
      <c r="B135" s="460"/>
      <c r="C135" s="1356"/>
      <c r="D135" s="1357"/>
      <c r="E135" s="683" t="s">
        <v>1250</v>
      </c>
      <c r="F135" s="1358">
        <f t="shared" ref="F135" si="20">SUM(F132:F134)</f>
        <v>228</v>
      </c>
      <c r="G135" s="1358"/>
      <c r="H135" s="1358"/>
      <c r="I135" s="1358"/>
      <c r="J135" s="1358"/>
      <c r="K135" s="1358"/>
      <c r="L135" s="1358">
        <f>SUM(L133:L134)</f>
        <v>5124</v>
      </c>
      <c r="M135" s="1358"/>
      <c r="N135" s="1359"/>
      <c r="O135" s="328">
        <f>SUM(F135:M135)</f>
        <v>5352</v>
      </c>
      <c r="P135" s="57"/>
    </row>
    <row r="136" spans="1:16" s="285" customFormat="1" ht="18" customHeight="1" x14ac:dyDescent="0.3">
      <c r="A136" s="61">
        <v>127</v>
      </c>
      <c r="B136" s="460"/>
      <c r="C136" s="309">
        <v>3</v>
      </c>
      <c r="D136" s="2176" t="s">
        <v>1180</v>
      </c>
      <c r="E136" s="2177"/>
      <c r="F136" s="1358"/>
      <c r="G136" s="1358"/>
      <c r="H136" s="1358"/>
      <c r="I136" s="1358"/>
      <c r="J136" s="1358"/>
      <c r="K136" s="1358"/>
      <c r="L136" s="1358"/>
      <c r="M136" s="1358"/>
      <c r="N136" s="1359"/>
      <c r="O136" s="328"/>
      <c r="P136" s="57"/>
    </row>
    <row r="137" spans="1:16" s="285" customFormat="1" ht="18" customHeight="1" x14ac:dyDescent="0.3">
      <c r="A137" s="61">
        <v>128</v>
      </c>
      <c r="B137" s="460"/>
      <c r="C137" s="1356"/>
      <c r="D137" s="1357"/>
      <c r="E137" s="1355" t="s">
        <v>947</v>
      </c>
      <c r="F137" s="1358"/>
      <c r="G137" s="1358"/>
      <c r="H137" s="157">
        <v>2602</v>
      </c>
      <c r="I137" s="1358"/>
      <c r="J137" s="1358"/>
      <c r="K137" s="1358"/>
      <c r="L137" s="1358"/>
      <c r="M137" s="1358"/>
      <c r="N137" s="1359"/>
      <c r="O137" s="2107">
        <f>SUM(F137:N137)</f>
        <v>2602</v>
      </c>
      <c r="P137" s="57"/>
    </row>
    <row r="138" spans="1:16" s="285" customFormat="1" ht="18" customHeight="1" x14ac:dyDescent="0.3">
      <c r="A138" s="61">
        <v>129</v>
      </c>
      <c r="B138" s="460"/>
      <c r="C138" s="1356"/>
      <c r="D138" s="1357"/>
      <c r="E138" s="683" t="s">
        <v>1250</v>
      </c>
      <c r="F138" s="1358"/>
      <c r="G138" s="1358"/>
      <c r="H138" s="1358">
        <f>SUM(H137)</f>
        <v>2602</v>
      </c>
      <c r="I138" s="1358"/>
      <c r="J138" s="1358"/>
      <c r="K138" s="1358"/>
      <c r="L138" s="1358"/>
      <c r="M138" s="1358"/>
      <c r="N138" s="1359"/>
      <c r="O138" s="328">
        <f>SUM(O137)</f>
        <v>2602</v>
      </c>
      <c r="P138" s="57"/>
    </row>
    <row r="139" spans="1:16" s="152" customFormat="1" ht="22.5" customHeight="1" x14ac:dyDescent="0.3">
      <c r="A139" s="61">
        <v>130</v>
      </c>
      <c r="B139" s="308">
        <v>15</v>
      </c>
      <c r="C139" s="309"/>
      <c r="D139" s="683" t="s">
        <v>157</v>
      </c>
      <c r="E139" s="686"/>
      <c r="F139" s="317"/>
      <c r="G139" s="317"/>
      <c r="H139" s="317"/>
      <c r="I139" s="317"/>
      <c r="J139" s="317"/>
      <c r="K139" s="317"/>
      <c r="L139" s="317"/>
      <c r="M139" s="317"/>
      <c r="N139" s="318"/>
      <c r="O139" s="319"/>
    </row>
    <row r="140" spans="1:16" s="806" customFormat="1" ht="18" customHeight="1" x14ac:dyDescent="0.3">
      <c r="A140" s="61">
        <v>131</v>
      </c>
      <c r="B140" s="797"/>
      <c r="C140" s="810"/>
      <c r="D140" s="811"/>
      <c r="E140" s="826" t="s">
        <v>308</v>
      </c>
      <c r="F140" s="827">
        <v>205000</v>
      </c>
      <c r="G140" s="827">
        <v>110000</v>
      </c>
      <c r="H140" s="827"/>
      <c r="I140" s="827"/>
      <c r="J140" s="827"/>
      <c r="K140" s="827"/>
      <c r="L140" s="827">
        <v>2000</v>
      </c>
      <c r="M140" s="827">
        <v>425553</v>
      </c>
      <c r="N140" s="828">
        <v>259100</v>
      </c>
      <c r="O140" s="818">
        <f t="shared" ref="O140:O142" si="21">SUM(F140:M140)</f>
        <v>742553</v>
      </c>
    </row>
    <row r="141" spans="1:16" s="806" customFormat="1" ht="18" customHeight="1" x14ac:dyDescent="0.3">
      <c r="A141" s="61">
        <v>132</v>
      </c>
      <c r="B141" s="797"/>
      <c r="C141" s="810"/>
      <c r="D141" s="811"/>
      <c r="E141" s="683" t="s">
        <v>1158</v>
      </c>
      <c r="F141" s="1423">
        <v>119897</v>
      </c>
      <c r="G141" s="1423">
        <v>61982</v>
      </c>
      <c r="H141" s="1423"/>
      <c r="I141" s="1423">
        <v>22</v>
      </c>
      <c r="J141" s="1423"/>
      <c r="K141" s="1423"/>
      <c r="L141" s="1423">
        <v>206939</v>
      </c>
      <c r="M141" s="1423">
        <v>547783</v>
      </c>
      <c r="N141" s="1800">
        <v>374191</v>
      </c>
      <c r="O141" s="328">
        <f t="shared" si="21"/>
        <v>936623</v>
      </c>
    </row>
    <row r="142" spans="1:16" s="284" customFormat="1" ht="18" customHeight="1" x14ac:dyDescent="0.3">
      <c r="A142" s="61">
        <v>133</v>
      </c>
      <c r="B142" s="1353"/>
      <c r="C142" s="1169"/>
      <c r="D142" s="1354"/>
      <c r="E142" s="1355" t="s">
        <v>1313</v>
      </c>
      <c r="F142" s="157">
        <v>2617</v>
      </c>
      <c r="G142" s="157"/>
      <c r="H142" s="157"/>
      <c r="I142" s="157"/>
      <c r="J142" s="157"/>
      <c r="K142" s="157"/>
      <c r="L142" s="157"/>
      <c r="M142" s="157"/>
      <c r="N142" s="157"/>
      <c r="O142" s="1171">
        <f t="shared" si="21"/>
        <v>2617</v>
      </c>
      <c r="P142" s="49"/>
    </row>
    <row r="143" spans="1:16" s="284" customFormat="1" ht="18" customHeight="1" x14ac:dyDescent="0.3">
      <c r="A143" s="61">
        <v>134</v>
      </c>
      <c r="B143" s="1353"/>
      <c r="C143" s="1169"/>
      <c r="D143" s="1354"/>
      <c r="E143" s="1355" t="s">
        <v>1314</v>
      </c>
      <c r="F143" s="157"/>
      <c r="G143" s="157">
        <v>31425</v>
      </c>
      <c r="H143" s="157"/>
      <c r="I143" s="157"/>
      <c r="J143" s="157"/>
      <c r="K143" s="157"/>
      <c r="L143" s="157"/>
      <c r="M143" s="157"/>
      <c r="N143" s="157"/>
      <c r="O143" s="1171">
        <f>SUM(F143:M143)</f>
        <v>31425</v>
      </c>
      <c r="P143" s="49"/>
    </row>
    <row r="144" spans="1:16" s="284" customFormat="1" ht="18" customHeight="1" x14ac:dyDescent="0.3">
      <c r="A144" s="61">
        <v>135</v>
      </c>
      <c r="B144" s="1353"/>
      <c r="C144" s="1169"/>
      <c r="D144" s="1354"/>
      <c r="E144" s="1355" t="s">
        <v>1330</v>
      </c>
      <c r="F144" s="157"/>
      <c r="G144" s="157"/>
      <c r="H144" s="157"/>
      <c r="I144" s="157"/>
      <c r="J144" s="157"/>
      <c r="K144" s="157"/>
      <c r="L144" s="157">
        <v>-1347</v>
      </c>
      <c r="M144" s="157"/>
      <c r="N144" s="157"/>
      <c r="O144" s="1171">
        <f>SUM(F144:M144)</f>
        <v>-1347</v>
      </c>
      <c r="P144" s="49"/>
    </row>
    <row r="145" spans="1:16" s="285" customFormat="1" ht="18" customHeight="1" thickBot="1" x14ac:dyDescent="0.35">
      <c r="A145" s="61">
        <v>136</v>
      </c>
      <c r="B145" s="460"/>
      <c r="C145" s="1356"/>
      <c r="D145" s="1357"/>
      <c r="E145" s="683" t="s">
        <v>1250</v>
      </c>
      <c r="F145" s="1358">
        <f>SUM(F141:F144)</f>
        <v>122514</v>
      </c>
      <c r="G145" s="1358">
        <f t="shared" ref="G145:I145" si="22">SUM(G141:G144)</f>
        <v>93407</v>
      </c>
      <c r="H145" s="1358"/>
      <c r="I145" s="1358">
        <f t="shared" si="22"/>
        <v>22</v>
      </c>
      <c r="J145" s="1358"/>
      <c r="K145" s="1358"/>
      <c r="L145" s="1358">
        <f t="shared" ref="L145" si="23">SUM(L141:L144)</f>
        <v>205592</v>
      </c>
      <c r="M145" s="1358">
        <f>SUM(M141:M144)</f>
        <v>547783</v>
      </c>
      <c r="N145" s="1358">
        <f t="shared" ref="N145" si="24">SUM(N141:N144)</f>
        <v>374191</v>
      </c>
      <c r="O145" s="328">
        <f>SUM(F145:M145)</f>
        <v>969318</v>
      </c>
      <c r="P145" s="57"/>
    </row>
    <row r="146" spans="1:16" s="152" customFormat="1" ht="22.5" customHeight="1" thickTop="1" x14ac:dyDescent="0.2">
      <c r="A146" s="61">
        <v>137</v>
      </c>
      <c r="B146" s="310"/>
      <c r="C146" s="2173" t="s">
        <v>658</v>
      </c>
      <c r="D146" s="2174"/>
      <c r="E146" s="2175"/>
      <c r="F146" s="795"/>
      <c r="G146" s="795"/>
      <c r="H146" s="795"/>
      <c r="I146" s="795"/>
      <c r="J146" s="795"/>
      <c r="K146" s="795"/>
      <c r="L146" s="795"/>
      <c r="M146" s="795"/>
      <c r="N146" s="795"/>
      <c r="O146" s="796"/>
    </row>
    <row r="147" spans="1:16" s="806" customFormat="1" ht="18" customHeight="1" x14ac:dyDescent="0.3">
      <c r="A147" s="61">
        <v>138</v>
      </c>
      <c r="B147" s="797"/>
      <c r="C147" s="810"/>
      <c r="D147" s="811"/>
      <c r="E147" s="826" t="s">
        <v>308</v>
      </c>
      <c r="F147" s="827">
        <f t="shared" ref="F147:N147" si="25">SUM(F79,F85,F90,F101,F107,F112,F121,F127,F132,F140)</f>
        <v>514800</v>
      </c>
      <c r="G147" s="827">
        <f t="shared" si="25"/>
        <v>232351</v>
      </c>
      <c r="H147" s="827">
        <f t="shared" si="25"/>
        <v>0</v>
      </c>
      <c r="I147" s="827">
        <f t="shared" si="25"/>
        <v>3000</v>
      </c>
      <c r="J147" s="827">
        <f t="shared" si="25"/>
        <v>4050</v>
      </c>
      <c r="K147" s="827">
        <f t="shared" si="25"/>
        <v>0</v>
      </c>
      <c r="L147" s="827">
        <f t="shared" si="25"/>
        <v>39732</v>
      </c>
      <c r="M147" s="827">
        <f t="shared" si="25"/>
        <v>1388395</v>
      </c>
      <c r="N147" s="828">
        <f t="shared" si="25"/>
        <v>720308</v>
      </c>
      <c r="O147" s="818">
        <f>SUM(F147:M147)</f>
        <v>2182328</v>
      </c>
    </row>
    <row r="148" spans="1:16" s="806" customFormat="1" ht="18" customHeight="1" x14ac:dyDescent="0.3">
      <c r="A148" s="61">
        <v>139</v>
      </c>
      <c r="B148" s="797"/>
      <c r="C148" s="810"/>
      <c r="D148" s="811"/>
      <c r="E148" s="683" t="s">
        <v>1158</v>
      </c>
      <c r="F148" s="1423">
        <f t="shared" ref="F148:N148" si="26">SUM(F80,F86,F91,F102,F108,F113,F122,F128,F133,F141)+F97</f>
        <v>419189</v>
      </c>
      <c r="G148" s="1423">
        <f t="shared" si="26"/>
        <v>200919</v>
      </c>
      <c r="H148" s="1423">
        <f t="shared" si="26"/>
        <v>5219</v>
      </c>
      <c r="I148" s="1423">
        <f t="shared" si="26"/>
        <v>3222</v>
      </c>
      <c r="J148" s="1423">
        <f t="shared" si="26"/>
        <v>4385</v>
      </c>
      <c r="K148" s="1423">
        <f t="shared" si="26"/>
        <v>0</v>
      </c>
      <c r="L148" s="1423">
        <f t="shared" si="26"/>
        <v>357806</v>
      </c>
      <c r="M148" s="1423">
        <f t="shared" si="26"/>
        <v>1579706</v>
      </c>
      <c r="N148" s="1423">
        <f t="shared" si="26"/>
        <v>895607</v>
      </c>
      <c r="O148" s="1801">
        <f>SUM(F148:M148)</f>
        <v>2570446</v>
      </c>
    </row>
    <row r="149" spans="1:16" s="284" customFormat="1" ht="18" customHeight="1" x14ac:dyDescent="0.3">
      <c r="A149" s="61">
        <v>140</v>
      </c>
      <c r="B149" s="1353"/>
      <c r="C149" s="1169"/>
      <c r="D149" s="1354"/>
      <c r="E149" s="1355" t="s">
        <v>947</v>
      </c>
      <c r="F149" s="157">
        <f t="shared" ref="F149:N149" si="27">SUM(F81:F82,F87:F87,F92:F94,F103:F104,F109:F109,F114:F115,F123:F124,F129:F129,F134:F134,F142:F144,)+F98+F137+F118</f>
        <v>-310</v>
      </c>
      <c r="G149" s="157">
        <f t="shared" si="27"/>
        <v>44608</v>
      </c>
      <c r="H149" s="157">
        <f t="shared" si="27"/>
        <v>11546</v>
      </c>
      <c r="I149" s="157">
        <f t="shared" si="27"/>
        <v>0</v>
      </c>
      <c r="J149" s="157">
        <f t="shared" si="27"/>
        <v>0</v>
      </c>
      <c r="K149" s="157">
        <f t="shared" si="27"/>
        <v>0</v>
      </c>
      <c r="L149" s="157">
        <f t="shared" si="27"/>
        <v>-309</v>
      </c>
      <c r="M149" s="157">
        <f t="shared" si="27"/>
        <v>0</v>
      </c>
      <c r="N149" s="157">
        <f t="shared" si="27"/>
        <v>0</v>
      </c>
      <c r="O149" s="1171">
        <f>SUM(F149:M149)</f>
        <v>55535</v>
      </c>
      <c r="P149" s="49"/>
    </row>
    <row r="150" spans="1:16" s="285" customFormat="1" ht="18" customHeight="1" thickBot="1" x14ac:dyDescent="0.35">
      <c r="A150" s="61">
        <v>141</v>
      </c>
      <c r="B150" s="460"/>
      <c r="C150" s="1360"/>
      <c r="D150" s="1361"/>
      <c r="E150" s="1362" t="s">
        <v>1250</v>
      </c>
      <c r="F150" s="1363">
        <f>SUM(F148:F149)</f>
        <v>418879</v>
      </c>
      <c r="G150" s="1363">
        <f t="shared" ref="G150:N150" si="28">SUM(G148:G149)</f>
        <v>245527</v>
      </c>
      <c r="H150" s="1363">
        <f t="shared" si="28"/>
        <v>16765</v>
      </c>
      <c r="I150" s="1363">
        <f t="shared" si="28"/>
        <v>3222</v>
      </c>
      <c r="J150" s="1363">
        <f t="shared" si="28"/>
        <v>4385</v>
      </c>
      <c r="K150" s="1363">
        <f t="shared" si="28"/>
        <v>0</v>
      </c>
      <c r="L150" s="1363">
        <f t="shared" si="28"/>
        <v>357497</v>
      </c>
      <c r="M150" s="1363">
        <f t="shared" si="28"/>
        <v>1579706</v>
      </c>
      <c r="N150" s="1363">
        <f t="shared" si="28"/>
        <v>895607</v>
      </c>
      <c r="O150" s="1364">
        <f>SUM(F150:M150)</f>
        <v>2625981</v>
      </c>
      <c r="P150" s="57"/>
    </row>
    <row r="151" spans="1:16" ht="22.5" customHeight="1" thickTop="1" x14ac:dyDescent="0.3">
      <c r="A151" s="61">
        <v>142</v>
      </c>
      <c r="B151" s="322">
        <v>16</v>
      </c>
      <c r="C151" s="323"/>
      <c r="D151" s="684" t="s">
        <v>269</v>
      </c>
      <c r="E151" s="684"/>
      <c r="F151" s="333"/>
      <c r="G151" s="333"/>
      <c r="H151" s="333"/>
      <c r="I151" s="333"/>
      <c r="J151" s="333"/>
      <c r="K151" s="333"/>
      <c r="L151" s="333"/>
      <c r="M151" s="333"/>
      <c r="N151" s="334"/>
      <c r="O151" s="335"/>
      <c r="P151" s="48"/>
    </row>
    <row r="152" spans="1:16" s="825" customFormat="1" ht="18" customHeight="1" x14ac:dyDescent="0.3">
      <c r="A152" s="61">
        <v>143</v>
      </c>
      <c r="B152" s="833"/>
      <c r="C152" s="810"/>
      <c r="D152" s="811"/>
      <c r="E152" s="826" t="s">
        <v>308</v>
      </c>
      <c r="F152" s="827">
        <v>410302</v>
      </c>
      <c r="G152" s="827"/>
      <c r="H152" s="827"/>
      <c r="I152" s="827"/>
      <c r="J152" s="827"/>
      <c r="K152" s="827"/>
      <c r="L152" s="827"/>
      <c r="M152" s="827">
        <v>615157</v>
      </c>
      <c r="N152" s="828">
        <v>193026</v>
      </c>
      <c r="O152" s="818">
        <f>SUM(F152:M152)</f>
        <v>1025459</v>
      </c>
      <c r="P152" s="824"/>
    </row>
    <row r="153" spans="1:16" s="825" customFormat="1" ht="18" customHeight="1" x14ac:dyDescent="0.3">
      <c r="A153" s="61">
        <v>144</v>
      </c>
      <c r="B153" s="833"/>
      <c r="C153" s="810"/>
      <c r="D153" s="811"/>
      <c r="E153" s="683" t="s">
        <v>1158</v>
      </c>
      <c r="F153" s="1423">
        <v>340502</v>
      </c>
      <c r="G153" s="1423"/>
      <c r="H153" s="1423"/>
      <c r="I153" s="1423">
        <v>600</v>
      </c>
      <c r="J153" s="1423"/>
      <c r="K153" s="1423"/>
      <c r="L153" s="1423">
        <v>141340</v>
      </c>
      <c r="M153" s="1423">
        <v>500159</v>
      </c>
      <c r="N153" s="1800">
        <v>145261</v>
      </c>
      <c r="O153" s="328">
        <f>SUM(F153:M153)</f>
        <v>982601</v>
      </c>
      <c r="P153" s="824"/>
    </row>
    <row r="154" spans="1:16" s="284" customFormat="1" ht="18" customHeight="1" x14ac:dyDescent="0.3">
      <c r="A154" s="61">
        <v>145</v>
      </c>
      <c r="B154" s="1353"/>
      <c r="C154" s="1169"/>
      <c r="D154" s="1354"/>
      <c r="E154" s="1355" t="s">
        <v>1329</v>
      </c>
      <c r="F154" s="157"/>
      <c r="G154" s="157"/>
      <c r="H154" s="157"/>
      <c r="I154" s="157"/>
      <c r="J154" s="157"/>
      <c r="K154" s="157"/>
      <c r="L154" s="157">
        <v>3863</v>
      </c>
      <c r="M154" s="157"/>
      <c r="N154" s="157"/>
      <c r="O154" s="1171">
        <f>SUM(F154:M154)</f>
        <v>3863</v>
      </c>
      <c r="P154" s="49"/>
    </row>
    <row r="155" spans="1:16" s="285" customFormat="1" ht="18" customHeight="1" thickBot="1" x14ac:dyDescent="0.35">
      <c r="A155" s="61">
        <v>146</v>
      </c>
      <c r="B155" s="460"/>
      <c r="C155" s="1356"/>
      <c r="D155" s="1357"/>
      <c r="E155" s="683" t="s">
        <v>1250</v>
      </c>
      <c r="F155" s="1358">
        <f>SUM(F153:F154)</f>
        <v>340502</v>
      </c>
      <c r="G155" s="1358"/>
      <c r="H155" s="1358"/>
      <c r="I155" s="1358">
        <f>SUM(I153:I154)</f>
        <v>600</v>
      </c>
      <c r="J155" s="1358"/>
      <c r="K155" s="1358"/>
      <c r="L155" s="1358">
        <f>SUM(L153:L154)</f>
        <v>145203</v>
      </c>
      <c r="M155" s="1358">
        <f>SUM(M153:M154)</f>
        <v>500159</v>
      </c>
      <c r="N155" s="1358">
        <f>SUM(N153:N154)</f>
        <v>145261</v>
      </c>
      <c r="O155" s="328">
        <f>SUM(F155:M155)</f>
        <v>986464</v>
      </c>
      <c r="P155" s="57"/>
    </row>
    <row r="156" spans="1:16" s="284" customFormat="1" ht="36" customHeight="1" x14ac:dyDescent="0.2">
      <c r="A156" s="61">
        <v>147</v>
      </c>
      <c r="B156" s="2178" t="s">
        <v>158</v>
      </c>
      <c r="C156" s="2179"/>
      <c r="D156" s="2179"/>
      <c r="E156" s="2180"/>
      <c r="F156" s="829"/>
      <c r="G156" s="829"/>
      <c r="H156" s="829"/>
      <c r="I156" s="829"/>
      <c r="J156" s="829"/>
      <c r="K156" s="829"/>
      <c r="L156" s="829"/>
      <c r="M156" s="829"/>
      <c r="N156" s="830"/>
      <c r="O156" s="831"/>
      <c r="P156" s="49"/>
    </row>
    <row r="157" spans="1:16" s="825" customFormat="1" ht="18" customHeight="1" x14ac:dyDescent="0.3">
      <c r="A157" s="61">
        <v>148</v>
      </c>
      <c r="B157" s="833"/>
      <c r="C157" s="810"/>
      <c r="D157" s="811"/>
      <c r="E157" s="826" t="s">
        <v>308</v>
      </c>
      <c r="F157" s="827">
        <f t="shared" ref="F157:N157" si="29">SUM(F152,F147,F74,F53)</f>
        <v>1028612</v>
      </c>
      <c r="G157" s="827">
        <f t="shared" si="29"/>
        <v>236049</v>
      </c>
      <c r="H157" s="827">
        <f t="shared" si="29"/>
        <v>0</v>
      </c>
      <c r="I157" s="827">
        <f t="shared" si="29"/>
        <v>3000</v>
      </c>
      <c r="J157" s="827">
        <f t="shared" si="29"/>
        <v>4050</v>
      </c>
      <c r="K157" s="827">
        <f t="shared" si="29"/>
        <v>0</v>
      </c>
      <c r="L157" s="827">
        <f t="shared" si="29"/>
        <v>43922</v>
      </c>
      <c r="M157" s="827">
        <f t="shared" si="29"/>
        <v>5047379</v>
      </c>
      <c r="N157" s="828">
        <f t="shared" si="29"/>
        <v>3177125</v>
      </c>
      <c r="O157" s="818">
        <f>SUM(F157:M157)</f>
        <v>6363012</v>
      </c>
      <c r="P157" s="824"/>
    </row>
    <row r="158" spans="1:16" s="825" customFormat="1" ht="18" customHeight="1" x14ac:dyDescent="0.3">
      <c r="A158" s="61">
        <v>149</v>
      </c>
      <c r="B158" s="833"/>
      <c r="C158" s="810"/>
      <c r="D158" s="811"/>
      <c r="E158" s="683" t="s">
        <v>1158</v>
      </c>
      <c r="F158" s="1423">
        <f t="shared" ref="F158:N158" si="30">SUM(F153,F148,F75,F54)</f>
        <v>838786</v>
      </c>
      <c r="G158" s="1423">
        <f t="shared" si="30"/>
        <v>213802</v>
      </c>
      <c r="H158" s="1423">
        <f t="shared" si="30"/>
        <v>5219</v>
      </c>
      <c r="I158" s="1423">
        <f t="shared" si="30"/>
        <v>5372</v>
      </c>
      <c r="J158" s="1423">
        <f t="shared" si="30"/>
        <v>4385</v>
      </c>
      <c r="K158" s="1423">
        <f t="shared" si="30"/>
        <v>0</v>
      </c>
      <c r="L158" s="1423">
        <f t="shared" si="30"/>
        <v>689316</v>
      </c>
      <c r="M158" s="1423">
        <f t="shared" si="30"/>
        <v>5299531</v>
      </c>
      <c r="N158" s="1800">
        <f t="shared" si="30"/>
        <v>3503224</v>
      </c>
      <c r="O158" s="1801">
        <f>SUM(F158:M158)</f>
        <v>7056411</v>
      </c>
      <c r="P158" s="824"/>
    </row>
    <row r="159" spans="1:16" s="284" customFormat="1" ht="18" customHeight="1" x14ac:dyDescent="0.3">
      <c r="A159" s="61">
        <v>150</v>
      </c>
      <c r="B159" s="1353"/>
      <c r="C159" s="1169"/>
      <c r="D159" s="1354"/>
      <c r="E159" s="1355" t="s">
        <v>947</v>
      </c>
      <c r="F159" s="157">
        <f t="shared" ref="F159:N159" si="31">SUM(F55,F76,F149,F154:F154)</f>
        <v>-910</v>
      </c>
      <c r="G159" s="157">
        <f t="shared" si="31"/>
        <v>44608</v>
      </c>
      <c r="H159" s="157">
        <f t="shared" si="31"/>
        <v>11546</v>
      </c>
      <c r="I159" s="157">
        <f t="shared" si="31"/>
        <v>0</v>
      </c>
      <c r="J159" s="157">
        <f t="shared" si="31"/>
        <v>0</v>
      </c>
      <c r="K159" s="157">
        <f t="shared" si="31"/>
        <v>0</v>
      </c>
      <c r="L159" s="157">
        <f t="shared" si="31"/>
        <v>525</v>
      </c>
      <c r="M159" s="157">
        <f t="shared" si="31"/>
        <v>0</v>
      </c>
      <c r="N159" s="157">
        <f t="shared" si="31"/>
        <v>0</v>
      </c>
      <c r="O159" s="1171">
        <f>SUM(F159:M159)</f>
        <v>55769</v>
      </c>
      <c r="P159" s="49"/>
    </row>
    <row r="160" spans="1:16" s="285" customFormat="1" ht="18" customHeight="1" thickBot="1" x14ac:dyDescent="0.35">
      <c r="A160" s="61">
        <v>151</v>
      </c>
      <c r="B160" s="1365"/>
      <c r="C160" s="1366"/>
      <c r="D160" s="1367"/>
      <c r="E160" s="1368" t="s">
        <v>1250</v>
      </c>
      <c r="F160" s="1369">
        <f>SUM(F158:F159)</f>
        <v>837876</v>
      </c>
      <c r="G160" s="1369">
        <f t="shared" ref="G160:N160" si="32">SUM(G158:G159)</f>
        <v>258410</v>
      </c>
      <c r="H160" s="1369">
        <f t="shared" si="32"/>
        <v>16765</v>
      </c>
      <c r="I160" s="1369">
        <f t="shared" si="32"/>
        <v>5372</v>
      </c>
      <c r="J160" s="1369">
        <f t="shared" si="32"/>
        <v>4385</v>
      </c>
      <c r="K160" s="1369">
        <f t="shared" si="32"/>
        <v>0</v>
      </c>
      <c r="L160" s="1369">
        <f t="shared" si="32"/>
        <v>689841</v>
      </c>
      <c r="M160" s="1369">
        <f t="shared" si="32"/>
        <v>5299531</v>
      </c>
      <c r="N160" s="1369">
        <f t="shared" si="32"/>
        <v>3503224</v>
      </c>
      <c r="O160" s="1370">
        <f>SUM(F160:M160)</f>
        <v>7112180</v>
      </c>
      <c r="P160" s="57"/>
    </row>
    <row r="161" spans="1:16" ht="22.5" customHeight="1" x14ac:dyDescent="0.3">
      <c r="A161" s="61">
        <v>152</v>
      </c>
      <c r="B161" s="322">
        <v>17</v>
      </c>
      <c r="C161" s="323"/>
      <c r="D161" s="1371" t="s">
        <v>159</v>
      </c>
      <c r="E161" s="1372"/>
      <c r="F161" s="1373"/>
      <c r="G161" s="685"/>
      <c r="H161" s="333"/>
      <c r="I161" s="333"/>
      <c r="J161" s="333"/>
      <c r="K161" s="333"/>
      <c r="L161" s="333"/>
      <c r="M161" s="333"/>
      <c r="N161" s="334"/>
      <c r="O161" s="335"/>
      <c r="P161" s="48"/>
    </row>
    <row r="162" spans="1:16" s="825" customFormat="1" ht="18" customHeight="1" x14ac:dyDescent="0.3">
      <c r="A162" s="61">
        <v>153</v>
      </c>
      <c r="B162" s="833"/>
      <c r="C162" s="810"/>
      <c r="D162" s="810"/>
      <c r="E162" s="834" t="s">
        <v>308</v>
      </c>
      <c r="F162" s="827"/>
      <c r="G162" s="827"/>
      <c r="H162" s="827"/>
      <c r="I162" s="827">
        <v>4543</v>
      </c>
      <c r="J162" s="827"/>
      <c r="K162" s="827"/>
      <c r="L162" s="827">
        <v>92459</v>
      </c>
      <c r="M162" s="827">
        <v>1578559</v>
      </c>
      <c r="N162" s="828"/>
      <c r="O162" s="818">
        <f t="shared" ref="O162:O170" si="33">SUM(F162:M162)</f>
        <v>1675561</v>
      </c>
      <c r="P162" s="824"/>
    </row>
    <row r="163" spans="1:16" s="825" customFormat="1" ht="18" customHeight="1" x14ac:dyDescent="0.3">
      <c r="A163" s="61">
        <v>154</v>
      </c>
      <c r="B163" s="833"/>
      <c r="C163" s="810"/>
      <c r="D163" s="811"/>
      <c r="E163" s="344" t="s">
        <v>1158</v>
      </c>
      <c r="F163" s="1423">
        <v>4543</v>
      </c>
      <c r="G163" s="1423">
        <v>47060</v>
      </c>
      <c r="H163" s="827"/>
      <c r="I163" s="1423">
        <v>0</v>
      </c>
      <c r="J163" s="1423"/>
      <c r="K163" s="1423"/>
      <c r="L163" s="1423">
        <v>384461</v>
      </c>
      <c r="M163" s="1423">
        <v>1509627</v>
      </c>
      <c r="N163" s="1800">
        <v>966</v>
      </c>
      <c r="O163" s="328">
        <f>SUM(F163:M163)</f>
        <v>1945691</v>
      </c>
      <c r="P163" s="824"/>
    </row>
    <row r="164" spans="1:16" s="284" customFormat="1" ht="18" customHeight="1" x14ac:dyDescent="0.3">
      <c r="A164" s="61">
        <v>155</v>
      </c>
      <c r="B164" s="1353"/>
      <c r="C164" s="1169"/>
      <c r="D164" s="1354"/>
      <c r="E164" s="1355" t="s">
        <v>1329</v>
      </c>
      <c r="F164" s="157"/>
      <c r="G164" s="157"/>
      <c r="H164" s="157"/>
      <c r="I164" s="157"/>
      <c r="J164" s="157"/>
      <c r="K164" s="157"/>
      <c r="L164" s="157">
        <v>61</v>
      </c>
      <c r="M164" s="157"/>
      <c r="N164" s="157"/>
      <c r="O164" s="1171">
        <f t="shared" si="33"/>
        <v>61</v>
      </c>
      <c r="P164" s="49"/>
    </row>
    <row r="165" spans="1:16" s="285" customFormat="1" ht="18" customHeight="1" thickBot="1" x14ac:dyDescent="0.35">
      <c r="A165" s="61">
        <v>156</v>
      </c>
      <c r="B165" s="460"/>
      <c r="C165" s="1356"/>
      <c r="D165" s="1357"/>
      <c r="E165" s="1407" t="s">
        <v>1250</v>
      </c>
      <c r="F165" s="1358">
        <f>SUM(F163:F164)</f>
        <v>4543</v>
      </c>
      <c r="G165" s="1358">
        <f>SUM(G163:G164)</f>
        <v>47060</v>
      </c>
      <c r="H165" s="1358"/>
      <c r="I165" s="1358"/>
      <c r="J165" s="1358"/>
      <c r="K165" s="1358"/>
      <c r="L165" s="1358">
        <f>SUM(L163:L164)</f>
        <v>384522</v>
      </c>
      <c r="M165" s="1358">
        <f>SUM(M163:M164)</f>
        <v>1509627</v>
      </c>
      <c r="N165" s="1358">
        <f>SUM(N163:N164)</f>
        <v>966</v>
      </c>
      <c r="O165" s="328">
        <f>SUM(F165:M165)</f>
        <v>1945752</v>
      </c>
      <c r="P165" s="57"/>
    </row>
    <row r="166" spans="1:16" s="284" customFormat="1" ht="36" customHeight="1" x14ac:dyDescent="0.2">
      <c r="A166" s="61">
        <v>157</v>
      </c>
      <c r="B166" s="2181" t="s">
        <v>13</v>
      </c>
      <c r="C166" s="2182"/>
      <c r="D166" s="2182"/>
      <c r="E166" s="2183"/>
      <c r="F166" s="459"/>
      <c r="G166" s="459"/>
      <c r="H166" s="459"/>
      <c r="I166" s="459"/>
      <c r="J166" s="459"/>
      <c r="K166" s="459"/>
      <c r="L166" s="459"/>
      <c r="M166" s="459"/>
      <c r="N166" s="832"/>
      <c r="O166" s="831"/>
      <c r="P166" s="49"/>
    </row>
    <row r="167" spans="1:16" s="825" customFormat="1" ht="18" customHeight="1" x14ac:dyDescent="0.3">
      <c r="A167" s="61">
        <v>158</v>
      </c>
      <c r="B167" s="833"/>
      <c r="C167" s="810"/>
      <c r="D167" s="810"/>
      <c r="E167" s="835" t="s">
        <v>308</v>
      </c>
      <c r="F167" s="827">
        <f t="shared" ref="F167:N167" si="34">SUM(F157,F162)</f>
        <v>1028612</v>
      </c>
      <c r="G167" s="827">
        <f t="shared" si="34"/>
        <v>236049</v>
      </c>
      <c r="H167" s="827">
        <f t="shared" si="34"/>
        <v>0</v>
      </c>
      <c r="I167" s="827">
        <f t="shared" si="34"/>
        <v>7543</v>
      </c>
      <c r="J167" s="827">
        <f t="shared" si="34"/>
        <v>4050</v>
      </c>
      <c r="K167" s="827">
        <f t="shared" si="34"/>
        <v>0</v>
      </c>
      <c r="L167" s="827">
        <f t="shared" si="34"/>
        <v>136381</v>
      </c>
      <c r="M167" s="827">
        <f t="shared" si="34"/>
        <v>6625938</v>
      </c>
      <c r="N167" s="828">
        <f t="shared" si="34"/>
        <v>3177125</v>
      </c>
      <c r="O167" s="818">
        <f t="shared" si="33"/>
        <v>8038573</v>
      </c>
      <c r="P167" s="824"/>
    </row>
    <row r="168" spans="1:16" s="825" customFormat="1" ht="18" customHeight="1" x14ac:dyDescent="0.3">
      <c r="A168" s="61">
        <v>159</v>
      </c>
      <c r="B168" s="833"/>
      <c r="C168" s="810"/>
      <c r="D168" s="811"/>
      <c r="E168" s="344" t="s">
        <v>1158</v>
      </c>
      <c r="F168" s="1423">
        <f t="shared" ref="F168:N168" si="35">SUM(F158,F163)</f>
        <v>843329</v>
      </c>
      <c r="G168" s="1423">
        <f t="shared" si="35"/>
        <v>260862</v>
      </c>
      <c r="H168" s="1423">
        <f t="shared" si="35"/>
        <v>5219</v>
      </c>
      <c r="I168" s="1423">
        <f t="shared" si="35"/>
        <v>5372</v>
      </c>
      <c r="J168" s="1423">
        <f t="shared" si="35"/>
        <v>4385</v>
      </c>
      <c r="K168" s="1423">
        <f t="shared" si="35"/>
        <v>0</v>
      </c>
      <c r="L168" s="1423">
        <f t="shared" si="35"/>
        <v>1073777</v>
      </c>
      <c r="M168" s="1423">
        <f t="shared" si="35"/>
        <v>6809158</v>
      </c>
      <c r="N168" s="1800">
        <f t="shared" si="35"/>
        <v>3504190</v>
      </c>
      <c r="O168" s="1801">
        <f t="shared" si="33"/>
        <v>9002102</v>
      </c>
      <c r="P168" s="824"/>
    </row>
    <row r="169" spans="1:16" s="284" customFormat="1" ht="18" customHeight="1" x14ac:dyDescent="0.3">
      <c r="A169" s="61">
        <v>160</v>
      </c>
      <c r="B169" s="1353"/>
      <c r="C169" s="1169"/>
      <c r="D169" s="1354"/>
      <c r="E169" s="1381" t="s">
        <v>947</v>
      </c>
      <c r="F169" s="157">
        <f t="shared" ref="F169:N169" si="36">SUM(F159,F164:F164)</f>
        <v>-910</v>
      </c>
      <c r="G169" s="157">
        <f t="shared" si="36"/>
        <v>44608</v>
      </c>
      <c r="H169" s="157">
        <f t="shared" si="36"/>
        <v>11546</v>
      </c>
      <c r="I169" s="157">
        <f t="shared" si="36"/>
        <v>0</v>
      </c>
      <c r="J169" s="157">
        <f t="shared" si="36"/>
        <v>0</v>
      </c>
      <c r="K169" s="157">
        <f t="shared" si="36"/>
        <v>0</v>
      </c>
      <c r="L169" s="157">
        <f t="shared" si="36"/>
        <v>586</v>
      </c>
      <c r="M169" s="157">
        <f t="shared" si="36"/>
        <v>0</v>
      </c>
      <c r="N169" s="157">
        <f t="shared" si="36"/>
        <v>0</v>
      </c>
      <c r="O169" s="1171">
        <f>SUM(F169:M169)</f>
        <v>55830</v>
      </c>
      <c r="P169" s="49"/>
    </row>
    <row r="170" spans="1:16" s="285" customFormat="1" ht="18" customHeight="1" thickBot="1" x14ac:dyDescent="0.35">
      <c r="A170" s="61">
        <v>161</v>
      </c>
      <c r="B170" s="1365"/>
      <c r="C170" s="1366"/>
      <c r="D170" s="1367"/>
      <c r="E170" s="1407" t="s">
        <v>1250</v>
      </c>
      <c r="F170" s="1369">
        <f>SUM(F168:F169)</f>
        <v>842419</v>
      </c>
      <c r="G170" s="1369">
        <f t="shared" ref="G170:N170" si="37">SUM(G168:G169)</f>
        <v>305470</v>
      </c>
      <c r="H170" s="1369">
        <f t="shared" si="37"/>
        <v>16765</v>
      </c>
      <c r="I170" s="1369">
        <f t="shared" si="37"/>
        <v>5372</v>
      </c>
      <c r="J170" s="1369">
        <f t="shared" si="37"/>
        <v>4385</v>
      </c>
      <c r="K170" s="1369">
        <f t="shared" si="37"/>
        <v>0</v>
      </c>
      <c r="L170" s="1369">
        <f t="shared" si="37"/>
        <v>1074363</v>
      </c>
      <c r="M170" s="1369">
        <f t="shared" si="37"/>
        <v>6809158</v>
      </c>
      <c r="N170" s="1369">
        <f t="shared" si="37"/>
        <v>3504190</v>
      </c>
      <c r="O170" s="1370">
        <f t="shared" si="33"/>
        <v>9057932</v>
      </c>
      <c r="P170" s="57"/>
    </row>
    <row r="171" spans="1:16" s="1375" customFormat="1" x14ac:dyDescent="0.2">
      <c r="A171" s="1374"/>
      <c r="F171" s="1376"/>
      <c r="G171" s="1376"/>
      <c r="H171" s="1376"/>
      <c r="I171" s="1376"/>
      <c r="J171" s="1376"/>
      <c r="K171" s="1376"/>
      <c r="L171" s="1376"/>
      <c r="N171" s="1377"/>
      <c r="O171" s="1378"/>
    </row>
    <row r="172" spans="1:16" s="1375" customFormat="1" x14ac:dyDescent="0.2">
      <c r="A172" s="1374"/>
      <c r="F172" s="1379"/>
      <c r="G172" s="1376"/>
      <c r="N172" s="1377"/>
      <c r="O172" s="1378"/>
    </row>
    <row r="173" spans="1:16" x14ac:dyDescent="0.2">
      <c r="F173" s="613"/>
    </row>
    <row r="174" spans="1:16" x14ac:dyDescent="0.2">
      <c r="G174" s="613"/>
    </row>
  </sheetData>
  <mergeCells count="23">
    <mergeCell ref="D131:E131"/>
    <mergeCell ref="C146:E146"/>
    <mergeCell ref="B156:E156"/>
    <mergeCell ref="B166:E166"/>
    <mergeCell ref="L8:L9"/>
    <mergeCell ref="B8:B9"/>
    <mergeCell ref="C73:E73"/>
    <mergeCell ref="C8:C9"/>
    <mergeCell ref="D8:E9"/>
    <mergeCell ref="F8:H8"/>
    <mergeCell ref="I8:K8"/>
    <mergeCell ref="D136:E136"/>
    <mergeCell ref="D117:E117"/>
    <mergeCell ref="D7:E7"/>
    <mergeCell ref="M8:N8"/>
    <mergeCell ref="O8:O9"/>
    <mergeCell ref="D47:E47"/>
    <mergeCell ref="C52:E52"/>
    <mergeCell ref="B1:O1"/>
    <mergeCell ref="B2:O2"/>
    <mergeCell ref="B4:O4"/>
    <mergeCell ref="B5:O5"/>
    <mergeCell ref="N6:O6"/>
  </mergeCells>
  <printOptions horizontalCentered="1"/>
  <pageMargins left="0.19685039370078741" right="0.19685039370078741" top="0.59055118110236227" bottom="0.59055118110236227" header="0.31496062992125984" footer="0.31496062992125984"/>
  <pageSetup paperSize="9" scale="74" fitToHeight="0" orientation="landscape" verticalDpi="300" r:id="rId1"/>
  <headerFooter alignWithMargins="0">
    <oddFooter>&amp;C- &amp;P -</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J32"/>
  <sheetViews>
    <sheetView view="pageBreakPreview" zoomScaleNormal="100" zoomScaleSheetLayoutView="100" workbookViewId="0">
      <selection activeCell="B1" sqref="B1:H1"/>
    </sheetView>
  </sheetViews>
  <sheetFormatPr defaultColWidth="9.140625" defaultRowHeight="12.75" x14ac:dyDescent="0.2"/>
  <cols>
    <col min="1" max="1" width="3.7109375" style="144" customWidth="1"/>
    <col min="2" max="3" width="5.7109375" style="283" customWidth="1"/>
    <col min="4" max="4" width="58.7109375" style="283" customWidth="1"/>
    <col min="5" max="7" width="10.7109375" style="283" customWidth="1"/>
    <col min="8" max="8" width="13.7109375" style="283" customWidth="1"/>
    <col min="9" max="16384" width="9.140625" style="283"/>
  </cols>
  <sheetData>
    <row r="1" spans="1:8" ht="35.25" customHeight="1" x14ac:dyDescent="0.35">
      <c r="A1" s="1966"/>
      <c r="B1" s="2194" t="s">
        <v>1364</v>
      </c>
      <c r="C1" s="2194"/>
      <c r="D1" s="2194"/>
      <c r="E1" s="2194"/>
      <c r="F1" s="2194"/>
      <c r="G1" s="2194"/>
      <c r="H1" s="2194"/>
    </row>
    <row r="2" spans="1:8" s="295" customFormat="1" ht="18" customHeight="1" x14ac:dyDescent="0.3">
      <c r="A2" s="1966"/>
      <c r="B2" s="2195" t="s">
        <v>1154</v>
      </c>
      <c r="C2" s="2195"/>
      <c r="D2" s="2195"/>
      <c r="E2" s="2195"/>
      <c r="F2" s="2195"/>
      <c r="G2" s="2195"/>
      <c r="H2" s="2195"/>
    </row>
    <row r="3" spans="1:8" s="295" customFormat="1" ht="18" customHeight="1" x14ac:dyDescent="0.3">
      <c r="A3" s="1966"/>
      <c r="B3" s="1974"/>
      <c r="C3" s="1974"/>
      <c r="D3" s="1974"/>
      <c r="E3" s="1974"/>
      <c r="F3" s="1974"/>
      <c r="G3" s="1974"/>
      <c r="H3" s="1974"/>
    </row>
    <row r="4" spans="1:8" s="295" customFormat="1" ht="24.75" customHeight="1" x14ac:dyDescent="0.2">
      <c r="A4" s="61"/>
      <c r="B4" s="2165" t="s">
        <v>142</v>
      </c>
      <c r="C4" s="2165"/>
      <c r="D4" s="2165"/>
      <c r="E4" s="2165"/>
      <c r="F4" s="2165"/>
      <c r="G4" s="2165"/>
      <c r="H4" s="2165"/>
    </row>
    <row r="5" spans="1:8" s="295" customFormat="1" ht="24.75" customHeight="1" x14ac:dyDescent="0.2">
      <c r="A5" s="61"/>
      <c r="B5" s="2165" t="s">
        <v>1135</v>
      </c>
      <c r="C5" s="2165"/>
      <c r="D5" s="2165"/>
      <c r="E5" s="2165"/>
      <c r="F5" s="2165"/>
      <c r="G5" s="2165"/>
      <c r="H5" s="2165"/>
    </row>
    <row r="6" spans="1:8" ht="18" customHeight="1" x14ac:dyDescent="0.2">
      <c r="A6" s="61"/>
      <c r="B6" s="50"/>
      <c r="C6" s="48"/>
      <c r="D6" s="48"/>
      <c r="E6" s="48"/>
      <c r="F6" s="48"/>
      <c r="G6" s="48"/>
      <c r="H6" s="1039" t="s">
        <v>0</v>
      </c>
    </row>
    <row r="7" spans="1:8" s="61" customFormat="1" ht="18" customHeight="1" thickBot="1" x14ac:dyDescent="0.25">
      <c r="B7" s="61" t="s">
        <v>1</v>
      </c>
      <c r="C7" s="61" t="s">
        <v>3</v>
      </c>
      <c r="D7" s="61" t="s">
        <v>2</v>
      </c>
      <c r="E7" s="61" t="s">
        <v>4</v>
      </c>
      <c r="F7" s="61" t="s">
        <v>5</v>
      </c>
      <c r="G7" s="61" t="s">
        <v>15</v>
      </c>
      <c r="H7" s="61" t="s">
        <v>16</v>
      </c>
    </row>
    <row r="8" spans="1:8" s="50" customFormat="1" ht="30" customHeight="1" x14ac:dyDescent="0.2">
      <c r="A8" s="61"/>
      <c r="B8" s="2185" t="s">
        <v>18</v>
      </c>
      <c r="C8" s="2202" t="s">
        <v>19</v>
      </c>
      <c r="D8" s="2204" t="s">
        <v>6</v>
      </c>
      <c r="E8" s="2206" t="s">
        <v>627</v>
      </c>
      <c r="F8" s="2208" t="s">
        <v>628</v>
      </c>
      <c r="G8" s="2206" t="s">
        <v>877</v>
      </c>
      <c r="H8" s="2169" t="s">
        <v>629</v>
      </c>
    </row>
    <row r="9" spans="1:8" ht="60.75" customHeight="1" thickBot="1" x14ac:dyDescent="0.25">
      <c r="A9" s="61"/>
      <c r="B9" s="2186"/>
      <c r="C9" s="2203"/>
      <c r="D9" s="2205"/>
      <c r="E9" s="2207"/>
      <c r="F9" s="2209"/>
      <c r="G9" s="2207"/>
      <c r="H9" s="2170"/>
    </row>
    <row r="10" spans="1:8" ht="29.25" customHeight="1" x14ac:dyDescent="0.2">
      <c r="A10" s="61">
        <v>1</v>
      </c>
      <c r="B10" s="693">
        <v>1</v>
      </c>
      <c r="C10" s="339"/>
      <c r="D10" s="836" t="s">
        <v>414</v>
      </c>
      <c r="E10" s="324">
        <v>4241</v>
      </c>
      <c r="F10" s="324">
        <v>4458</v>
      </c>
      <c r="G10" s="324">
        <v>4440</v>
      </c>
      <c r="H10" s="332">
        <v>4940</v>
      </c>
    </row>
    <row r="11" spans="1:8" ht="30" customHeight="1" x14ac:dyDescent="0.2">
      <c r="A11" s="61">
        <v>2</v>
      </c>
      <c r="B11" s="689">
        <v>2</v>
      </c>
      <c r="C11" s="311"/>
      <c r="D11" s="836" t="s">
        <v>635</v>
      </c>
      <c r="E11" s="314">
        <v>8290</v>
      </c>
      <c r="F11" s="314">
        <v>10813</v>
      </c>
      <c r="G11" s="314">
        <v>8462</v>
      </c>
      <c r="H11" s="327">
        <v>7516</v>
      </c>
    </row>
    <row r="12" spans="1:8" ht="30" customHeight="1" x14ac:dyDescent="0.2">
      <c r="A12" s="61">
        <v>3</v>
      </c>
      <c r="B12" s="689">
        <v>3</v>
      </c>
      <c r="C12" s="311"/>
      <c r="D12" s="836" t="s">
        <v>636</v>
      </c>
      <c r="E12" s="314">
        <v>16663</v>
      </c>
      <c r="F12" s="314">
        <v>17490</v>
      </c>
      <c r="G12" s="314">
        <v>15398</v>
      </c>
      <c r="H12" s="327">
        <v>12581</v>
      </c>
    </row>
    <row r="13" spans="1:8" ht="30" customHeight="1" x14ac:dyDescent="0.2">
      <c r="A13" s="61">
        <v>4</v>
      </c>
      <c r="B13" s="689">
        <v>4</v>
      </c>
      <c r="C13" s="311"/>
      <c r="D13" s="836" t="s">
        <v>637</v>
      </c>
      <c r="E13" s="314">
        <v>12417</v>
      </c>
      <c r="F13" s="314">
        <v>13993</v>
      </c>
      <c r="G13" s="314">
        <v>10994</v>
      </c>
      <c r="H13" s="327">
        <v>8030</v>
      </c>
    </row>
    <row r="14" spans="1:8" ht="30" customHeight="1" x14ac:dyDescent="0.2">
      <c r="A14" s="61">
        <v>5</v>
      </c>
      <c r="B14" s="689">
        <v>5</v>
      </c>
      <c r="C14" s="311"/>
      <c r="D14" s="836" t="s">
        <v>638</v>
      </c>
      <c r="E14" s="314">
        <v>14656</v>
      </c>
      <c r="F14" s="314">
        <v>15663</v>
      </c>
      <c r="G14" s="314">
        <v>17279</v>
      </c>
      <c r="H14" s="327">
        <v>14535</v>
      </c>
    </row>
    <row r="15" spans="1:8" ht="30" customHeight="1" thickBot="1" x14ac:dyDescent="0.25">
      <c r="A15" s="61">
        <v>6</v>
      </c>
      <c r="B15" s="689">
        <v>6</v>
      </c>
      <c r="C15" s="336"/>
      <c r="D15" s="837" t="s">
        <v>415</v>
      </c>
      <c r="E15" s="337">
        <v>3862</v>
      </c>
      <c r="F15" s="337">
        <v>3794</v>
      </c>
      <c r="G15" s="337">
        <v>4464</v>
      </c>
      <c r="H15" s="338">
        <v>2968</v>
      </c>
    </row>
    <row r="16" spans="1:8" s="330" customFormat="1" ht="30" customHeight="1" thickBot="1" x14ac:dyDescent="0.25">
      <c r="A16" s="61">
        <v>7</v>
      </c>
      <c r="B16" s="690"/>
      <c r="C16" s="436"/>
      <c r="D16" s="839" t="s">
        <v>656</v>
      </c>
      <c r="E16" s="436">
        <f>SUM(E10:E15)</f>
        <v>60129</v>
      </c>
      <c r="F16" s="436">
        <f>SUM(F10:F15)</f>
        <v>66211</v>
      </c>
      <c r="G16" s="436">
        <f>SUM(G10:G15)</f>
        <v>61037</v>
      </c>
      <c r="H16" s="703">
        <f>SUM(H10:H15)</f>
        <v>50570</v>
      </c>
    </row>
    <row r="17" spans="1:10" ht="30" customHeight="1" x14ac:dyDescent="0.2">
      <c r="A17" s="61">
        <v>8</v>
      </c>
      <c r="B17" s="689">
        <v>7</v>
      </c>
      <c r="C17" s="339"/>
      <c r="D17" s="838" t="s">
        <v>386</v>
      </c>
      <c r="E17" s="324">
        <v>43118</v>
      </c>
      <c r="F17" s="324">
        <v>19344</v>
      </c>
      <c r="G17" s="324">
        <v>23407</v>
      </c>
      <c r="H17" s="332">
        <v>15700</v>
      </c>
    </row>
    <row r="18" spans="1:10" ht="30" customHeight="1" x14ac:dyDescent="0.2">
      <c r="A18" s="61">
        <v>9</v>
      </c>
      <c r="B18" s="689">
        <v>8</v>
      </c>
      <c r="C18" s="336"/>
      <c r="D18" s="836" t="s">
        <v>125</v>
      </c>
      <c r="E18" s="337">
        <v>15040</v>
      </c>
      <c r="F18" s="337">
        <v>13500</v>
      </c>
      <c r="G18" s="337">
        <v>15109</v>
      </c>
      <c r="H18" s="338">
        <v>10425</v>
      </c>
    </row>
    <row r="19" spans="1:10" ht="30" customHeight="1" thickBot="1" x14ac:dyDescent="0.25">
      <c r="A19" s="61">
        <v>10</v>
      </c>
      <c r="B19" s="689">
        <v>9</v>
      </c>
      <c r="C19" s="336"/>
      <c r="D19" s="837" t="s">
        <v>541</v>
      </c>
      <c r="E19" s="337"/>
      <c r="F19" s="337">
        <v>1800</v>
      </c>
      <c r="G19" s="337">
        <v>2909</v>
      </c>
      <c r="H19" s="338">
        <v>1800</v>
      </c>
    </row>
    <row r="20" spans="1:10" s="330" customFormat="1" ht="30" customHeight="1" thickBot="1" x14ac:dyDescent="0.25">
      <c r="A20" s="61">
        <v>11</v>
      </c>
      <c r="B20" s="690"/>
      <c r="C20" s="436"/>
      <c r="D20" s="839" t="s">
        <v>657</v>
      </c>
      <c r="E20" s="436">
        <f>SUM(E17:E19)</f>
        <v>58158</v>
      </c>
      <c r="F20" s="436">
        <f>SUM(F17:F19)</f>
        <v>34644</v>
      </c>
      <c r="G20" s="436">
        <f>SUM(G17:G19)</f>
        <v>41425</v>
      </c>
      <c r="H20" s="703">
        <f>SUM(H17:H19)</f>
        <v>27925</v>
      </c>
    </row>
    <row r="21" spans="1:10" ht="30" customHeight="1" x14ac:dyDescent="0.2">
      <c r="A21" s="61">
        <v>12</v>
      </c>
      <c r="B21" s="689">
        <v>10</v>
      </c>
      <c r="C21" s="339"/>
      <c r="D21" s="782" t="s">
        <v>543</v>
      </c>
      <c r="E21" s="324">
        <v>39591</v>
      </c>
      <c r="F21" s="324">
        <v>39584</v>
      </c>
      <c r="G21" s="324">
        <v>43824</v>
      </c>
      <c r="H21" s="332">
        <v>23539</v>
      </c>
    </row>
    <row r="22" spans="1:10" ht="30" customHeight="1" x14ac:dyDescent="0.2">
      <c r="A22" s="61">
        <v>13</v>
      </c>
      <c r="B22" s="691">
        <v>11</v>
      </c>
      <c r="C22" s="311"/>
      <c r="D22" s="779" t="s">
        <v>525</v>
      </c>
      <c r="E22" s="314">
        <v>4063</v>
      </c>
      <c r="F22" s="314">
        <v>7001</v>
      </c>
      <c r="G22" s="314">
        <v>8889</v>
      </c>
      <c r="H22" s="327">
        <v>5780</v>
      </c>
    </row>
    <row r="23" spans="1:10" ht="30" customHeight="1" x14ac:dyDescent="0.2">
      <c r="A23" s="61">
        <v>14</v>
      </c>
      <c r="B23" s="689">
        <v>12</v>
      </c>
      <c r="C23" s="311"/>
      <c r="D23" s="781" t="s">
        <v>25</v>
      </c>
      <c r="E23" s="314">
        <v>36291</v>
      </c>
      <c r="F23" s="314">
        <v>21200</v>
      </c>
      <c r="G23" s="314">
        <v>31157</v>
      </c>
      <c r="H23" s="327">
        <v>29249</v>
      </c>
    </row>
    <row r="24" spans="1:10" ht="30" customHeight="1" x14ac:dyDescent="0.2">
      <c r="A24" s="61">
        <v>15</v>
      </c>
      <c r="B24" s="689">
        <v>13</v>
      </c>
      <c r="C24" s="311"/>
      <c r="D24" s="781" t="s">
        <v>34</v>
      </c>
      <c r="E24" s="314">
        <v>129584</v>
      </c>
      <c r="F24" s="314">
        <f>113894+11447</f>
        <v>125341</v>
      </c>
      <c r="G24" s="314">
        <v>200194</v>
      </c>
      <c r="H24" s="327">
        <v>222155</v>
      </c>
    </row>
    <row r="25" spans="1:10" ht="30" customHeight="1" x14ac:dyDescent="0.2">
      <c r="A25" s="61">
        <v>16</v>
      </c>
      <c r="B25" s="689">
        <v>14</v>
      </c>
      <c r="C25" s="313"/>
      <c r="D25" s="779" t="s">
        <v>526</v>
      </c>
      <c r="E25" s="314">
        <v>29609</v>
      </c>
      <c r="F25" s="314">
        <v>33854</v>
      </c>
      <c r="G25" s="314">
        <v>25393</v>
      </c>
      <c r="H25" s="327">
        <f>15414+228</f>
        <v>15642</v>
      </c>
    </row>
    <row r="26" spans="1:10" ht="30" customHeight="1" thickBot="1" x14ac:dyDescent="0.25">
      <c r="A26" s="61">
        <v>17</v>
      </c>
      <c r="B26" s="689">
        <v>15</v>
      </c>
      <c r="C26" s="336"/>
      <c r="D26" s="780" t="s">
        <v>157</v>
      </c>
      <c r="E26" s="337">
        <v>273726</v>
      </c>
      <c r="F26" s="337">
        <v>203000</v>
      </c>
      <c r="G26" s="337">
        <v>303830</v>
      </c>
      <c r="H26" s="338">
        <v>122514</v>
      </c>
    </row>
    <row r="27" spans="1:10" s="330" customFormat="1" ht="30" customHeight="1" thickBot="1" x14ac:dyDescent="0.25">
      <c r="A27" s="61">
        <v>18</v>
      </c>
      <c r="B27" s="690"/>
      <c r="C27" s="436"/>
      <c r="D27" s="839" t="s">
        <v>658</v>
      </c>
      <c r="E27" s="436">
        <f>SUM(E21:E26)</f>
        <v>512864</v>
      </c>
      <c r="F27" s="436">
        <f>SUM(F21:F26)</f>
        <v>429980</v>
      </c>
      <c r="G27" s="436">
        <f>SUM(G21:G26)</f>
        <v>613287</v>
      </c>
      <c r="H27" s="703">
        <f>SUM(H21:H26)</f>
        <v>418879</v>
      </c>
    </row>
    <row r="28" spans="1:10" s="57" customFormat="1" ht="30" customHeight="1" thickBot="1" x14ac:dyDescent="0.25">
      <c r="A28" s="61">
        <v>19</v>
      </c>
      <c r="B28" s="694">
        <v>16</v>
      </c>
      <c r="C28" s="692"/>
      <c r="D28" s="840" t="s">
        <v>269</v>
      </c>
      <c r="E28" s="707">
        <v>362984</v>
      </c>
      <c r="F28" s="707">
        <v>379059</v>
      </c>
      <c r="G28" s="707">
        <v>386604</v>
      </c>
      <c r="H28" s="340">
        <v>340502</v>
      </c>
    </row>
    <row r="29" spans="1:10" ht="33" customHeight="1" thickBot="1" x14ac:dyDescent="0.25">
      <c r="A29" s="61">
        <v>20</v>
      </c>
      <c r="B29" s="2196" t="s">
        <v>158</v>
      </c>
      <c r="C29" s="2197"/>
      <c r="D29" s="2198"/>
      <c r="E29" s="435">
        <f>SUM(E16,E20,E27,E28)</f>
        <v>994135</v>
      </c>
      <c r="F29" s="435">
        <f>SUM(F16,F20,F27,F28)</f>
        <v>909894</v>
      </c>
      <c r="G29" s="435">
        <f>SUM(G16,G20,G27,G28)</f>
        <v>1102353</v>
      </c>
      <c r="H29" s="341">
        <f>SUM(H16,H20,H27,H28)</f>
        <v>837876</v>
      </c>
      <c r="I29" s="48"/>
      <c r="J29" s="48"/>
    </row>
    <row r="30" spans="1:10" ht="33" customHeight="1" thickBot="1" x14ac:dyDescent="0.25">
      <c r="A30" s="61">
        <v>21</v>
      </c>
      <c r="B30" s="342">
        <v>17</v>
      </c>
      <c r="C30" s="695"/>
      <c r="D30" s="695" t="s">
        <v>159</v>
      </c>
      <c r="E30" s="707">
        <v>4845</v>
      </c>
      <c r="F30" s="707"/>
      <c r="G30" s="707">
        <v>9526</v>
      </c>
      <c r="H30" s="340">
        <v>4543</v>
      </c>
      <c r="I30" s="48"/>
      <c r="J30" s="48"/>
    </row>
    <row r="31" spans="1:10" ht="33" customHeight="1" thickTop="1" thickBot="1" x14ac:dyDescent="0.25">
      <c r="A31" s="61">
        <v>22</v>
      </c>
      <c r="B31" s="2199" t="s">
        <v>13</v>
      </c>
      <c r="C31" s="2200"/>
      <c r="D31" s="2201"/>
      <c r="E31" s="708">
        <f>SUM(E29,E30)</f>
        <v>998980</v>
      </c>
      <c r="F31" s="708">
        <f>SUM(F29,F30)</f>
        <v>909894</v>
      </c>
      <c r="G31" s="708">
        <f>SUM(G29,G30)</f>
        <v>1111879</v>
      </c>
      <c r="H31" s="343">
        <f>SUM(H29,H30)</f>
        <v>842419</v>
      </c>
      <c r="I31" s="48"/>
      <c r="J31" s="48"/>
    </row>
    <row r="32" spans="1:10" x14ac:dyDescent="0.2">
      <c r="E32" s="613">
        <f>+E31-'1.Onbe'!G32</f>
        <v>0</v>
      </c>
      <c r="F32" s="613">
        <f>+F31-'1.Onbe'!H32</f>
        <v>0</v>
      </c>
      <c r="G32" s="613">
        <f>+G31-'1.Onbe'!I32</f>
        <v>0</v>
      </c>
      <c r="H32" s="613">
        <f>H31-'1.Onbe'!M32</f>
        <v>0</v>
      </c>
    </row>
  </sheetData>
  <mergeCells count="13">
    <mergeCell ref="B1:H1"/>
    <mergeCell ref="B2:H2"/>
    <mergeCell ref="B29:D29"/>
    <mergeCell ref="B31:D31"/>
    <mergeCell ref="B4:H4"/>
    <mergeCell ref="B5:H5"/>
    <mergeCell ref="B8:B9"/>
    <mergeCell ref="C8:C9"/>
    <mergeCell ref="D8:D9"/>
    <mergeCell ref="E8:E9"/>
    <mergeCell ref="F8:F9"/>
    <mergeCell ref="G8:G9"/>
    <mergeCell ref="H8:H9"/>
  </mergeCells>
  <printOptions horizontalCentered="1"/>
  <pageMargins left="0.19685039370078741" right="0.19685039370078741" top="0.59055118110236227" bottom="0.59055118110236227" header="0.51181102362204722" footer="0.51181102362204722"/>
  <pageSetup paperSize="9" scale="85" fitToHeight="0" orientation="portrait" verticalDpi="300" r:id="rId1"/>
  <headerFooter alignWithMargins="0">
    <oddFooter>&amp;C- &amp;P -</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E336"/>
  <sheetViews>
    <sheetView view="pageBreakPreview" topLeftCell="B1" zoomScale="85" zoomScaleNormal="100" zoomScaleSheetLayoutView="85" workbookViewId="0">
      <selection activeCell="B1" sqref="B1:R1"/>
    </sheetView>
  </sheetViews>
  <sheetFormatPr defaultColWidth="9.140625" defaultRowHeight="15" x14ac:dyDescent="0.3"/>
  <cols>
    <col min="1" max="1" width="3.7109375" style="61" customWidth="1"/>
    <col min="2" max="2" width="5.5703125" style="62" customWidth="1"/>
    <col min="3" max="3" width="5.7109375" style="62" customWidth="1"/>
    <col min="4" max="4" width="4.7109375" style="62" customWidth="1"/>
    <col min="5" max="5" width="60.7109375" style="53" customWidth="1"/>
    <col min="6" max="6" width="6.7109375" style="288" customWidth="1"/>
    <col min="7" max="8" width="10.7109375" style="289" customWidth="1"/>
    <col min="9" max="9" width="10.7109375" style="1712" customWidth="1"/>
    <col min="10" max="10" width="13.7109375" style="155" customWidth="1"/>
    <col min="11" max="18" width="14.7109375" style="289" customWidth="1"/>
    <col min="19" max="19" width="9.5703125" style="289" bestFit="1" customWidth="1"/>
    <col min="20" max="31" width="9.140625" style="289"/>
    <col min="32" max="16384" width="9.140625" style="290"/>
  </cols>
  <sheetData>
    <row r="1" spans="1:31" ht="17.25" x14ac:dyDescent="0.35">
      <c r="A1" s="1968"/>
      <c r="B1" s="2210" t="s">
        <v>1365</v>
      </c>
      <c r="C1" s="2210"/>
      <c r="D1" s="2210"/>
      <c r="E1" s="2210"/>
      <c r="F1" s="2210"/>
      <c r="G1" s="2210"/>
      <c r="H1" s="2210"/>
      <c r="I1" s="2210"/>
      <c r="J1" s="2210"/>
      <c r="K1" s="2210"/>
      <c r="L1" s="2210"/>
      <c r="M1" s="2210"/>
      <c r="N1" s="2210"/>
      <c r="O1" s="2210"/>
      <c r="P1" s="2210"/>
      <c r="Q1" s="2210"/>
      <c r="R1" s="2210"/>
    </row>
    <row r="2" spans="1:31" s="704" customFormat="1" ht="18" customHeight="1" x14ac:dyDescent="0.3">
      <c r="A2" s="1968"/>
      <c r="B2" s="2195" t="s">
        <v>1147</v>
      </c>
      <c r="C2" s="2195"/>
      <c r="D2" s="2195"/>
      <c r="E2" s="2195"/>
      <c r="F2" s="2195"/>
      <c r="G2" s="2195"/>
      <c r="H2" s="2195"/>
      <c r="I2" s="2195"/>
      <c r="J2" s="2195"/>
      <c r="K2" s="2195"/>
      <c r="L2" s="2195"/>
      <c r="M2" s="2195"/>
      <c r="N2" s="2195"/>
      <c r="O2" s="2195"/>
      <c r="P2" s="2195"/>
      <c r="Q2" s="2195"/>
      <c r="R2" s="2195"/>
      <c r="S2" s="450"/>
      <c r="T2" s="450"/>
      <c r="U2" s="450"/>
      <c r="V2" s="450"/>
      <c r="W2" s="450"/>
      <c r="X2" s="450"/>
      <c r="Y2" s="450"/>
      <c r="Z2" s="450"/>
      <c r="AA2" s="450"/>
      <c r="AB2" s="450"/>
      <c r="AC2" s="450"/>
      <c r="AD2" s="450"/>
      <c r="AE2" s="450"/>
    </row>
    <row r="3" spans="1:31" s="704" customFormat="1" ht="18" customHeight="1" x14ac:dyDescent="0.3">
      <c r="A3" s="1968"/>
      <c r="B3" s="1974"/>
      <c r="C3" s="1974"/>
      <c r="D3" s="1974"/>
      <c r="E3" s="1974"/>
      <c r="F3" s="1974"/>
      <c r="G3" s="1974"/>
      <c r="H3" s="1974"/>
      <c r="I3" s="1974"/>
      <c r="J3" s="1974"/>
      <c r="K3" s="1974"/>
      <c r="L3" s="1974"/>
      <c r="M3" s="1974"/>
      <c r="N3" s="1974"/>
      <c r="O3" s="1974"/>
      <c r="P3" s="1974"/>
      <c r="Q3" s="1974"/>
      <c r="R3" s="1974"/>
      <c r="S3" s="450"/>
      <c r="T3" s="450"/>
      <c r="U3" s="450"/>
      <c r="V3" s="450"/>
      <c r="W3" s="450"/>
      <c r="X3" s="450"/>
      <c r="Y3" s="450"/>
      <c r="Z3" s="450"/>
      <c r="AA3" s="450"/>
      <c r="AB3" s="450"/>
      <c r="AC3" s="450"/>
      <c r="AD3" s="450"/>
      <c r="AE3" s="450"/>
    </row>
    <row r="4" spans="1:31" s="704" customFormat="1" ht="24.75" customHeight="1" x14ac:dyDescent="0.2">
      <c r="A4" s="61"/>
      <c r="B4" s="2165" t="s">
        <v>142</v>
      </c>
      <c r="C4" s="2165"/>
      <c r="D4" s="2165"/>
      <c r="E4" s="2165"/>
      <c r="F4" s="2165"/>
      <c r="G4" s="2165"/>
      <c r="H4" s="2165"/>
      <c r="I4" s="2165"/>
      <c r="J4" s="2165"/>
      <c r="K4" s="2165"/>
      <c r="L4" s="2165"/>
      <c r="M4" s="2165"/>
      <c r="N4" s="2165"/>
      <c r="O4" s="2165"/>
      <c r="P4" s="2165"/>
      <c r="Q4" s="2165"/>
      <c r="R4" s="2165"/>
      <c r="S4" s="450"/>
      <c r="T4" s="450"/>
      <c r="U4" s="450"/>
      <c r="V4" s="450"/>
      <c r="W4" s="450"/>
      <c r="X4" s="450"/>
      <c r="Y4" s="450"/>
      <c r="Z4" s="450"/>
      <c r="AA4" s="450"/>
      <c r="AB4" s="450"/>
      <c r="AC4" s="450"/>
      <c r="AD4" s="450"/>
      <c r="AE4" s="450"/>
    </row>
    <row r="5" spans="1:31" s="704" customFormat="1" ht="24.75" customHeight="1" x14ac:dyDescent="0.2">
      <c r="A5" s="61"/>
      <c r="B5" s="2165" t="s">
        <v>1134</v>
      </c>
      <c r="C5" s="2165"/>
      <c r="D5" s="2165"/>
      <c r="E5" s="2165"/>
      <c r="F5" s="2165"/>
      <c r="G5" s="2165"/>
      <c r="H5" s="2165"/>
      <c r="I5" s="2165"/>
      <c r="J5" s="2165"/>
      <c r="K5" s="2165"/>
      <c r="L5" s="2165"/>
      <c r="M5" s="2165"/>
      <c r="N5" s="2165"/>
      <c r="O5" s="2165"/>
      <c r="P5" s="2165"/>
      <c r="Q5" s="2165"/>
      <c r="R5" s="2165"/>
      <c r="S5" s="450"/>
      <c r="T5" s="450"/>
      <c r="U5" s="450"/>
      <c r="V5" s="450"/>
      <c r="W5" s="450"/>
      <c r="X5" s="450"/>
      <c r="Y5" s="450"/>
      <c r="Z5" s="450"/>
      <c r="AA5" s="450"/>
      <c r="AB5" s="450"/>
      <c r="AC5" s="450"/>
      <c r="AD5" s="450"/>
      <c r="AE5" s="450"/>
    </row>
    <row r="6" spans="1:31" ht="18" customHeight="1" x14ac:dyDescent="0.3">
      <c r="I6" s="289"/>
      <c r="Q6" s="2219" t="s">
        <v>0</v>
      </c>
      <c r="R6" s="2219"/>
    </row>
    <row r="7" spans="1:31" s="61" customFormat="1" ht="18" customHeight="1" thickBot="1" x14ac:dyDescent="0.25">
      <c r="B7" s="61" t="s">
        <v>1</v>
      </c>
      <c r="C7" s="61" t="s">
        <v>3</v>
      </c>
      <c r="D7" s="2167" t="s">
        <v>2</v>
      </c>
      <c r="E7" s="2167"/>
      <c r="F7" s="61" t="s">
        <v>4</v>
      </c>
      <c r="G7" s="61" t="s">
        <v>5</v>
      </c>
      <c r="H7" s="61" t="s">
        <v>15</v>
      </c>
      <c r="I7" s="61" t="s">
        <v>16</v>
      </c>
      <c r="J7" s="61" t="s">
        <v>17</v>
      </c>
      <c r="K7" s="61" t="s">
        <v>36</v>
      </c>
      <c r="L7" s="61" t="s">
        <v>30</v>
      </c>
      <c r="M7" s="61" t="s">
        <v>23</v>
      </c>
      <c r="N7" s="61" t="s">
        <v>37</v>
      </c>
      <c r="O7" s="61" t="s">
        <v>38</v>
      </c>
      <c r="P7" s="61" t="s">
        <v>160</v>
      </c>
      <c r="Q7" s="61" t="s">
        <v>161</v>
      </c>
      <c r="R7" s="61" t="s">
        <v>162</v>
      </c>
    </row>
    <row r="8" spans="1:31" s="288" customFormat="1" ht="30" customHeight="1" x14ac:dyDescent="0.3">
      <c r="A8" s="61"/>
      <c r="B8" s="2185" t="s">
        <v>18</v>
      </c>
      <c r="C8" s="2202" t="s">
        <v>19</v>
      </c>
      <c r="D8" s="2189" t="s">
        <v>6</v>
      </c>
      <c r="E8" s="2221"/>
      <c r="F8" s="2223" t="s">
        <v>20</v>
      </c>
      <c r="G8" s="2206" t="s">
        <v>630</v>
      </c>
      <c r="H8" s="2206" t="s">
        <v>628</v>
      </c>
      <c r="I8" s="2215" t="s">
        <v>877</v>
      </c>
      <c r="J8" s="2217" t="s">
        <v>632</v>
      </c>
      <c r="K8" s="2211" t="s">
        <v>39</v>
      </c>
      <c r="L8" s="2212"/>
      <c r="M8" s="2212"/>
      <c r="N8" s="2212"/>
      <c r="O8" s="2213"/>
      <c r="P8" s="2214" t="s">
        <v>163</v>
      </c>
      <c r="Q8" s="2214"/>
      <c r="R8" s="2214"/>
    </row>
    <row r="9" spans="1:31" s="288" customFormat="1" ht="60.75" customHeight="1" thickBot="1" x14ac:dyDescent="0.35">
      <c r="A9" s="61"/>
      <c r="B9" s="2186"/>
      <c r="C9" s="2220"/>
      <c r="D9" s="2191"/>
      <c r="E9" s="2222"/>
      <c r="F9" s="2224"/>
      <c r="G9" s="2207"/>
      <c r="H9" s="2207"/>
      <c r="I9" s="2216"/>
      <c r="J9" s="2218"/>
      <c r="K9" s="2127" t="s">
        <v>40</v>
      </c>
      <c r="L9" s="2127" t="s">
        <v>41</v>
      </c>
      <c r="M9" s="2127" t="s">
        <v>42</v>
      </c>
      <c r="N9" s="2127" t="s">
        <v>221</v>
      </c>
      <c r="O9" s="2127" t="s">
        <v>43</v>
      </c>
      <c r="P9" s="64" t="s">
        <v>229</v>
      </c>
      <c r="Q9" s="2127" t="s">
        <v>230</v>
      </c>
      <c r="R9" s="2127" t="s">
        <v>164</v>
      </c>
    </row>
    <row r="10" spans="1:31" s="54" customFormat="1" ht="22.5" customHeight="1" x14ac:dyDescent="0.3">
      <c r="A10" s="129">
        <v>1</v>
      </c>
      <c r="B10" s="322">
        <v>1</v>
      </c>
      <c r="C10" s="698"/>
      <c r="D10" s="346" t="s">
        <v>311</v>
      </c>
      <c r="E10" s="346"/>
      <c r="F10" s="454" t="s">
        <v>23</v>
      </c>
      <c r="G10" s="333">
        <v>206614</v>
      </c>
      <c r="H10" s="333">
        <v>209393</v>
      </c>
      <c r="I10" s="455">
        <v>212753</v>
      </c>
      <c r="J10" s="699"/>
      <c r="K10" s="333"/>
      <c r="L10" s="333"/>
      <c r="M10" s="333"/>
      <c r="N10" s="333"/>
      <c r="O10" s="333"/>
      <c r="P10" s="333"/>
      <c r="Q10" s="333"/>
      <c r="R10" s="357"/>
      <c r="S10" s="114"/>
      <c r="T10" s="114"/>
      <c r="U10" s="114"/>
      <c r="V10" s="114"/>
      <c r="W10" s="114"/>
      <c r="X10" s="114"/>
      <c r="Y10" s="114"/>
      <c r="Z10" s="114"/>
      <c r="AA10" s="114"/>
      <c r="AB10" s="114"/>
      <c r="AC10" s="114"/>
      <c r="AD10" s="114"/>
      <c r="AE10" s="114"/>
    </row>
    <row r="11" spans="1:31" s="54" customFormat="1" ht="18" customHeight="1" x14ac:dyDescent="0.3">
      <c r="A11" s="129">
        <v>2</v>
      </c>
      <c r="B11" s="308"/>
      <c r="C11" s="696"/>
      <c r="D11" s="452" t="s">
        <v>344</v>
      </c>
      <c r="E11" s="452"/>
      <c r="F11" s="120"/>
      <c r="G11" s="120"/>
      <c r="H11" s="120"/>
      <c r="I11" s="352"/>
      <c r="J11" s="354"/>
      <c r="K11" s="120"/>
      <c r="L11" s="120"/>
      <c r="M11" s="120"/>
      <c r="N11" s="120"/>
      <c r="O11" s="120"/>
      <c r="P11" s="120"/>
      <c r="Q11" s="120"/>
      <c r="R11" s="134"/>
      <c r="S11" s="114"/>
      <c r="T11" s="114"/>
      <c r="U11" s="114"/>
      <c r="V11" s="114"/>
      <c r="W11" s="114"/>
      <c r="X11" s="114"/>
      <c r="Y11" s="114"/>
      <c r="Z11" s="114"/>
      <c r="AA11" s="114"/>
      <c r="AB11" s="114"/>
      <c r="AC11" s="114"/>
      <c r="AD11" s="114"/>
      <c r="AE11" s="114"/>
    </row>
    <row r="12" spans="1:31" s="848" customFormat="1" ht="18" customHeight="1" x14ac:dyDescent="0.3">
      <c r="A12" s="129">
        <v>3</v>
      </c>
      <c r="B12" s="797"/>
      <c r="C12" s="841"/>
      <c r="D12" s="841"/>
      <c r="E12" s="842" t="s">
        <v>308</v>
      </c>
      <c r="F12" s="819"/>
      <c r="G12" s="819"/>
      <c r="H12" s="819"/>
      <c r="I12" s="843"/>
      <c r="J12" s="844">
        <f t="shared" ref="J12:J15" si="0">SUM(K12:R12)</f>
        <v>213625</v>
      </c>
      <c r="K12" s="845">
        <v>134372</v>
      </c>
      <c r="L12" s="845">
        <v>26600</v>
      </c>
      <c r="M12" s="845">
        <v>51943</v>
      </c>
      <c r="N12" s="845"/>
      <c r="O12" s="845"/>
      <c r="P12" s="845">
        <v>710</v>
      </c>
      <c r="Q12" s="845"/>
      <c r="R12" s="846"/>
      <c r="S12" s="847"/>
      <c r="T12" s="847"/>
      <c r="U12" s="847"/>
      <c r="V12" s="847"/>
      <c r="W12" s="847"/>
      <c r="X12" s="847"/>
      <c r="Y12" s="847"/>
      <c r="Z12" s="847"/>
      <c r="AA12" s="847"/>
      <c r="AB12" s="847"/>
      <c r="AC12" s="847"/>
      <c r="AD12" s="847"/>
      <c r="AE12" s="847"/>
    </row>
    <row r="13" spans="1:31" s="848" customFormat="1" ht="18" customHeight="1" x14ac:dyDescent="0.3">
      <c r="A13" s="129">
        <v>4</v>
      </c>
      <c r="B13" s="797"/>
      <c r="C13" s="841"/>
      <c r="D13" s="841"/>
      <c r="E13" s="683" t="s">
        <v>1158</v>
      </c>
      <c r="F13" s="1385"/>
      <c r="G13" s="1385"/>
      <c r="H13" s="1385"/>
      <c r="I13" s="1386"/>
      <c r="J13" s="354">
        <f t="shared" si="0"/>
        <v>220988</v>
      </c>
      <c r="K13" s="1387">
        <v>140799</v>
      </c>
      <c r="L13" s="1387">
        <v>28549</v>
      </c>
      <c r="M13" s="1387">
        <v>50010</v>
      </c>
      <c r="N13" s="1387"/>
      <c r="O13" s="1387"/>
      <c r="P13" s="1387">
        <v>1460</v>
      </c>
      <c r="Q13" s="1387">
        <v>170</v>
      </c>
      <c r="R13" s="1388"/>
      <c r="S13" s="847"/>
      <c r="T13" s="847"/>
      <c r="U13" s="847"/>
      <c r="V13" s="847"/>
      <c r="W13" s="847"/>
      <c r="X13" s="847"/>
      <c r="Y13" s="847"/>
      <c r="Z13" s="847"/>
      <c r="AA13" s="847"/>
      <c r="AB13" s="847"/>
      <c r="AC13" s="847"/>
      <c r="AD13" s="847"/>
      <c r="AE13" s="847"/>
    </row>
    <row r="14" spans="1:31" s="55" customFormat="1" ht="18" customHeight="1" x14ac:dyDescent="0.3">
      <c r="A14" s="129">
        <v>5</v>
      </c>
      <c r="B14" s="1353"/>
      <c r="C14" s="1380"/>
      <c r="D14" s="1380"/>
      <c r="E14" s="1355" t="s">
        <v>1328</v>
      </c>
      <c r="F14" s="315"/>
      <c r="G14" s="315"/>
      <c r="H14" s="315"/>
      <c r="I14" s="1382"/>
      <c r="J14" s="1383">
        <f t="shared" si="0"/>
        <v>-122</v>
      </c>
      <c r="K14" s="358"/>
      <c r="L14" s="358"/>
      <c r="M14" s="358">
        <v>-122</v>
      </c>
      <c r="N14" s="358"/>
      <c r="O14" s="358"/>
      <c r="P14" s="358"/>
      <c r="Q14" s="358"/>
      <c r="R14" s="359"/>
      <c r="S14" s="154"/>
      <c r="T14" s="154"/>
      <c r="U14" s="154"/>
      <c r="V14" s="154"/>
      <c r="W14" s="154"/>
      <c r="X14" s="154"/>
      <c r="Y14" s="154"/>
      <c r="Z14" s="154"/>
      <c r="AA14" s="154"/>
      <c r="AB14" s="154"/>
      <c r="AC14" s="154"/>
      <c r="AD14" s="154"/>
      <c r="AE14" s="154"/>
    </row>
    <row r="15" spans="1:31" s="58" customFormat="1" ht="18" customHeight="1" x14ac:dyDescent="0.3">
      <c r="A15" s="129">
        <v>6</v>
      </c>
      <c r="B15" s="460"/>
      <c r="C15" s="1384"/>
      <c r="D15" s="1384"/>
      <c r="E15" s="344" t="s">
        <v>1250</v>
      </c>
      <c r="F15" s="1385"/>
      <c r="G15" s="1385"/>
      <c r="H15" s="1385"/>
      <c r="I15" s="1386"/>
      <c r="J15" s="354">
        <f t="shared" si="0"/>
        <v>220866</v>
      </c>
      <c r="K15" s="1387">
        <f>SUM(K13:K14)</f>
        <v>140799</v>
      </c>
      <c r="L15" s="1387">
        <f>SUM(L13:L14)</f>
        <v>28549</v>
      </c>
      <c r="M15" s="1387">
        <f>SUM(M13:M14)</f>
        <v>49888</v>
      </c>
      <c r="N15" s="1387"/>
      <c r="O15" s="1387"/>
      <c r="P15" s="1387">
        <f>SUM(P13:P14)</f>
        <v>1460</v>
      </c>
      <c r="Q15" s="1387">
        <f>SUM(Q13:Q14)</f>
        <v>170</v>
      </c>
      <c r="R15" s="1388"/>
      <c r="S15" s="291"/>
      <c r="T15" s="291"/>
      <c r="U15" s="291"/>
      <c r="V15" s="291"/>
      <c r="W15" s="291"/>
      <c r="X15" s="291"/>
      <c r="Y15" s="291"/>
      <c r="Z15" s="291"/>
      <c r="AA15" s="291"/>
      <c r="AB15" s="291"/>
      <c r="AC15" s="291"/>
      <c r="AD15" s="291"/>
      <c r="AE15" s="291"/>
    </row>
    <row r="16" spans="1:31" s="58" customFormat="1" ht="22.5" customHeight="1" x14ac:dyDescent="0.3">
      <c r="A16" s="129">
        <v>7</v>
      </c>
      <c r="B16" s="308">
        <v>2</v>
      </c>
      <c r="C16" s="696"/>
      <c r="D16" s="344" t="s">
        <v>310</v>
      </c>
      <c r="E16" s="344"/>
      <c r="F16" s="453" t="s">
        <v>23</v>
      </c>
      <c r="G16" s="120">
        <v>351654</v>
      </c>
      <c r="H16" s="120">
        <v>356328</v>
      </c>
      <c r="I16" s="352">
        <v>358902</v>
      </c>
      <c r="J16" s="354"/>
      <c r="K16" s="120"/>
      <c r="L16" s="120"/>
      <c r="M16" s="120"/>
      <c r="N16" s="120"/>
      <c r="O16" s="120"/>
      <c r="P16" s="120"/>
      <c r="Q16" s="120"/>
      <c r="R16" s="134"/>
      <c r="S16" s="291"/>
      <c r="T16" s="291"/>
      <c r="U16" s="291"/>
      <c r="V16" s="291"/>
      <c r="W16" s="291"/>
      <c r="X16" s="291"/>
      <c r="Y16" s="291"/>
      <c r="Z16" s="291"/>
      <c r="AA16" s="291"/>
      <c r="AB16" s="291"/>
      <c r="AC16" s="291"/>
      <c r="AD16" s="291"/>
      <c r="AE16" s="291"/>
    </row>
    <row r="17" spans="1:31" s="54" customFormat="1" ht="18" customHeight="1" x14ac:dyDescent="0.3">
      <c r="A17" s="129">
        <v>8</v>
      </c>
      <c r="B17" s="308"/>
      <c r="C17" s="696"/>
      <c r="D17" s="452" t="s">
        <v>309</v>
      </c>
      <c r="E17" s="452"/>
      <c r="F17" s="120"/>
      <c r="G17" s="120"/>
      <c r="H17" s="120"/>
      <c r="I17" s="352"/>
      <c r="J17" s="354"/>
      <c r="K17" s="120"/>
      <c r="L17" s="120"/>
      <c r="M17" s="120"/>
      <c r="N17" s="120"/>
      <c r="O17" s="120"/>
      <c r="P17" s="120"/>
      <c r="Q17" s="120"/>
      <c r="R17" s="134"/>
      <c r="S17" s="114"/>
      <c r="T17" s="114"/>
      <c r="U17" s="114"/>
      <c r="V17" s="114"/>
      <c r="W17" s="114"/>
      <c r="X17" s="114"/>
      <c r="Y17" s="114"/>
      <c r="Z17" s="114"/>
      <c r="AA17" s="114"/>
      <c r="AB17" s="114"/>
      <c r="AC17" s="114"/>
      <c r="AD17" s="114"/>
      <c r="AE17" s="114"/>
    </row>
    <row r="18" spans="1:31" s="850" customFormat="1" ht="18" customHeight="1" x14ac:dyDescent="0.3">
      <c r="A18" s="129">
        <v>9</v>
      </c>
      <c r="B18" s="797"/>
      <c r="C18" s="841"/>
      <c r="D18" s="841"/>
      <c r="E18" s="842" t="s">
        <v>308</v>
      </c>
      <c r="F18" s="819"/>
      <c r="G18" s="819"/>
      <c r="H18" s="819"/>
      <c r="I18" s="843"/>
      <c r="J18" s="844">
        <f t="shared" ref="J18:J20" si="1">SUM(K18:R18)</f>
        <v>367090</v>
      </c>
      <c r="K18" s="845">
        <v>241291</v>
      </c>
      <c r="L18" s="845">
        <v>48109</v>
      </c>
      <c r="M18" s="845">
        <v>76990</v>
      </c>
      <c r="N18" s="845"/>
      <c r="O18" s="845"/>
      <c r="P18" s="845">
        <v>700</v>
      </c>
      <c r="Q18" s="845"/>
      <c r="R18" s="846"/>
      <c r="S18" s="849"/>
      <c r="T18" s="849"/>
      <c r="U18" s="849"/>
      <c r="V18" s="849"/>
      <c r="W18" s="849"/>
      <c r="X18" s="849"/>
      <c r="Y18" s="849"/>
      <c r="Z18" s="849"/>
      <c r="AA18" s="849"/>
      <c r="AB18" s="849"/>
      <c r="AC18" s="849"/>
      <c r="AD18" s="849"/>
      <c r="AE18" s="849"/>
    </row>
    <row r="19" spans="1:31" s="850" customFormat="1" ht="18" customHeight="1" x14ac:dyDescent="0.3">
      <c r="A19" s="129">
        <v>10</v>
      </c>
      <c r="B19" s="797"/>
      <c r="C19" s="841"/>
      <c r="D19" s="841"/>
      <c r="E19" s="683" t="s">
        <v>1158</v>
      </c>
      <c r="F19" s="819"/>
      <c r="G19" s="819"/>
      <c r="H19" s="819"/>
      <c r="I19" s="843"/>
      <c r="J19" s="354">
        <f t="shared" si="1"/>
        <v>399461</v>
      </c>
      <c r="K19" s="1387">
        <v>252387</v>
      </c>
      <c r="L19" s="1387">
        <v>50549</v>
      </c>
      <c r="M19" s="1387">
        <v>79511</v>
      </c>
      <c r="N19" s="1387"/>
      <c r="O19" s="1387"/>
      <c r="P19" s="1387">
        <v>14067</v>
      </c>
      <c r="Q19" s="1387">
        <v>2947</v>
      </c>
      <c r="R19" s="846"/>
      <c r="S19" s="849"/>
      <c r="T19" s="849"/>
      <c r="U19" s="849"/>
      <c r="V19" s="849"/>
      <c r="W19" s="849"/>
      <c r="X19" s="849"/>
      <c r="Y19" s="849"/>
      <c r="Z19" s="849"/>
      <c r="AA19" s="849"/>
      <c r="AB19" s="849"/>
      <c r="AC19" s="849"/>
      <c r="AD19" s="849"/>
      <c r="AE19" s="849"/>
    </row>
    <row r="20" spans="1:31" s="850" customFormat="1" ht="18" customHeight="1" x14ac:dyDescent="0.3">
      <c r="A20" s="129">
        <v>11</v>
      </c>
      <c r="B20" s="797"/>
      <c r="C20" s="841"/>
      <c r="D20" s="841"/>
      <c r="E20" s="1355" t="s">
        <v>1328</v>
      </c>
      <c r="F20" s="819"/>
      <c r="G20" s="819"/>
      <c r="H20" s="819"/>
      <c r="I20" s="843"/>
      <c r="J20" s="1383">
        <f t="shared" si="1"/>
        <v>-185</v>
      </c>
      <c r="K20" s="358"/>
      <c r="L20" s="358"/>
      <c r="M20" s="1387">
        <v>-185</v>
      </c>
      <c r="N20" s="1387"/>
      <c r="O20" s="1387"/>
      <c r="P20" s="1387"/>
      <c r="Q20" s="1387"/>
      <c r="R20" s="846"/>
      <c r="S20" s="849"/>
      <c r="T20" s="849"/>
      <c r="U20" s="849"/>
      <c r="V20" s="849"/>
      <c r="W20" s="849"/>
      <c r="X20" s="849"/>
      <c r="Y20" s="849"/>
      <c r="Z20" s="849"/>
      <c r="AA20" s="849"/>
      <c r="AB20" s="849"/>
      <c r="AC20" s="849"/>
      <c r="AD20" s="849"/>
      <c r="AE20" s="849"/>
    </row>
    <row r="21" spans="1:31" s="58" customFormat="1" ht="18" customHeight="1" x14ac:dyDescent="0.3">
      <c r="A21" s="129">
        <v>12</v>
      </c>
      <c r="B21" s="460"/>
      <c r="C21" s="1384"/>
      <c r="D21" s="1384"/>
      <c r="E21" s="344" t="s">
        <v>1250</v>
      </c>
      <c r="F21" s="1385"/>
      <c r="G21" s="1385"/>
      <c r="H21" s="1385"/>
      <c r="I21" s="1386"/>
      <c r="J21" s="354">
        <f>SUM(K21:R21)</f>
        <v>399276</v>
      </c>
      <c r="K21" s="1387">
        <f>SUM(K19:K20)</f>
        <v>252387</v>
      </c>
      <c r="L21" s="1387">
        <f>SUM(L19:L20)</f>
        <v>50549</v>
      </c>
      <c r="M21" s="1387">
        <f>SUM(M19:M20)</f>
        <v>79326</v>
      </c>
      <c r="N21" s="1387"/>
      <c r="O21" s="1387"/>
      <c r="P21" s="1387">
        <f>SUM(P19:P20)</f>
        <v>14067</v>
      </c>
      <c r="Q21" s="1387">
        <f>SUM(Q19:Q20)</f>
        <v>2947</v>
      </c>
      <c r="R21" s="1388"/>
      <c r="S21" s="291"/>
      <c r="T21" s="291"/>
      <c r="U21" s="291"/>
      <c r="V21" s="291"/>
      <c r="W21" s="291"/>
      <c r="X21" s="291"/>
      <c r="Y21" s="291"/>
      <c r="Z21" s="291"/>
      <c r="AA21" s="291"/>
      <c r="AB21" s="291"/>
      <c r="AC21" s="291"/>
      <c r="AD21" s="291"/>
      <c r="AE21" s="291"/>
    </row>
    <row r="22" spans="1:31" s="54" customFormat="1" ht="22.5" customHeight="1" x14ac:dyDescent="0.3">
      <c r="A22" s="129">
        <v>13</v>
      </c>
      <c r="B22" s="308">
        <v>3</v>
      </c>
      <c r="C22" s="696"/>
      <c r="D22" s="344" t="s">
        <v>265</v>
      </c>
      <c r="E22" s="344"/>
      <c r="F22" s="453" t="s">
        <v>23</v>
      </c>
      <c r="G22" s="120">
        <v>431588</v>
      </c>
      <c r="H22" s="120">
        <v>425240</v>
      </c>
      <c r="I22" s="352">
        <v>431030</v>
      </c>
      <c r="J22" s="354"/>
      <c r="K22" s="120"/>
      <c r="L22" s="120"/>
      <c r="M22" s="120"/>
      <c r="N22" s="120"/>
      <c r="O22" s="120"/>
      <c r="P22" s="120"/>
      <c r="Q22" s="120"/>
      <c r="R22" s="134"/>
      <c r="S22" s="114"/>
      <c r="T22" s="114"/>
      <c r="U22" s="114"/>
      <c r="V22" s="114"/>
      <c r="W22" s="114"/>
      <c r="X22" s="114"/>
      <c r="Y22" s="114"/>
      <c r="Z22" s="114"/>
      <c r="AA22" s="114"/>
      <c r="AB22" s="114"/>
      <c r="AC22" s="114"/>
      <c r="AD22" s="114"/>
      <c r="AE22" s="114"/>
    </row>
    <row r="23" spans="1:31" s="51" customFormat="1" ht="18" customHeight="1" x14ac:dyDescent="0.3">
      <c r="A23" s="129">
        <v>14</v>
      </c>
      <c r="B23" s="308"/>
      <c r="C23" s="696"/>
      <c r="D23" s="452" t="s">
        <v>153</v>
      </c>
      <c r="E23" s="452"/>
      <c r="F23" s="120"/>
      <c r="G23" s="120"/>
      <c r="H23" s="120"/>
      <c r="I23" s="352"/>
      <c r="J23" s="354"/>
      <c r="K23" s="120"/>
      <c r="L23" s="120"/>
      <c r="M23" s="120"/>
      <c r="N23" s="120"/>
      <c r="O23" s="120"/>
      <c r="P23" s="120"/>
      <c r="Q23" s="120"/>
      <c r="R23" s="134"/>
      <c r="S23" s="60"/>
      <c r="T23" s="60"/>
      <c r="U23" s="60"/>
      <c r="V23" s="60"/>
      <c r="W23" s="60"/>
      <c r="X23" s="60"/>
      <c r="Y23" s="60"/>
      <c r="Z23" s="60"/>
      <c r="AA23" s="60"/>
      <c r="AB23" s="60"/>
      <c r="AC23" s="60"/>
      <c r="AD23" s="60"/>
      <c r="AE23" s="60"/>
    </row>
    <row r="24" spans="1:31" s="848" customFormat="1" ht="18" customHeight="1" x14ac:dyDescent="0.3">
      <c r="A24" s="129">
        <v>15</v>
      </c>
      <c r="B24" s="797"/>
      <c r="C24" s="841"/>
      <c r="D24" s="841"/>
      <c r="E24" s="842" t="s">
        <v>308</v>
      </c>
      <c r="F24" s="819"/>
      <c r="G24" s="819"/>
      <c r="H24" s="819"/>
      <c r="I24" s="843"/>
      <c r="J24" s="844">
        <f>SUM(K24:R24)</f>
        <v>428960</v>
      </c>
      <c r="K24" s="845">
        <v>291221</v>
      </c>
      <c r="L24" s="845">
        <v>57361</v>
      </c>
      <c r="M24" s="845">
        <v>80378</v>
      </c>
      <c r="N24" s="845"/>
      <c r="O24" s="845"/>
      <c r="P24" s="845"/>
      <c r="Q24" s="845"/>
      <c r="R24" s="846"/>
      <c r="S24" s="847"/>
      <c r="T24" s="847"/>
      <c r="U24" s="847"/>
      <c r="V24" s="847"/>
      <c r="W24" s="847"/>
      <c r="X24" s="847"/>
      <c r="Y24" s="847"/>
      <c r="Z24" s="847"/>
      <c r="AA24" s="847"/>
      <c r="AB24" s="847"/>
      <c r="AC24" s="847"/>
      <c r="AD24" s="847"/>
      <c r="AE24" s="847"/>
    </row>
    <row r="25" spans="1:31" s="848" customFormat="1" ht="18" customHeight="1" x14ac:dyDescent="0.3">
      <c r="A25" s="129">
        <v>16</v>
      </c>
      <c r="B25" s="797"/>
      <c r="C25" s="841"/>
      <c r="D25" s="841"/>
      <c r="E25" s="683" t="s">
        <v>1158</v>
      </c>
      <c r="F25" s="819"/>
      <c r="G25" s="819"/>
      <c r="H25" s="819"/>
      <c r="I25" s="843"/>
      <c r="J25" s="354">
        <f>SUM(K25:R25)</f>
        <v>450520</v>
      </c>
      <c r="K25" s="1387">
        <v>304427</v>
      </c>
      <c r="L25" s="1387">
        <v>59375</v>
      </c>
      <c r="M25" s="1387">
        <v>84957</v>
      </c>
      <c r="N25" s="845"/>
      <c r="O25" s="845"/>
      <c r="P25" s="1387">
        <v>1761</v>
      </c>
      <c r="Q25" s="845"/>
      <c r="R25" s="846"/>
      <c r="S25" s="847"/>
      <c r="T25" s="847"/>
      <c r="U25" s="847"/>
      <c r="V25" s="847"/>
      <c r="W25" s="847"/>
      <c r="X25" s="847"/>
      <c r="Y25" s="847"/>
      <c r="Z25" s="847"/>
      <c r="AA25" s="847"/>
      <c r="AB25" s="847"/>
      <c r="AC25" s="847"/>
      <c r="AD25" s="847"/>
      <c r="AE25" s="847"/>
    </row>
    <row r="26" spans="1:31" s="55" customFormat="1" ht="18" customHeight="1" x14ac:dyDescent="0.3">
      <c r="A26" s="129">
        <v>17</v>
      </c>
      <c r="B26" s="1353"/>
      <c r="C26" s="1380"/>
      <c r="D26" s="1380"/>
      <c r="E26" s="1355" t="s">
        <v>1328</v>
      </c>
      <c r="F26" s="315"/>
      <c r="G26" s="315"/>
      <c r="H26" s="315"/>
      <c r="I26" s="1382"/>
      <c r="J26" s="1383">
        <f>SUM(K26:R26)</f>
        <v>252</v>
      </c>
      <c r="K26" s="358"/>
      <c r="L26" s="358"/>
      <c r="M26" s="358">
        <v>252</v>
      </c>
      <c r="N26" s="358"/>
      <c r="O26" s="358"/>
      <c r="P26" s="358"/>
      <c r="Q26" s="358"/>
      <c r="R26" s="359"/>
      <c r="S26" s="154"/>
      <c r="T26" s="154"/>
      <c r="U26" s="154"/>
      <c r="V26" s="154"/>
      <c r="W26" s="154"/>
      <c r="X26" s="154"/>
      <c r="Y26" s="154"/>
      <c r="Z26" s="154"/>
      <c r="AA26" s="154"/>
      <c r="AB26" s="154"/>
      <c r="AC26" s="154"/>
      <c r="AD26" s="154"/>
      <c r="AE26" s="154"/>
    </row>
    <row r="27" spans="1:31" s="58" customFormat="1" ht="18" customHeight="1" x14ac:dyDescent="0.3">
      <c r="A27" s="129">
        <v>18</v>
      </c>
      <c r="B27" s="460"/>
      <c r="C27" s="1384"/>
      <c r="D27" s="1384"/>
      <c r="E27" s="344" t="s">
        <v>1250</v>
      </c>
      <c r="F27" s="1385"/>
      <c r="G27" s="1385"/>
      <c r="H27" s="1385"/>
      <c r="I27" s="1386"/>
      <c r="J27" s="354">
        <f>SUM(K27:R27)</f>
        <v>450772</v>
      </c>
      <c r="K27" s="1387">
        <f>SUM(K25:K26)</f>
        <v>304427</v>
      </c>
      <c r="L27" s="1387">
        <f>SUM(L25:L26)</f>
        <v>59375</v>
      </c>
      <c r="M27" s="1387">
        <f>SUM(M25:M26)</f>
        <v>85209</v>
      </c>
      <c r="N27" s="1387"/>
      <c r="O27" s="1387"/>
      <c r="P27" s="1387">
        <f>SUM(P25:P26)</f>
        <v>1761</v>
      </c>
      <c r="Q27" s="1387"/>
      <c r="R27" s="1388"/>
      <c r="S27" s="291"/>
      <c r="T27" s="291"/>
      <c r="U27" s="291"/>
      <c r="V27" s="291"/>
      <c r="W27" s="291"/>
      <c r="X27" s="291"/>
      <c r="Y27" s="291"/>
      <c r="Z27" s="291"/>
      <c r="AA27" s="291"/>
      <c r="AB27" s="291"/>
      <c r="AC27" s="291"/>
      <c r="AD27" s="291"/>
      <c r="AE27" s="291"/>
    </row>
    <row r="28" spans="1:31" s="54" customFormat="1" ht="22.5" customHeight="1" x14ac:dyDescent="0.3">
      <c r="A28" s="129">
        <v>19</v>
      </c>
      <c r="B28" s="308">
        <v>4</v>
      </c>
      <c r="C28" s="696"/>
      <c r="D28" s="344" t="s">
        <v>266</v>
      </c>
      <c r="E28" s="344"/>
      <c r="F28" s="453" t="s">
        <v>23</v>
      </c>
      <c r="G28" s="120">
        <v>302390</v>
      </c>
      <c r="H28" s="120">
        <v>310528</v>
      </c>
      <c r="I28" s="352">
        <v>318994</v>
      </c>
      <c r="J28" s="354"/>
      <c r="K28" s="120"/>
      <c r="L28" s="120"/>
      <c r="M28" s="120"/>
      <c r="N28" s="120"/>
      <c r="O28" s="120"/>
      <c r="P28" s="120"/>
      <c r="Q28" s="120"/>
      <c r="R28" s="134"/>
      <c r="S28" s="114"/>
      <c r="T28" s="114"/>
      <c r="U28" s="114"/>
      <c r="V28" s="114"/>
      <c r="W28" s="114"/>
      <c r="X28" s="114"/>
      <c r="Y28" s="114"/>
      <c r="Z28" s="114"/>
      <c r="AA28" s="114"/>
      <c r="AB28" s="114"/>
      <c r="AC28" s="114"/>
      <c r="AD28" s="114"/>
      <c r="AE28" s="114"/>
    </row>
    <row r="29" spans="1:31" s="54" customFormat="1" ht="18" customHeight="1" x14ac:dyDescent="0.3">
      <c r="A29" s="129">
        <v>20</v>
      </c>
      <c r="B29" s="308"/>
      <c r="C29" s="696"/>
      <c r="D29" s="452" t="s">
        <v>154</v>
      </c>
      <c r="E29" s="452"/>
      <c r="F29" s="120"/>
      <c r="G29" s="120"/>
      <c r="H29" s="120"/>
      <c r="I29" s="352"/>
      <c r="J29" s="354"/>
      <c r="K29" s="120"/>
      <c r="L29" s="120"/>
      <c r="M29" s="120"/>
      <c r="N29" s="120"/>
      <c r="O29" s="120"/>
      <c r="P29" s="120"/>
      <c r="Q29" s="120"/>
      <c r="R29" s="134"/>
      <c r="S29" s="114"/>
      <c r="T29" s="114"/>
      <c r="U29" s="114"/>
      <c r="V29" s="114"/>
      <c r="W29" s="114"/>
      <c r="X29" s="114"/>
      <c r="Y29" s="114"/>
      <c r="Z29" s="114"/>
      <c r="AA29" s="114"/>
      <c r="AB29" s="114"/>
      <c r="AC29" s="114"/>
      <c r="AD29" s="114"/>
      <c r="AE29" s="114"/>
    </row>
    <row r="30" spans="1:31" s="848" customFormat="1" ht="18" customHeight="1" x14ac:dyDescent="0.3">
      <c r="A30" s="129">
        <v>21</v>
      </c>
      <c r="B30" s="797"/>
      <c r="C30" s="841"/>
      <c r="D30" s="841"/>
      <c r="E30" s="842" t="s">
        <v>308</v>
      </c>
      <c r="F30" s="819"/>
      <c r="G30" s="819"/>
      <c r="H30" s="819"/>
      <c r="I30" s="843"/>
      <c r="J30" s="844">
        <f>SUM(K30:R30)</f>
        <v>319512</v>
      </c>
      <c r="K30" s="845">
        <v>213322</v>
      </c>
      <c r="L30" s="845">
        <v>42437</v>
      </c>
      <c r="M30" s="845">
        <v>63753</v>
      </c>
      <c r="N30" s="845"/>
      <c r="O30" s="845"/>
      <c r="P30" s="845"/>
      <c r="Q30" s="845"/>
      <c r="R30" s="846"/>
      <c r="S30" s="847"/>
      <c r="T30" s="847"/>
      <c r="U30" s="847"/>
      <c r="V30" s="847"/>
      <c r="W30" s="847"/>
      <c r="X30" s="847"/>
      <c r="Y30" s="847"/>
      <c r="Z30" s="847"/>
      <c r="AA30" s="847"/>
      <c r="AB30" s="847"/>
      <c r="AC30" s="847"/>
      <c r="AD30" s="847"/>
      <c r="AE30" s="847"/>
    </row>
    <row r="31" spans="1:31" s="848" customFormat="1" ht="18" customHeight="1" x14ac:dyDescent="0.3">
      <c r="A31" s="129">
        <v>22</v>
      </c>
      <c r="B31" s="797"/>
      <c r="C31" s="841"/>
      <c r="D31" s="841"/>
      <c r="E31" s="683" t="s">
        <v>1158</v>
      </c>
      <c r="F31" s="819"/>
      <c r="G31" s="819"/>
      <c r="H31" s="819"/>
      <c r="I31" s="843"/>
      <c r="J31" s="354">
        <f>SUM(K31:R31)</f>
        <v>333725</v>
      </c>
      <c r="K31" s="1387">
        <v>233808</v>
      </c>
      <c r="L31" s="1387">
        <v>45629</v>
      </c>
      <c r="M31" s="1387">
        <v>53118</v>
      </c>
      <c r="N31" s="845"/>
      <c r="O31" s="845"/>
      <c r="P31" s="1387">
        <v>1170</v>
      </c>
      <c r="Q31" s="845"/>
      <c r="R31" s="846"/>
      <c r="S31" s="847"/>
      <c r="T31" s="847"/>
      <c r="U31" s="847"/>
      <c r="V31" s="847"/>
      <c r="W31" s="847"/>
      <c r="X31" s="847"/>
      <c r="Y31" s="847"/>
      <c r="Z31" s="847"/>
      <c r="AA31" s="847"/>
      <c r="AB31" s="847"/>
      <c r="AC31" s="847"/>
      <c r="AD31" s="847"/>
      <c r="AE31" s="847"/>
    </row>
    <row r="32" spans="1:31" s="848" customFormat="1" ht="18" customHeight="1" x14ac:dyDescent="0.3">
      <c r="A32" s="129">
        <v>23</v>
      </c>
      <c r="B32" s="797"/>
      <c r="C32" s="841"/>
      <c r="D32" s="841"/>
      <c r="E32" s="1355" t="s">
        <v>1328</v>
      </c>
      <c r="F32" s="819"/>
      <c r="G32" s="819"/>
      <c r="H32" s="819"/>
      <c r="I32" s="843"/>
      <c r="J32" s="1383">
        <f t="shared" ref="J32" si="2">SUM(K32:R32)</f>
        <v>-167</v>
      </c>
      <c r="K32" s="358"/>
      <c r="L32" s="358"/>
      <c r="M32" s="358">
        <v>-167</v>
      </c>
      <c r="N32" s="845"/>
      <c r="O32" s="845"/>
      <c r="P32" s="845"/>
      <c r="Q32" s="845"/>
      <c r="R32" s="846"/>
      <c r="S32" s="847"/>
      <c r="T32" s="847"/>
      <c r="U32" s="847"/>
      <c r="V32" s="847"/>
      <c r="W32" s="847"/>
      <c r="X32" s="847"/>
      <c r="Y32" s="847"/>
      <c r="Z32" s="847"/>
      <c r="AA32" s="847"/>
      <c r="AB32" s="847"/>
      <c r="AC32" s="847"/>
      <c r="AD32" s="847"/>
      <c r="AE32" s="847"/>
    </row>
    <row r="33" spans="1:31" s="58" customFormat="1" ht="18" customHeight="1" x14ac:dyDescent="0.3">
      <c r="A33" s="129">
        <v>24</v>
      </c>
      <c r="B33" s="460"/>
      <c r="C33" s="1384"/>
      <c r="D33" s="1384"/>
      <c r="E33" s="344" t="s">
        <v>1250</v>
      </c>
      <c r="F33" s="1385"/>
      <c r="G33" s="1385"/>
      <c r="H33" s="1385"/>
      <c r="I33" s="1386"/>
      <c r="J33" s="354">
        <f>SUM(K33:R33)</f>
        <v>333558</v>
      </c>
      <c r="K33" s="1387">
        <f>SUM(K31:K32)</f>
        <v>233808</v>
      </c>
      <c r="L33" s="1387">
        <f>SUM(L31:L32)</f>
        <v>45629</v>
      </c>
      <c r="M33" s="1387">
        <f>SUM(M31:M32)</f>
        <v>52951</v>
      </c>
      <c r="N33" s="1387"/>
      <c r="O33" s="1387"/>
      <c r="P33" s="1387">
        <f>SUM(P31:P32)</f>
        <v>1170</v>
      </c>
      <c r="Q33" s="1387"/>
      <c r="R33" s="1388"/>
      <c r="S33" s="291"/>
      <c r="T33" s="291"/>
      <c r="U33" s="291"/>
      <c r="V33" s="291"/>
      <c r="W33" s="291"/>
      <c r="X33" s="291"/>
      <c r="Y33" s="291"/>
      <c r="Z33" s="291"/>
      <c r="AA33" s="291"/>
      <c r="AB33" s="291"/>
      <c r="AC33" s="291"/>
      <c r="AD33" s="291"/>
      <c r="AE33" s="291"/>
    </row>
    <row r="34" spans="1:31" s="58" customFormat="1" ht="22.5" customHeight="1" x14ac:dyDescent="0.3">
      <c r="A34" s="129">
        <v>25</v>
      </c>
      <c r="B34" s="308">
        <v>5</v>
      </c>
      <c r="C34" s="696"/>
      <c r="D34" s="344" t="s">
        <v>267</v>
      </c>
      <c r="E34" s="344"/>
      <c r="F34" s="453" t="s">
        <v>23</v>
      </c>
      <c r="G34" s="120">
        <v>336173</v>
      </c>
      <c r="H34" s="120">
        <v>339061</v>
      </c>
      <c r="I34" s="352">
        <v>350092</v>
      </c>
      <c r="J34" s="354"/>
      <c r="K34" s="120"/>
      <c r="L34" s="120"/>
      <c r="M34" s="120"/>
      <c r="N34" s="347"/>
      <c r="O34" s="347"/>
      <c r="P34" s="347"/>
      <c r="Q34" s="347"/>
      <c r="R34" s="348"/>
      <c r="S34" s="291"/>
      <c r="T34" s="291"/>
      <c r="U34" s="291"/>
      <c r="V34" s="291"/>
      <c r="W34" s="291"/>
      <c r="X34" s="291"/>
      <c r="Y34" s="291"/>
      <c r="Z34" s="291"/>
      <c r="AA34" s="291"/>
      <c r="AB34" s="291"/>
      <c r="AC34" s="291"/>
      <c r="AD34" s="291"/>
      <c r="AE34" s="291"/>
    </row>
    <row r="35" spans="1:31" s="54" customFormat="1" ht="18" customHeight="1" x14ac:dyDescent="0.3">
      <c r="A35" s="129">
        <v>26</v>
      </c>
      <c r="B35" s="308"/>
      <c r="C35" s="696"/>
      <c r="D35" s="452" t="s">
        <v>155</v>
      </c>
      <c r="E35" s="452"/>
      <c r="F35" s="120"/>
      <c r="G35" s="120"/>
      <c r="H35" s="120"/>
      <c r="I35" s="352"/>
      <c r="J35" s="354"/>
      <c r="K35" s="120"/>
      <c r="L35" s="120"/>
      <c r="M35" s="120"/>
      <c r="N35" s="347"/>
      <c r="O35" s="347"/>
      <c r="P35" s="347"/>
      <c r="Q35" s="347"/>
      <c r="R35" s="348"/>
      <c r="S35" s="114"/>
      <c r="T35" s="114"/>
      <c r="U35" s="114"/>
      <c r="V35" s="114"/>
      <c r="W35" s="114"/>
      <c r="X35" s="114"/>
      <c r="Y35" s="114"/>
      <c r="Z35" s="114"/>
      <c r="AA35" s="114"/>
      <c r="AB35" s="114"/>
      <c r="AC35" s="114"/>
      <c r="AD35" s="114"/>
      <c r="AE35" s="114"/>
    </row>
    <row r="36" spans="1:31" s="850" customFormat="1" ht="18" customHeight="1" x14ac:dyDescent="0.3">
      <c r="A36" s="129">
        <v>27</v>
      </c>
      <c r="B36" s="797"/>
      <c r="C36" s="841"/>
      <c r="D36" s="841"/>
      <c r="E36" s="842" t="s">
        <v>308</v>
      </c>
      <c r="F36" s="819"/>
      <c r="G36" s="819"/>
      <c r="H36" s="819"/>
      <c r="I36" s="843"/>
      <c r="J36" s="844">
        <f>SUM(K36:R36)</f>
        <v>341538</v>
      </c>
      <c r="K36" s="845">
        <v>213361</v>
      </c>
      <c r="L36" s="845">
        <v>42331</v>
      </c>
      <c r="M36" s="845">
        <v>85846</v>
      </c>
      <c r="N36" s="845"/>
      <c r="O36" s="845"/>
      <c r="P36" s="845"/>
      <c r="Q36" s="845"/>
      <c r="R36" s="846"/>
      <c r="S36" s="849"/>
      <c r="T36" s="849"/>
      <c r="U36" s="849"/>
      <c r="V36" s="849"/>
      <c r="W36" s="849"/>
      <c r="X36" s="849"/>
      <c r="Y36" s="849"/>
      <c r="Z36" s="849"/>
      <c r="AA36" s="849"/>
      <c r="AB36" s="849"/>
      <c r="AC36" s="849"/>
      <c r="AD36" s="849"/>
      <c r="AE36" s="849"/>
    </row>
    <row r="37" spans="1:31" s="850" customFormat="1" ht="18" customHeight="1" x14ac:dyDescent="0.3">
      <c r="A37" s="129">
        <v>28</v>
      </c>
      <c r="B37" s="797"/>
      <c r="C37" s="841"/>
      <c r="D37" s="841"/>
      <c r="E37" s="683" t="s">
        <v>1158</v>
      </c>
      <c r="F37" s="819"/>
      <c r="G37" s="819"/>
      <c r="H37" s="819"/>
      <c r="I37" s="843"/>
      <c r="J37" s="354">
        <f>SUM(K37:R37)</f>
        <v>366712</v>
      </c>
      <c r="K37" s="1387">
        <v>237974</v>
      </c>
      <c r="L37" s="1387">
        <v>42389</v>
      </c>
      <c r="M37" s="1387">
        <v>84749</v>
      </c>
      <c r="N37" s="1387"/>
      <c r="O37" s="1387"/>
      <c r="P37" s="1387">
        <v>1600</v>
      </c>
      <c r="Q37" s="845"/>
      <c r="R37" s="846"/>
      <c r="S37" s="849"/>
      <c r="T37" s="849"/>
      <c r="U37" s="849"/>
      <c r="V37" s="849"/>
      <c r="W37" s="849"/>
      <c r="X37" s="849"/>
      <c r="Y37" s="849"/>
      <c r="Z37" s="849"/>
      <c r="AA37" s="849"/>
      <c r="AB37" s="849"/>
      <c r="AC37" s="849"/>
      <c r="AD37" s="849"/>
      <c r="AE37" s="849"/>
    </row>
    <row r="38" spans="1:31" s="55" customFormat="1" ht="18" customHeight="1" x14ac:dyDescent="0.3">
      <c r="A38" s="129">
        <v>29</v>
      </c>
      <c r="B38" s="1353"/>
      <c r="C38" s="1380"/>
      <c r="D38" s="1380"/>
      <c r="E38" s="1381" t="s">
        <v>970</v>
      </c>
      <c r="F38" s="315"/>
      <c r="G38" s="315"/>
      <c r="H38" s="315"/>
      <c r="I38" s="1382"/>
      <c r="J38" s="1383">
        <f>SUM(K38:R38)</f>
        <v>0</v>
      </c>
      <c r="K38" s="358"/>
      <c r="L38" s="358">
        <v>4700</v>
      </c>
      <c r="M38" s="358">
        <v>-4700</v>
      </c>
      <c r="N38" s="358"/>
      <c r="O38" s="358"/>
      <c r="P38" s="358"/>
      <c r="Q38" s="358"/>
      <c r="R38" s="359"/>
      <c r="S38" s="154"/>
      <c r="T38" s="154"/>
      <c r="U38" s="154"/>
      <c r="V38" s="154"/>
      <c r="W38" s="154"/>
      <c r="X38" s="154"/>
      <c r="Y38" s="154"/>
      <c r="Z38" s="154"/>
      <c r="AA38" s="154"/>
      <c r="AB38" s="154"/>
      <c r="AC38" s="154"/>
      <c r="AD38" s="154"/>
      <c r="AE38" s="154"/>
    </row>
    <row r="39" spans="1:31" s="55" customFormat="1" ht="18" customHeight="1" x14ac:dyDescent="0.3">
      <c r="A39" s="129">
        <v>30</v>
      </c>
      <c r="B39" s="1353"/>
      <c r="C39" s="1380"/>
      <c r="D39" s="1380"/>
      <c r="E39" s="1355" t="s">
        <v>1290</v>
      </c>
      <c r="F39" s="315"/>
      <c r="G39" s="315"/>
      <c r="H39" s="315"/>
      <c r="I39" s="1382"/>
      <c r="J39" s="1383">
        <f t="shared" ref="J39:J40" si="3">SUM(K39:R39)</f>
        <v>-600</v>
      </c>
      <c r="K39" s="358"/>
      <c r="L39" s="358"/>
      <c r="M39" s="358">
        <v>-600</v>
      </c>
      <c r="N39" s="358"/>
      <c r="O39" s="358"/>
      <c r="P39" s="358"/>
      <c r="Q39" s="358"/>
      <c r="R39" s="359"/>
      <c r="S39" s="154"/>
      <c r="T39" s="154"/>
      <c r="U39" s="154"/>
      <c r="V39" s="154"/>
      <c r="W39" s="154"/>
      <c r="X39" s="154"/>
      <c r="Y39" s="154"/>
      <c r="Z39" s="154"/>
      <c r="AA39" s="154"/>
      <c r="AB39" s="154"/>
      <c r="AC39" s="154"/>
      <c r="AD39" s="154"/>
      <c r="AE39" s="154"/>
    </row>
    <row r="40" spans="1:31" s="55" customFormat="1" ht="18" customHeight="1" x14ac:dyDescent="0.3">
      <c r="A40" s="129">
        <v>31</v>
      </c>
      <c r="B40" s="1353"/>
      <c r="C40" s="1380"/>
      <c r="D40" s="1380"/>
      <c r="E40" s="1355" t="s">
        <v>1327</v>
      </c>
      <c r="F40" s="315"/>
      <c r="G40" s="315"/>
      <c r="H40" s="315"/>
      <c r="I40" s="1382"/>
      <c r="J40" s="1383">
        <f t="shared" si="3"/>
        <v>-150</v>
      </c>
      <c r="K40" s="358"/>
      <c r="L40" s="358"/>
      <c r="M40" s="358">
        <v>-150</v>
      </c>
      <c r="N40" s="358"/>
      <c r="O40" s="358"/>
      <c r="P40" s="358"/>
      <c r="Q40" s="358"/>
      <c r="R40" s="359"/>
      <c r="S40" s="154"/>
      <c r="T40" s="154"/>
      <c r="U40" s="154"/>
      <c r="V40" s="154"/>
      <c r="W40" s="154"/>
      <c r="X40" s="154"/>
      <c r="Y40" s="154"/>
      <c r="Z40" s="154"/>
      <c r="AA40" s="154"/>
      <c r="AB40" s="154"/>
      <c r="AC40" s="154"/>
      <c r="AD40" s="154"/>
      <c r="AE40" s="154"/>
    </row>
    <row r="41" spans="1:31" s="58" customFormat="1" ht="18" customHeight="1" x14ac:dyDescent="0.3">
      <c r="A41" s="129">
        <v>32</v>
      </c>
      <c r="B41" s="460"/>
      <c r="C41" s="1384"/>
      <c r="D41" s="1384"/>
      <c r="E41" s="344" t="s">
        <v>1250</v>
      </c>
      <c r="F41" s="1385"/>
      <c r="G41" s="1385"/>
      <c r="H41" s="1385"/>
      <c r="I41" s="1386"/>
      <c r="J41" s="354">
        <f>SUM(K41:R41)</f>
        <v>365962</v>
      </c>
      <c r="K41" s="1387">
        <f>SUM(K37:K40)</f>
        <v>237974</v>
      </c>
      <c r="L41" s="1387">
        <f t="shared" ref="L41:P41" si="4">SUM(L37:L40)</f>
        <v>47089</v>
      </c>
      <c r="M41" s="1387">
        <f t="shared" si="4"/>
        <v>79299</v>
      </c>
      <c r="N41" s="1387"/>
      <c r="O41" s="1387"/>
      <c r="P41" s="1387">
        <f t="shared" si="4"/>
        <v>1600</v>
      </c>
      <c r="Q41" s="1387"/>
      <c r="R41" s="1388"/>
      <c r="S41" s="291"/>
      <c r="T41" s="291"/>
      <c r="U41" s="291"/>
      <c r="V41" s="291"/>
      <c r="W41" s="291"/>
      <c r="X41" s="291"/>
      <c r="Y41" s="291"/>
      <c r="Z41" s="291"/>
      <c r="AA41" s="291"/>
      <c r="AB41" s="291"/>
      <c r="AC41" s="291"/>
      <c r="AD41" s="291"/>
      <c r="AE41" s="291"/>
    </row>
    <row r="42" spans="1:31" s="55" customFormat="1" ht="22.5" customHeight="1" x14ac:dyDescent="0.3">
      <c r="A42" s="129">
        <v>33</v>
      </c>
      <c r="B42" s="308">
        <v>6</v>
      </c>
      <c r="C42" s="696"/>
      <c r="D42" s="344" t="s">
        <v>268</v>
      </c>
      <c r="E42" s="344"/>
      <c r="F42" s="453" t="s">
        <v>23</v>
      </c>
      <c r="G42" s="120">
        <v>156041</v>
      </c>
      <c r="H42" s="120">
        <v>165684</v>
      </c>
      <c r="I42" s="352">
        <v>168688</v>
      </c>
      <c r="J42" s="354"/>
      <c r="K42" s="120"/>
      <c r="L42" s="120"/>
      <c r="M42" s="120"/>
      <c r="N42" s="347"/>
      <c r="O42" s="347"/>
      <c r="P42" s="347"/>
      <c r="Q42" s="347"/>
      <c r="R42" s="348"/>
      <c r="S42" s="154"/>
      <c r="T42" s="154"/>
      <c r="U42" s="154"/>
      <c r="V42" s="154"/>
      <c r="W42" s="154"/>
      <c r="X42" s="154"/>
      <c r="Y42" s="154"/>
      <c r="Z42" s="154"/>
      <c r="AA42" s="154"/>
      <c r="AB42" s="154"/>
      <c r="AC42" s="154"/>
      <c r="AD42" s="154"/>
      <c r="AE42" s="154"/>
    </row>
    <row r="43" spans="1:31" s="58" customFormat="1" ht="18" customHeight="1" x14ac:dyDescent="0.3">
      <c r="A43" s="129">
        <v>34</v>
      </c>
      <c r="B43" s="308"/>
      <c r="C43" s="696"/>
      <c r="D43" s="2171" t="s">
        <v>156</v>
      </c>
      <c r="E43" s="2172"/>
      <c r="F43" s="120"/>
      <c r="G43" s="120"/>
      <c r="H43" s="120"/>
      <c r="I43" s="352"/>
      <c r="J43" s="354"/>
      <c r="K43" s="120"/>
      <c r="L43" s="120"/>
      <c r="M43" s="120"/>
      <c r="N43" s="347"/>
      <c r="O43" s="347"/>
      <c r="P43" s="347"/>
      <c r="Q43" s="347"/>
      <c r="R43" s="348"/>
      <c r="S43" s="291"/>
      <c r="T43" s="291"/>
      <c r="U43" s="291"/>
      <c r="V43" s="291"/>
      <c r="W43" s="291"/>
      <c r="X43" s="291"/>
      <c r="Y43" s="291"/>
      <c r="Z43" s="291"/>
      <c r="AA43" s="291"/>
      <c r="AB43" s="291"/>
      <c r="AC43" s="291"/>
      <c r="AD43" s="291"/>
      <c r="AE43" s="291"/>
    </row>
    <row r="44" spans="1:31" s="850" customFormat="1" ht="18" customHeight="1" x14ac:dyDescent="0.3">
      <c r="A44" s="129">
        <v>35</v>
      </c>
      <c r="B44" s="797"/>
      <c r="C44" s="841"/>
      <c r="D44" s="841"/>
      <c r="E44" s="842" t="s">
        <v>308</v>
      </c>
      <c r="F44" s="819"/>
      <c r="G44" s="819"/>
      <c r="H44" s="819"/>
      <c r="I44" s="843"/>
      <c r="J44" s="844">
        <f>SUM(K44:R44)</f>
        <v>172406</v>
      </c>
      <c r="K44" s="845">
        <v>113388</v>
      </c>
      <c r="L44" s="845">
        <v>22885</v>
      </c>
      <c r="M44" s="845">
        <v>36133</v>
      </c>
      <c r="N44" s="845"/>
      <c r="O44" s="845"/>
      <c r="P44" s="845"/>
      <c r="Q44" s="845"/>
      <c r="R44" s="846"/>
      <c r="S44" s="849"/>
      <c r="T44" s="849"/>
      <c r="U44" s="849"/>
      <c r="V44" s="849"/>
      <c r="W44" s="849"/>
      <c r="X44" s="849"/>
      <c r="Y44" s="849"/>
      <c r="Z44" s="849"/>
      <c r="AA44" s="849"/>
      <c r="AB44" s="849"/>
      <c r="AC44" s="849"/>
      <c r="AD44" s="849"/>
      <c r="AE44" s="849"/>
    </row>
    <row r="45" spans="1:31" s="850" customFormat="1" ht="18" customHeight="1" x14ac:dyDescent="0.3">
      <c r="A45" s="129">
        <v>36</v>
      </c>
      <c r="B45" s="797"/>
      <c r="C45" s="841"/>
      <c r="D45" s="841"/>
      <c r="E45" s="683" t="s">
        <v>1158</v>
      </c>
      <c r="F45" s="819"/>
      <c r="G45" s="819"/>
      <c r="H45" s="819"/>
      <c r="I45" s="843"/>
      <c r="J45" s="354">
        <f>SUM(K45:R45)</f>
        <v>187663</v>
      </c>
      <c r="K45" s="1387">
        <v>121882</v>
      </c>
      <c r="L45" s="1387">
        <v>24429</v>
      </c>
      <c r="M45" s="1387">
        <v>36202</v>
      </c>
      <c r="N45" s="1387"/>
      <c r="O45" s="1387">
        <v>179</v>
      </c>
      <c r="P45" s="1387">
        <v>4971</v>
      </c>
      <c r="Q45" s="845"/>
      <c r="R45" s="846"/>
      <c r="S45" s="849"/>
      <c r="T45" s="849"/>
      <c r="U45" s="849"/>
      <c r="V45" s="849"/>
      <c r="W45" s="849"/>
      <c r="X45" s="849"/>
      <c r="Y45" s="849"/>
      <c r="Z45" s="849"/>
      <c r="AA45" s="849"/>
      <c r="AB45" s="849"/>
      <c r="AC45" s="849"/>
      <c r="AD45" s="849"/>
      <c r="AE45" s="849"/>
    </row>
    <row r="46" spans="1:31" s="55" customFormat="1" ht="18" customHeight="1" x14ac:dyDescent="0.3">
      <c r="A46" s="129">
        <v>37</v>
      </c>
      <c r="B46" s="1353"/>
      <c r="C46" s="1380"/>
      <c r="D46" s="1380"/>
      <c r="E46" s="1355" t="s">
        <v>1328</v>
      </c>
      <c r="F46" s="315"/>
      <c r="G46" s="315"/>
      <c r="H46" s="315"/>
      <c r="I46" s="1382"/>
      <c r="J46" s="1383">
        <f>SUM(K46:R46)</f>
        <v>-324</v>
      </c>
      <c r="K46" s="358"/>
      <c r="L46" s="358"/>
      <c r="M46" s="358">
        <v>-324</v>
      </c>
      <c r="N46" s="358"/>
      <c r="O46" s="358"/>
      <c r="P46" s="358"/>
      <c r="Q46" s="358"/>
      <c r="R46" s="359"/>
      <c r="S46" s="154"/>
      <c r="T46" s="154"/>
      <c r="U46" s="154"/>
      <c r="V46" s="154"/>
      <c r="W46" s="154"/>
      <c r="X46" s="154"/>
      <c r="Y46" s="154"/>
      <c r="Z46" s="154"/>
      <c r="AA46" s="154"/>
      <c r="AB46" s="154"/>
      <c r="AC46" s="154"/>
      <c r="AD46" s="154"/>
      <c r="AE46" s="154"/>
    </row>
    <row r="47" spans="1:31" s="58" customFormat="1" ht="18" customHeight="1" x14ac:dyDescent="0.3">
      <c r="A47" s="129">
        <v>38</v>
      </c>
      <c r="B47" s="460"/>
      <c r="C47" s="1384"/>
      <c r="D47" s="1384"/>
      <c r="E47" s="344" t="s">
        <v>1250</v>
      </c>
      <c r="F47" s="1385"/>
      <c r="G47" s="1385"/>
      <c r="H47" s="1385"/>
      <c r="I47" s="1386"/>
      <c r="J47" s="354">
        <f>SUM(K47:R47)</f>
        <v>187339</v>
      </c>
      <c r="K47" s="1387">
        <f>SUM(K45:K46)</f>
        <v>121882</v>
      </c>
      <c r="L47" s="1387">
        <f>SUM(L45:L46)</f>
        <v>24429</v>
      </c>
      <c r="M47" s="1387">
        <f>SUM(M45:M46)</f>
        <v>35878</v>
      </c>
      <c r="N47" s="1387"/>
      <c r="O47" s="1387">
        <f>SUM(O45:O46)</f>
        <v>179</v>
      </c>
      <c r="P47" s="1387">
        <f>SUM(P45:P46)</f>
        <v>4971</v>
      </c>
      <c r="Q47" s="1387"/>
      <c r="R47" s="1388"/>
      <c r="S47" s="291"/>
      <c r="T47" s="291"/>
      <c r="U47" s="291"/>
      <c r="V47" s="291"/>
      <c r="W47" s="291"/>
      <c r="X47" s="291"/>
      <c r="Y47" s="291"/>
      <c r="Z47" s="291"/>
      <c r="AA47" s="291"/>
      <c r="AB47" s="291"/>
      <c r="AC47" s="291"/>
      <c r="AD47" s="291"/>
      <c r="AE47" s="291"/>
    </row>
    <row r="48" spans="1:31" s="55" customFormat="1" ht="18" customHeight="1" x14ac:dyDescent="0.3">
      <c r="A48" s="129">
        <v>39</v>
      </c>
      <c r="B48" s="312"/>
      <c r="C48" s="696">
        <v>1</v>
      </c>
      <c r="D48" s="2171" t="s">
        <v>152</v>
      </c>
      <c r="E48" s="2172"/>
      <c r="F48" s="453"/>
      <c r="G48" s="120">
        <v>1006</v>
      </c>
      <c r="H48" s="120">
        <v>2245</v>
      </c>
      <c r="I48" s="352">
        <v>179</v>
      </c>
      <c r="J48" s="353"/>
      <c r="K48" s="351"/>
      <c r="L48" s="351"/>
      <c r="M48" s="349"/>
      <c r="N48" s="349"/>
      <c r="O48" s="349"/>
      <c r="P48" s="349"/>
      <c r="Q48" s="349"/>
      <c r="R48" s="350"/>
      <c r="S48" s="154"/>
      <c r="T48" s="154"/>
      <c r="U48" s="154"/>
      <c r="V48" s="154"/>
      <c r="W48" s="154"/>
      <c r="X48" s="154"/>
      <c r="Y48" s="154"/>
      <c r="Z48" s="154"/>
      <c r="AA48" s="154"/>
      <c r="AB48" s="154"/>
      <c r="AC48" s="154"/>
      <c r="AD48" s="154"/>
      <c r="AE48" s="154"/>
    </row>
    <row r="49" spans="1:31" s="848" customFormat="1" ht="18" customHeight="1" x14ac:dyDescent="0.3">
      <c r="A49" s="129">
        <v>40</v>
      </c>
      <c r="B49" s="833"/>
      <c r="C49" s="851"/>
      <c r="D49" s="851"/>
      <c r="E49" s="835" t="s">
        <v>308</v>
      </c>
      <c r="F49" s="827"/>
      <c r="G49" s="827"/>
      <c r="H49" s="827"/>
      <c r="I49" s="852"/>
      <c r="J49" s="853">
        <f>SUM(K49:R49)</f>
        <v>2225</v>
      </c>
      <c r="K49" s="854">
        <v>1957</v>
      </c>
      <c r="L49" s="854">
        <v>171</v>
      </c>
      <c r="M49" s="854">
        <v>97</v>
      </c>
      <c r="N49" s="854"/>
      <c r="O49" s="854"/>
      <c r="P49" s="854"/>
      <c r="Q49" s="854"/>
      <c r="R49" s="855"/>
      <c r="S49" s="847"/>
      <c r="T49" s="847"/>
      <c r="U49" s="847"/>
      <c r="V49" s="847"/>
      <c r="W49" s="847"/>
      <c r="X49" s="847"/>
      <c r="Y49" s="847"/>
      <c r="Z49" s="847"/>
      <c r="AA49" s="847"/>
      <c r="AB49" s="847"/>
      <c r="AC49" s="847"/>
      <c r="AD49" s="847"/>
      <c r="AE49" s="847"/>
    </row>
    <row r="50" spans="1:31" s="848" customFormat="1" ht="18" customHeight="1" x14ac:dyDescent="0.3">
      <c r="A50" s="129">
        <v>41</v>
      </c>
      <c r="B50" s="833"/>
      <c r="C50" s="851"/>
      <c r="D50" s="851"/>
      <c r="E50" s="683" t="s">
        <v>1158</v>
      </c>
      <c r="F50" s="827"/>
      <c r="G50" s="827"/>
      <c r="H50" s="827"/>
      <c r="I50" s="852"/>
      <c r="J50" s="354">
        <f>SUM(K50:R50)</f>
        <v>2225</v>
      </c>
      <c r="K50" s="1425">
        <v>1957</v>
      </c>
      <c r="L50" s="1425">
        <v>171</v>
      </c>
      <c r="M50" s="1425">
        <v>97</v>
      </c>
      <c r="N50" s="854"/>
      <c r="O50" s="854"/>
      <c r="P50" s="854"/>
      <c r="Q50" s="854"/>
      <c r="R50" s="855"/>
      <c r="S50" s="847"/>
      <c r="T50" s="847"/>
      <c r="U50" s="847"/>
      <c r="V50" s="847"/>
      <c r="W50" s="847"/>
      <c r="X50" s="847"/>
      <c r="Y50" s="847"/>
      <c r="Z50" s="847"/>
      <c r="AA50" s="847"/>
      <c r="AB50" s="847"/>
      <c r="AC50" s="847"/>
      <c r="AD50" s="847"/>
      <c r="AE50" s="847"/>
    </row>
    <row r="51" spans="1:31" s="55" customFormat="1" ht="18" customHeight="1" x14ac:dyDescent="0.3">
      <c r="A51" s="129">
        <v>42</v>
      </c>
      <c r="B51" s="1353"/>
      <c r="C51" s="1380"/>
      <c r="D51" s="1380"/>
      <c r="E51" s="1381" t="s">
        <v>947</v>
      </c>
      <c r="F51" s="315"/>
      <c r="G51" s="315"/>
      <c r="H51" s="315"/>
      <c r="I51" s="1382"/>
      <c r="J51" s="1383">
        <f>SUM(K51:R51)</f>
        <v>0</v>
      </c>
      <c r="K51" s="358"/>
      <c r="L51" s="358"/>
      <c r="M51" s="358"/>
      <c r="N51" s="358"/>
      <c r="O51" s="358"/>
      <c r="P51" s="358"/>
      <c r="Q51" s="358"/>
      <c r="R51" s="359"/>
      <c r="S51" s="154"/>
      <c r="T51" s="154"/>
      <c r="U51" s="154"/>
      <c r="V51" s="154"/>
      <c r="W51" s="154"/>
      <c r="X51" s="154"/>
      <c r="Y51" s="154"/>
      <c r="Z51" s="154"/>
      <c r="AA51" s="154"/>
      <c r="AB51" s="154"/>
      <c r="AC51" s="154"/>
      <c r="AD51" s="154"/>
      <c r="AE51" s="154"/>
    </row>
    <row r="52" spans="1:31" s="58" customFormat="1" ht="18" customHeight="1" thickBot="1" x14ac:dyDescent="0.35">
      <c r="A52" s="129">
        <v>43</v>
      </c>
      <c r="B52" s="460"/>
      <c r="C52" s="1384"/>
      <c r="D52" s="1384"/>
      <c r="E52" s="344" t="s">
        <v>1250</v>
      </c>
      <c r="F52" s="1385"/>
      <c r="G52" s="1385"/>
      <c r="H52" s="1385"/>
      <c r="I52" s="1386"/>
      <c r="J52" s="354">
        <f>SUM(K52:R52)</f>
        <v>2225</v>
      </c>
      <c r="K52" s="1387">
        <f>SUM(K50:K51)</f>
        <v>1957</v>
      </c>
      <c r="L52" s="1387">
        <f t="shared" ref="L52:M52" si="5">SUM(L50:L51)</f>
        <v>171</v>
      </c>
      <c r="M52" s="1387">
        <f t="shared" si="5"/>
        <v>97</v>
      </c>
      <c r="N52" s="1387"/>
      <c r="O52" s="1387"/>
      <c r="P52" s="1387"/>
      <c r="Q52" s="1387"/>
      <c r="R52" s="1388"/>
      <c r="S52" s="291"/>
      <c r="T52" s="291"/>
      <c r="U52" s="291"/>
      <c r="V52" s="291"/>
      <c r="W52" s="291"/>
      <c r="X52" s="291"/>
      <c r="Y52" s="291"/>
      <c r="Z52" s="291"/>
      <c r="AA52" s="291"/>
      <c r="AB52" s="291"/>
      <c r="AC52" s="291"/>
      <c r="AD52" s="291"/>
      <c r="AE52" s="291"/>
    </row>
    <row r="53" spans="1:31" s="59" customFormat="1" ht="22.5" customHeight="1" thickTop="1" x14ac:dyDescent="0.2">
      <c r="A53" s="129">
        <v>44</v>
      </c>
      <c r="B53" s="355"/>
      <c r="C53" s="2173" t="s">
        <v>656</v>
      </c>
      <c r="D53" s="2174"/>
      <c r="E53" s="2175"/>
      <c r="F53" s="723"/>
      <c r="G53" s="723">
        <f>SUM(G10:G49)</f>
        <v>1785466</v>
      </c>
      <c r="H53" s="723">
        <f>SUM(H10:H49)</f>
        <v>1808479</v>
      </c>
      <c r="I53" s="725">
        <f>SUM(I10:I49)</f>
        <v>1840638</v>
      </c>
      <c r="J53" s="726"/>
      <c r="K53" s="723"/>
      <c r="L53" s="723"/>
      <c r="M53" s="723"/>
      <c r="N53" s="723"/>
      <c r="O53" s="723"/>
      <c r="P53" s="723"/>
      <c r="Q53" s="723"/>
      <c r="R53" s="724"/>
      <c r="S53" s="356"/>
      <c r="T53" s="356"/>
      <c r="U53" s="356"/>
      <c r="V53" s="356"/>
      <c r="W53" s="356"/>
      <c r="X53" s="356"/>
      <c r="Y53" s="356"/>
      <c r="Z53" s="356"/>
      <c r="AA53" s="356"/>
      <c r="AB53" s="356"/>
      <c r="AC53" s="356"/>
      <c r="AD53" s="356"/>
      <c r="AE53" s="356"/>
    </row>
    <row r="54" spans="1:31" s="848" customFormat="1" ht="18" customHeight="1" x14ac:dyDescent="0.3">
      <c r="A54" s="129">
        <v>45</v>
      </c>
      <c r="B54" s="833"/>
      <c r="C54" s="1389"/>
      <c r="D54" s="851"/>
      <c r="E54" s="835" t="s">
        <v>308</v>
      </c>
      <c r="F54" s="827"/>
      <c r="G54" s="827"/>
      <c r="H54" s="827"/>
      <c r="I54" s="852"/>
      <c r="J54" s="853">
        <f>SUM(K54:R54)</f>
        <v>1845356</v>
      </c>
      <c r="K54" s="854">
        <f t="shared" ref="K54:R55" si="6">SUM(K12,K18,K24,K30,K36,K44,K49)</f>
        <v>1208912</v>
      </c>
      <c r="L54" s="854">
        <f t="shared" si="6"/>
        <v>239894</v>
      </c>
      <c r="M54" s="854">
        <f t="shared" si="6"/>
        <v>395140</v>
      </c>
      <c r="N54" s="854">
        <f t="shared" si="6"/>
        <v>0</v>
      </c>
      <c r="O54" s="854">
        <f t="shared" si="6"/>
        <v>0</v>
      </c>
      <c r="P54" s="854">
        <f t="shared" si="6"/>
        <v>1410</v>
      </c>
      <c r="Q54" s="854">
        <f t="shared" si="6"/>
        <v>0</v>
      </c>
      <c r="R54" s="855">
        <f t="shared" si="6"/>
        <v>0</v>
      </c>
      <c r="S54" s="847">
        <f>+'[1]4.Inbe'!O29-'4.Inki'!J54</f>
        <v>0</v>
      </c>
      <c r="T54" s="847"/>
      <c r="U54" s="847"/>
      <c r="V54" s="847"/>
      <c r="W54" s="847"/>
      <c r="X54" s="847"/>
      <c r="Y54" s="847"/>
      <c r="Z54" s="847"/>
      <c r="AA54" s="847"/>
      <c r="AB54" s="847"/>
      <c r="AC54" s="847"/>
      <c r="AD54" s="847"/>
      <c r="AE54" s="847"/>
    </row>
    <row r="55" spans="1:31" s="848" customFormat="1" ht="18" customHeight="1" x14ac:dyDescent="0.3">
      <c r="A55" s="129">
        <v>46</v>
      </c>
      <c r="B55" s="833"/>
      <c r="C55" s="1389"/>
      <c r="D55" s="851"/>
      <c r="E55" s="683" t="s">
        <v>1158</v>
      </c>
      <c r="F55" s="827"/>
      <c r="G55" s="827"/>
      <c r="H55" s="827"/>
      <c r="I55" s="852"/>
      <c r="J55" s="354">
        <f>SUM(K55:R55)</f>
        <v>1961294</v>
      </c>
      <c r="K55" s="1425">
        <f t="shared" si="6"/>
        <v>1293234</v>
      </c>
      <c r="L55" s="1425">
        <f t="shared" si="6"/>
        <v>251091</v>
      </c>
      <c r="M55" s="1425">
        <f t="shared" si="6"/>
        <v>388644</v>
      </c>
      <c r="N55" s="1425">
        <f t="shared" si="6"/>
        <v>0</v>
      </c>
      <c r="O55" s="1425">
        <f t="shared" si="6"/>
        <v>179</v>
      </c>
      <c r="P55" s="1425">
        <f t="shared" si="6"/>
        <v>25029</v>
      </c>
      <c r="Q55" s="1425">
        <f t="shared" si="6"/>
        <v>3117</v>
      </c>
      <c r="R55" s="1426">
        <f t="shared" si="6"/>
        <v>0</v>
      </c>
      <c r="S55" s="847"/>
      <c r="T55" s="847"/>
      <c r="U55" s="847"/>
      <c r="V55" s="847"/>
      <c r="W55" s="847"/>
      <c r="X55" s="847"/>
      <c r="Y55" s="847"/>
      <c r="Z55" s="847"/>
      <c r="AA55" s="847"/>
      <c r="AB55" s="847"/>
      <c r="AC55" s="847"/>
      <c r="AD55" s="847"/>
      <c r="AE55" s="847"/>
    </row>
    <row r="56" spans="1:31" s="55" customFormat="1" ht="18" customHeight="1" x14ac:dyDescent="0.3">
      <c r="A56" s="129">
        <v>47</v>
      </c>
      <c r="B56" s="1353"/>
      <c r="C56" s="1390"/>
      <c r="D56" s="1380"/>
      <c r="E56" s="1381" t="s">
        <v>947</v>
      </c>
      <c r="F56" s="315"/>
      <c r="G56" s="315"/>
      <c r="H56" s="315"/>
      <c r="I56" s="1382"/>
      <c r="J56" s="1383">
        <f>SUM(K56:R56)</f>
        <v>-1296</v>
      </c>
      <c r="K56" s="358">
        <f t="shared" ref="K56:R56" si="7">SUM(K14:K14,K20:K20,K26:K26,K32:K32,K38:K40,K46:K46,K51:K51,)</f>
        <v>0</v>
      </c>
      <c r="L56" s="358">
        <f t="shared" si="7"/>
        <v>4700</v>
      </c>
      <c r="M56" s="358">
        <f t="shared" si="7"/>
        <v>-5996</v>
      </c>
      <c r="N56" s="358">
        <f t="shared" si="7"/>
        <v>0</v>
      </c>
      <c r="O56" s="358">
        <f t="shared" si="7"/>
        <v>0</v>
      </c>
      <c r="P56" s="358">
        <f t="shared" si="7"/>
        <v>0</v>
      </c>
      <c r="Q56" s="358">
        <f t="shared" si="7"/>
        <v>0</v>
      </c>
      <c r="R56" s="359">
        <f t="shared" si="7"/>
        <v>0</v>
      </c>
      <c r="S56" s="154"/>
      <c r="T56" s="154"/>
      <c r="U56" s="154"/>
      <c r="V56" s="154"/>
      <c r="W56" s="154"/>
      <c r="X56" s="154"/>
      <c r="Y56" s="154"/>
      <c r="Z56" s="154"/>
      <c r="AA56" s="154"/>
      <c r="AB56" s="154"/>
      <c r="AC56" s="154"/>
      <c r="AD56" s="154"/>
      <c r="AE56" s="154"/>
    </row>
    <row r="57" spans="1:31" s="58" customFormat="1" ht="18" customHeight="1" thickBot="1" x14ac:dyDescent="0.35">
      <c r="A57" s="129">
        <v>48</v>
      </c>
      <c r="B57" s="460"/>
      <c r="C57" s="1391"/>
      <c r="D57" s="1392"/>
      <c r="E57" s="1393" t="s">
        <v>1250</v>
      </c>
      <c r="F57" s="1394"/>
      <c r="G57" s="1394"/>
      <c r="H57" s="1394"/>
      <c r="I57" s="1395"/>
      <c r="J57" s="1396">
        <f>SUM(K57:R57)</f>
        <v>1959998</v>
      </c>
      <c r="K57" s="1397">
        <f>SUM(K55:K56)</f>
        <v>1293234</v>
      </c>
      <c r="L57" s="1397">
        <f t="shared" ref="L57:R57" si="8">SUM(L55:L56)</f>
        <v>255791</v>
      </c>
      <c r="M57" s="1397">
        <f t="shared" si="8"/>
        <v>382648</v>
      </c>
      <c r="N57" s="1397">
        <f t="shared" si="8"/>
        <v>0</v>
      </c>
      <c r="O57" s="1397">
        <f t="shared" si="8"/>
        <v>179</v>
      </c>
      <c r="P57" s="1397">
        <f t="shared" si="8"/>
        <v>25029</v>
      </c>
      <c r="Q57" s="1397">
        <f t="shared" si="8"/>
        <v>3117</v>
      </c>
      <c r="R57" s="1398">
        <f t="shared" si="8"/>
        <v>0</v>
      </c>
      <c r="S57" s="291"/>
      <c r="T57" s="291"/>
      <c r="U57" s="291"/>
      <c r="V57" s="291"/>
      <c r="W57" s="291"/>
      <c r="X57" s="291"/>
      <c r="Y57" s="291"/>
      <c r="Z57" s="291"/>
      <c r="AA57" s="291"/>
      <c r="AB57" s="291"/>
      <c r="AC57" s="291"/>
      <c r="AD57" s="291"/>
      <c r="AE57" s="291"/>
    </row>
    <row r="58" spans="1:31" s="55" customFormat="1" ht="22.5" customHeight="1" thickTop="1" x14ac:dyDescent="0.3">
      <c r="A58" s="129">
        <v>49</v>
      </c>
      <c r="B58" s="322">
        <v>7</v>
      </c>
      <c r="C58" s="698"/>
      <c r="D58" s="346" t="s">
        <v>386</v>
      </c>
      <c r="E58" s="345"/>
      <c r="F58" s="454" t="s">
        <v>23</v>
      </c>
      <c r="G58" s="333">
        <v>902499</v>
      </c>
      <c r="H58" s="333">
        <v>882986</v>
      </c>
      <c r="I58" s="455">
        <v>946591</v>
      </c>
      <c r="J58" s="437"/>
      <c r="K58" s="333"/>
      <c r="L58" s="333"/>
      <c r="M58" s="333"/>
      <c r="N58" s="333"/>
      <c r="O58" s="333"/>
      <c r="P58" s="333"/>
      <c r="Q58" s="333"/>
      <c r="R58" s="357"/>
      <c r="S58" s="154"/>
      <c r="T58" s="154"/>
      <c r="U58" s="154"/>
      <c r="V58" s="154"/>
      <c r="W58" s="154"/>
      <c r="X58" s="154"/>
      <c r="Y58" s="154"/>
      <c r="Z58" s="154"/>
      <c r="AA58" s="154"/>
      <c r="AB58" s="154"/>
      <c r="AC58" s="154"/>
      <c r="AD58" s="154"/>
      <c r="AE58" s="154"/>
    </row>
    <row r="59" spans="1:31" s="848" customFormat="1" ht="18" customHeight="1" x14ac:dyDescent="0.3">
      <c r="A59" s="129">
        <v>50</v>
      </c>
      <c r="B59" s="797"/>
      <c r="C59" s="841"/>
      <c r="D59" s="841"/>
      <c r="E59" s="842" t="s">
        <v>308</v>
      </c>
      <c r="F59" s="819"/>
      <c r="G59" s="819"/>
      <c r="H59" s="819"/>
      <c r="I59" s="843"/>
      <c r="J59" s="844">
        <f t="shared" ref="J59:J61" si="9">SUM(K59:R59)</f>
        <v>996977</v>
      </c>
      <c r="K59" s="845">
        <v>713799</v>
      </c>
      <c r="L59" s="845">
        <v>141390</v>
      </c>
      <c r="M59" s="845">
        <v>140158</v>
      </c>
      <c r="N59" s="845"/>
      <c r="O59" s="845"/>
      <c r="P59" s="845">
        <v>1630</v>
      </c>
      <c r="Q59" s="845"/>
      <c r="R59" s="846"/>
      <c r="S59" s="847"/>
      <c r="T59" s="847"/>
      <c r="U59" s="847"/>
      <c r="V59" s="847"/>
      <c r="W59" s="847"/>
      <c r="X59" s="847"/>
      <c r="Y59" s="847"/>
      <c r="Z59" s="847"/>
      <c r="AA59" s="847"/>
      <c r="AB59" s="847"/>
      <c r="AC59" s="847"/>
      <c r="AD59" s="847"/>
      <c r="AE59" s="847"/>
    </row>
    <row r="60" spans="1:31" s="848" customFormat="1" ht="18" customHeight="1" x14ac:dyDescent="0.3">
      <c r="A60" s="129">
        <v>51</v>
      </c>
      <c r="B60" s="797"/>
      <c r="C60" s="841"/>
      <c r="D60" s="841"/>
      <c r="E60" s="683" t="s">
        <v>1158</v>
      </c>
      <c r="F60" s="819"/>
      <c r="G60" s="819"/>
      <c r="H60" s="819"/>
      <c r="I60" s="843"/>
      <c r="J60" s="354">
        <f>SUM(K60:R60)</f>
        <v>1093278</v>
      </c>
      <c r="K60" s="1387">
        <v>771044</v>
      </c>
      <c r="L60" s="1387">
        <v>151135</v>
      </c>
      <c r="M60" s="1387">
        <v>168119</v>
      </c>
      <c r="N60" s="1387"/>
      <c r="O60" s="1387"/>
      <c r="P60" s="1387">
        <v>2980</v>
      </c>
      <c r="Q60" s="845"/>
      <c r="R60" s="846"/>
      <c r="S60" s="847"/>
      <c r="T60" s="847"/>
      <c r="U60" s="847"/>
      <c r="V60" s="847"/>
      <c r="W60" s="847"/>
      <c r="X60" s="847"/>
      <c r="Y60" s="847"/>
      <c r="Z60" s="847"/>
      <c r="AA60" s="847"/>
      <c r="AB60" s="847"/>
      <c r="AC60" s="847"/>
      <c r="AD60" s="847"/>
      <c r="AE60" s="847"/>
    </row>
    <row r="61" spans="1:31" s="55" customFormat="1" ht="18" customHeight="1" x14ac:dyDescent="0.3">
      <c r="A61" s="129">
        <v>52</v>
      </c>
      <c r="B61" s="1353"/>
      <c r="C61" s="1380"/>
      <c r="D61" s="1380"/>
      <c r="E61" s="1355" t="s">
        <v>1328</v>
      </c>
      <c r="F61" s="315"/>
      <c r="G61" s="315"/>
      <c r="H61" s="315"/>
      <c r="I61" s="1382"/>
      <c r="J61" s="1383">
        <f t="shared" si="9"/>
        <v>-1213</v>
      </c>
      <c r="K61" s="358"/>
      <c r="L61" s="358"/>
      <c r="M61" s="358">
        <v>-1213</v>
      </c>
      <c r="N61" s="358"/>
      <c r="O61" s="358"/>
      <c r="P61" s="358"/>
      <c r="Q61" s="358"/>
      <c r="R61" s="359"/>
      <c r="S61" s="154"/>
      <c r="T61" s="154"/>
      <c r="U61" s="154"/>
      <c r="V61" s="154"/>
      <c r="W61" s="154"/>
      <c r="X61" s="154"/>
      <c r="Y61" s="154"/>
      <c r="Z61" s="154"/>
      <c r="AA61" s="154"/>
      <c r="AB61" s="154"/>
      <c r="AC61" s="154"/>
      <c r="AD61" s="154"/>
      <c r="AE61" s="154"/>
    </row>
    <row r="62" spans="1:31" s="58" customFormat="1" ht="18" customHeight="1" x14ac:dyDescent="0.3">
      <c r="A62" s="129">
        <v>53</v>
      </c>
      <c r="B62" s="460"/>
      <c r="C62" s="1384"/>
      <c r="D62" s="1384"/>
      <c r="E62" s="344" t="s">
        <v>1250</v>
      </c>
      <c r="F62" s="1385"/>
      <c r="G62" s="1385"/>
      <c r="H62" s="1385"/>
      <c r="I62" s="1386"/>
      <c r="J62" s="354">
        <f>SUM(K62:R62)</f>
        <v>1092065</v>
      </c>
      <c r="K62" s="1387">
        <f>SUM(K60:K61)</f>
        <v>771044</v>
      </c>
      <c r="L62" s="1387">
        <f>SUM(L60:L61)</f>
        <v>151135</v>
      </c>
      <c r="M62" s="1387">
        <f>SUM(M60:M61)</f>
        <v>166906</v>
      </c>
      <c r="N62" s="1387"/>
      <c r="O62" s="1387"/>
      <c r="P62" s="1387">
        <f>SUM(P60:P61)</f>
        <v>2980</v>
      </c>
      <c r="Q62" s="1387"/>
      <c r="R62" s="1388"/>
      <c r="S62" s="291"/>
      <c r="T62" s="291"/>
      <c r="U62" s="291"/>
      <c r="V62" s="291"/>
      <c r="W62" s="291"/>
      <c r="X62" s="291"/>
      <c r="Y62" s="291"/>
      <c r="Z62" s="291"/>
      <c r="AA62" s="291"/>
      <c r="AB62" s="291"/>
      <c r="AC62" s="291"/>
      <c r="AD62" s="291"/>
      <c r="AE62" s="291"/>
    </row>
    <row r="63" spans="1:31" s="58" customFormat="1" ht="18" customHeight="1" x14ac:dyDescent="0.3">
      <c r="A63" s="129">
        <v>54</v>
      </c>
      <c r="B63" s="312"/>
      <c r="C63" s="696">
        <v>1</v>
      </c>
      <c r="D63" s="1046" t="s">
        <v>527</v>
      </c>
      <c r="E63" s="1046"/>
      <c r="F63" s="456"/>
      <c r="G63" s="120">
        <v>4233</v>
      </c>
      <c r="H63" s="120">
        <v>10080</v>
      </c>
      <c r="I63" s="352">
        <v>10041</v>
      </c>
      <c r="J63" s="362"/>
      <c r="K63" s="347"/>
      <c r="L63" s="347"/>
      <c r="M63" s="347"/>
      <c r="N63" s="358"/>
      <c r="O63" s="358"/>
      <c r="P63" s="358"/>
      <c r="Q63" s="358"/>
      <c r="R63" s="359"/>
      <c r="S63" s="291"/>
      <c r="T63" s="291"/>
      <c r="U63" s="291"/>
      <c r="V63" s="291"/>
      <c r="W63" s="291"/>
      <c r="X63" s="291"/>
      <c r="Y63" s="291"/>
      <c r="Z63" s="291"/>
      <c r="AA63" s="291"/>
      <c r="AB63" s="291"/>
      <c r="AC63" s="291"/>
      <c r="AD63" s="291"/>
      <c r="AE63" s="291"/>
    </row>
    <row r="64" spans="1:31" s="58" customFormat="1" ht="18" customHeight="1" x14ac:dyDescent="0.3">
      <c r="A64" s="129">
        <v>55</v>
      </c>
      <c r="B64" s="312"/>
      <c r="C64" s="696"/>
      <c r="D64" s="2129"/>
      <c r="E64" s="683" t="s">
        <v>1158</v>
      </c>
      <c r="F64" s="456"/>
      <c r="G64" s="120"/>
      <c r="H64" s="120"/>
      <c r="I64" s="352"/>
      <c r="J64" s="354">
        <f>SUM(K64:R64)</f>
        <v>0</v>
      </c>
      <c r="K64" s="347"/>
      <c r="L64" s="347"/>
      <c r="M64" s="347"/>
      <c r="N64" s="358"/>
      <c r="O64" s="358"/>
      <c r="P64" s="358"/>
      <c r="Q64" s="358"/>
      <c r="R64" s="359"/>
      <c r="S64" s="291"/>
      <c r="T64" s="291"/>
      <c r="U64" s="291"/>
      <c r="V64" s="291"/>
      <c r="W64" s="291"/>
      <c r="X64" s="291"/>
      <c r="Y64" s="291"/>
      <c r="Z64" s="291"/>
      <c r="AA64" s="291"/>
      <c r="AB64" s="291"/>
      <c r="AC64" s="291"/>
      <c r="AD64" s="291"/>
      <c r="AE64" s="291"/>
    </row>
    <row r="65" spans="1:31" s="55" customFormat="1" ht="18" customHeight="1" x14ac:dyDescent="0.3">
      <c r="A65" s="129">
        <v>56</v>
      </c>
      <c r="B65" s="1353"/>
      <c r="C65" s="1380"/>
      <c r="D65" s="1380"/>
      <c r="E65" s="1381" t="s">
        <v>947</v>
      </c>
      <c r="F65" s="315"/>
      <c r="G65" s="315"/>
      <c r="H65" s="315"/>
      <c r="I65" s="1382"/>
      <c r="J65" s="1383">
        <f>SUM(K65:R65)</f>
        <v>0</v>
      </c>
      <c r="K65" s="358"/>
      <c r="L65" s="358"/>
      <c r="M65" s="358"/>
      <c r="N65" s="358"/>
      <c r="O65" s="358"/>
      <c r="P65" s="358"/>
      <c r="Q65" s="358"/>
      <c r="R65" s="359"/>
      <c r="S65" s="154"/>
      <c r="T65" s="154"/>
      <c r="U65" s="154"/>
      <c r="V65" s="154"/>
      <c r="W65" s="154"/>
      <c r="X65" s="154"/>
      <c r="Y65" s="154"/>
      <c r="Z65" s="154"/>
      <c r="AA65" s="154"/>
      <c r="AB65" s="154"/>
      <c r="AC65" s="154"/>
      <c r="AD65" s="154"/>
      <c r="AE65" s="154"/>
    </row>
    <row r="66" spans="1:31" s="58" customFormat="1" ht="18" customHeight="1" x14ac:dyDescent="0.3">
      <c r="A66" s="129">
        <v>57</v>
      </c>
      <c r="B66" s="460"/>
      <c r="C66" s="1384"/>
      <c r="D66" s="1384"/>
      <c r="E66" s="344" t="s">
        <v>1250</v>
      </c>
      <c r="F66" s="1385"/>
      <c r="G66" s="1385"/>
      <c r="H66" s="1385"/>
      <c r="I66" s="1386"/>
      <c r="J66" s="354">
        <f>SUM(K66:R66)</f>
        <v>0</v>
      </c>
      <c r="K66" s="1387"/>
      <c r="L66" s="1387"/>
      <c r="M66" s="1387"/>
      <c r="N66" s="1387"/>
      <c r="O66" s="1387"/>
      <c r="P66" s="1387"/>
      <c r="Q66" s="1387"/>
      <c r="R66" s="1388"/>
      <c r="S66" s="291"/>
      <c r="T66" s="291"/>
      <c r="U66" s="291"/>
      <c r="V66" s="291"/>
      <c r="W66" s="291"/>
      <c r="X66" s="291"/>
      <c r="Y66" s="291"/>
      <c r="Z66" s="291"/>
      <c r="AA66" s="291"/>
      <c r="AB66" s="291"/>
      <c r="AC66" s="291"/>
      <c r="AD66" s="291"/>
      <c r="AE66" s="291"/>
    </row>
    <row r="67" spans="1:31" s="58" customFormat="1" ht="22.5" customHeight="1" x14ac:dyDescent="0.3">
      <c r="A67" s="129">
        <v>58</v>
      </c>
      <c r="B67" s="308">
        <v>8</v>
      </c>
      <c r="C67" s="696"/>
      <c r="D67" s="344" t="s">
        <v>125</v>
      </c>
      <c r="E67" s="344"/>
      <c r="F67" s="453" t="s">
        <v>23</v>
      </c>
      <c r="G67" s="120">
        <v>82024</v>
      </c>
      <c r="H67" s="120">
        <v>66825</v>
      </c>
      <c r="I67" s="352">
        <v>85870</v>
      </c>
      <c r="J67" s="362"/>
      <c r="K67" s="120"/>
      <c r="L67" s="120"/>
      <c r="M67" s="120"/>
      <c r="N67" s="120"/>
      <c r="O67" s="120"/>
      <c r="P67" s="120"/>
      <c r="Q67" s="120"/>
      <c r="R67" s="134"/>
      <c r="S67" s="291"/>
      <c r="T67" s="291"/>
      <c r="U67" s="291"/>
      <c r="V67" s="291"/>
      <c r="W67" s="291"/>
      <c r="X67" s="291"/>
      <c r="Y67" s="291"/>
      <c r="Z67" s="291"/>
      <c r="AA67" s="291"/>
      <c r="AB67" s="291"/>
      <c r="AC67" s="291"/>
      <c r="AD67" s="291"/>
      <c r="AE67" s="291"/>
    </row>
    <row r="68" spans="1:31" s="807" customFormat="1" ht="18" customHeight="1" x14ac:dyDescent="0.3">
      <c r="A68" s="129">
        <v>59</v>
      </c>
      <c r="B68" s="797"/>
      <c r="C68" s="841"/>
      <c r="D68" s="841"/>
      <c r="E68" s="842" t="s">
        <v>308</v>
      </c>
      <c r="F68" s="819"/>
      <c r="G68" s="819"/>
      <c r="H68" s="819"/>
      <c r="I68" s="843"/>
      <c r="J68" s="844">
        <f t="shared" ref="J68:J70" si="10">SUM(K68:R68)</f>
        <v>69250</v>
      </c>
      <c r="K68" s="845">
        <v>40442</v>
      </c>
      <c r="L68" s="845">
        <v>7151</v>
      </c>
      <c r="M68" s="845">
        <v>21657</v>
      </c>
      <c r="N68" s="845"/>
      <c r="O68" s="845"/>
      <c r="P68" s="845"/>
      <c r="Q68" s="845"/>
      <c r="R68" s="846"/>
      <c r="S68" s="858"/>
      <c r="T68" s="858"/>
      <c r="U68" s="858"/>
      <c r="V68" s="858"/>
      <c r="W68" s="858"/>
      <c r="X68" s="858"/>
      <c r="Y68" s="858"/>
      <c r="Z68" s="858"/>
      <c r="AA68" s="858"/>
      <c r="AB68" s="858"/>
      <c r="AC68" s="858"/>
      <c r="AD68" s="858"/>
      <c r="AE68" s="858"/>
    </row>
    <row r="69" spans="1:31" s="807" customFormat="1" ht="18" customHeight="1" x14ac:dyDescent="0.3">
      <c r="A69" s="129">
        <v>60</v>
      </c>
      <c r="B69" s="797"/>
      <c r="C69" s="841"/>
      <c r="D69" s="841"/>
      <c r="E69" s="683" t="s">
        <v>1158</v>
      </c>
      <c r="F69" s="819"/>
      <c r="G69" s="819"/>
      <c r="H69" s="819"/>
      <c r="I69" s="843"/>
      <c r="J69" s="354">
        <f t="shared" si="10"/>
        <v>104946</v>
      </c>
      <c r="K69" s="1387">
        <v>64690</v>
      </c>
      <c r="L69" s="1387">
        <v>9985</v>
      </c>
      <c r="M69" s="1387">
        <v>29612</v>
      </c>
      <c r="N69" s="1387"/>
      <c r="O69" s="1387"/>
      <c r="P69" s="1387">
        <v>659</v>
      </c>
      <c r="Q69" s="845"/>
      <c r="R69" s="846"/>
      <c r="S69" s="858"/>
      <c r="T69" s="858"/>
      <c r="U69" s="858"/>
      <c r="V69" s="858"/>
      <c r="W69" s="858"/>
      <c r="X69" s="858"/>
      <c r="Y69" s="858"/>
      <c r="Z69" s="858"/>
      <c r="AA69" s="858"/>
      <c r="AB69" s="858"/>
      <c r="AC69" s="858"/>
      <c r="AD69" s="858"/>
      <c r="AE69" s="858"/>
    </row>
    <row r="70" spans="1:31" s="55" customFormat="1" ht="18" customHeight="1" x14ac:dyDescent="0.3">
      <c r="A70" s="129">
        <v>61</v>
      </c>
      <c r="B70" s="1353"/>
      <c r="C70" s="1380"/>
      <c r="D70" s="1380"/>
      <c r="E70" s="1355" t="s">
        <v>1328</v>
      </c>
      <c r="F70" s="315"/>
      <c r="G70" s="315"/>
      <c r="H70" s="315"/>
      <c r="I70" s="1382"/>
      <c r="J70" s="1383">
        <f t="shared" si="10"/>
        <v>-1</v>
      </c>
      <c r="K70" s="358"/>
      <c r="L70" s="358"/>
      <c r="M70" s="358">
        <v>-1</v>
      </c>
      <c r="N70" s="358"/>
      <c r="O70" s="358"/>
      <c r="P70" s="358"/>
      <c r="Q70" s="358"/>
      <c r="R70" s="359"/>
      <c r="S70" s="154"/>
      <c r="T70" s="154"/>
      <c r="U70" s="154"/>
      <c r="V70" s="154"/>
      <c r="W70" s="154"/>
      <c r="X70" s="154"/>
      <c r="Y70" s="154"/>
      <c r="Z70" s="154"/>
      <c r="AA70" s="154"/>
      <c r="AB70" s="154"/>
      <c r="AC70" s="154"/>
      <c r="AD70" s="154"/>
      <c r="AE70" s="154"/>
    </row>
    <row r="71" spans="1:31" s="58" customFormat="1" ht="18" customHeight="1" x14ac:dyDescent="0.3">
      <c r="A71" s="129">
        <v>62</v>
      </c>
      <c r="B71" s="460"/>
      <c r="C71" s="1384"/>
      <c r="D71" s="1384"/>
      <c r="E71" s="344" t="s">
        <v>1250</v>
      </c>
      <c r="F71" s="1385"/>
      <c r="G71" s="1385"/>
      <c r="H71" s="1385"/>
      <c r="I71" s="1386"/>
      <c r="J71" s="354">
        <f>SUM(K71:R71)</f>
        <v>104945</v>
      </c>
      <c r="K71" s="1387">
        <f>SUM(K69:K70)</f>
        <v>64690</v>
      </c>
      <c r="L71" s="1387">
        <f>SUM(L69:L70)</f>
        <v>9985</v>
      </c>
      <c r="M71" s="1387">
        <f>SUM(M69:M70)</f>
        <v>29611</v>
      </c>
      <c r="N71" s="1387"/>
      <c r="O71" s="1387"/>
      <c r="P71" s="1387">
        <f>SUM(P69:P70)</f>
        <v>659</v>
      </c>
      <c r="Q71" s="1387"/>
      <c r="R71" s="1388"/>
      <c r="S71" s="291"/>
      <c r="T71" s="291"/>
      <c r="U71" s="291"/>
      <c r="V71" s="291"/>
      <c r="W71" s="291"/>
      <c r="X71" s="291"/>
      <c r="Y71" s="291"/>
      <c r="Z71" s="291"/>
      <c r="AA71" s="291"/>
      <c r="AB71" s="291"/>
      <c r="AC71" s="291"/>
      <c r="AD71" s="291"/>
      <c r="AE71" s="291"/>
    </row>
    <row r="72" spans="1:31" s="58" customFormat="1" ht="18" customHeight="1" x14ac:dyDescent="0.3">
      <c r="A72" s="129">
        <v>63</v>
      </c>
      <c r="B72" s="312"/>
      <c r="C72" s="697">
        <v>1</v>
      </c>
      <c r="D72" s="1046" t="s">
        <v>152</v>
      </c>
      <c r="E72" s="1046"/>
      <c r="F72" s="456"/>
      <c r="G72" s="120">
        <v>89</v>
      </c>
      <c r="H72" s="120">
        <v>269</v>
      </c>
      <c r="I72" s="352"/>
      <c r="J72" s="362"/>
      <c r="K72" s="347"/>
      <c r="L72" s="347"/>
      <c r="M72" s="347"/>
      <c r="N72" s="358"/>
      <c r="O72" s="358"/>
      <c r="P72" s="358"/>
      <c r="Q72" s="358"/>
      <c r="R72" s="359"/>
      <c r="S72" s="291"/>
      <c r="T72" s="291"/>
      <c r="U72" s="291"/>
      <c r="V72" s="291"/>
      <c r="W72" s="291"/>
      <c r="X72" s="291"/>
      <c r="Y72" s="291"/>
      <c r="Z72" s="291"/>
      <c r="AA72" s="291"/>
      <c r="AB72" s="291"/>
      <c r="AC72" s="291"/>
      <c r="AD72" s="291"/>
      <c r="AE72" s="291"/>
    </row>
    <row r="73" spans="1:31" s="58" customFormat="1" ht="22.5" customHeight="1" x14ac:dyDescent="0.3">
      <c r="A73" s="129">
        <v>64</v>
      </c>
      <c r="B73" s="308">
        <v>9</v>
      </c>
      <c r="C73" s="696"/>
      <c r="D73" s="344" t="s">
        <v>541</v>
      </c>
      <c r="E73" s="344"/>
      <c r="F73" s="453" t="s">
        <v>23</v>
      </c>
      <c r="G73" s="120"/>
      <c r="H73" s="120">
        <v>236700</v>
      </c>
      <c r="I73" s="352">
        <f>275013-163-17</f>
        <v>274833</v>
      </c>
      <c r="J73" s="362"/>
      <c r="K73" s="120"/>
      <c r="L73" s="120"/>
      <c r="M73" s="120"/>
      <c r="N73" s="120"/>
      <c r="O73" s="120"/>
      <c r="P73" s="120"/>
      <c r="Q73" s="120"/>
      <c r="R73" s="134"/>
      <c r="S73" s="291"/>
      <c r="T73" s="291"/>
      <c r="U73" s="291"/>
      <c r="V73" s="291"/>
      <c r="W73" s="291"/>
      <c r="X73" s="291"/>
      <c r="Y73" s="291"/>
      <c r="Z73" s="291"/>
      <c r="AA73" s="291"/>
      <c r="AB73" s="291"/>
      <c r="AC73" s="291"/>
      <c r="AD73" s="291"/>
      <c r="AE73" s="291"/>
    </row>
    <row r="74" spans="1:31" s="807" customFormat="1" ht="18" customHeight="1" x14ac:dyDescent="0.3">
      <c r="A74" s="129">
        <v>65</v>
      </c>
      <c r="B74" s="797"/>
      <c r="C74" s="851"/>
      <c r="D74" s="851"/>
      <c r="E74" s="834" t="s">
        <v>308</v>
      </c>
      <c r="F74" s="827"/>
      <c r="G74" s="827"/>
      <c r="H74" s="827"/>
      <c r="I74" s="852"/>
      <c r="J74" s="853">
        <f t="shared" ref="J74:J77" si="11">SUM(K74:R74)</f>
        <v>243642</v>
      </c>
      <c r="K74" s="854">
        <v>176682</v>
      </c>
      <c r="L74" s="854">
        <v>35737</v>
      </c>
      <c r="M74" s="854">
        <v>30073</v>
      </c>
      <c r="N74" s="854"/>
      <c r="O74" s="854"/>
      <c r="P74" s="854">
        <v>1150</v>
      </c>
      <c r="Q74" s="854"/>
      <c r="R74" s="855"/>
      <c r="S74" s="858"/>
      <c r="T74" s="858"/>
      <c r="U74" s="858"/>
      <c r="V74" s="858"/>
      <c r="W74" s="858"/>
      <c r="X74" s="858"/>
      <c r="Y74" s="858"/>
      <c r="Z74" s="858"/>
      <c r="AA74" s="858"/>
      <c r="AB74" s="858"/>
      <c r="AC74" s="858"/>
      <c r="AD74" s="858"/>
      <c r="AE74" s="858"/>
    </row>
    <row r="75" spans="1:31" s="807" customFormat="1" ht="18" customHeight="1" x14ac:dyDescent="0.3">
      <c r="A75" s="129">
        <v>66</v>
      </c>
      <c r="B75" s="797"/>
      <c r="C75" s="851"/>
      <c r="D75" s="851"/>
      <c r="E75" s="683" t="s">
        <v>1158</v>
      </c>
      <c r="F75" s="827"/>
      <c r="G75" s="827"/>
      <c r="H75" s="827"/>
      <c r="I75" s="852"/>
      <c r="J75" s="354">
        <f t="shared" ref="J75" si="12">SUM(K75:R75)</f>
        <v>343846</v>
      </c>
      <c r="K75" s="1425">
        <v>239053</v>
      </c>
      <c r="L75" s="1425">
        <v>44497</v>
      </c>
      <c r="M75" s="1425">
        <v>57046</v>
      </c>
      <c r="N75" s="1425"/>
      <c r="O75" s="1425"/>
      <c r="P75" s="1425">
        <v>3250</v>
      </c>
      <c r="Q75" s="854"/>
      <c r="R75" s="855"/>
      <c r="S75" s="858"/>
      <c r="T75" s="858"/>
      <c r="U75" s="858"/>
      <c r="V75" s="858"/>
      <c r="W75" s="858"/>
      <c r="X75" s="858"/>
      <c r="Y75" s="858"/>
      <c r="Z75" s="858"/>
      <c r="AA75" s="858"/>
      <c r="AB75" s="858"/>
      <c r="AC75" s="858"/>
      <c r="AD75" s="858"/>
      <c r="AE75" s="858"/>
    </row>
    <row r="76" spans="1:31" s="55" customFormat="1" ht="18" customHeight="1" x14ac:dyDescent="0.3">
      <c r="A76" s="129">
        <v>67</v>
      </c>
      <c r="B76" s="1353"/>
      <c r="C76" s="1380"/>
      <c r="D76" s="1380"/>
      <c r="E76" s="1355" t="s">
        <v>1328</v>
      </c>
      <c r="F76" s="315"/>
      <c r="G76" s="315"/>
      <c r="H76" s="315"/>
      <c r="I76" s="1382"/>
      <c r="J76" s="1383">
        <f t="shared" si="11"/>
        <v>-1119</v>
      </c>
      <c r="K76" s="358"/>
      <c r="L76" s="358"/>
      <c r="M76" s="358">
        <v>-1119</v>
      </c>
      <c r="N76" s="358"/>
      <c r="O76" s="358"/>
      <c r="P76" s="358"/>
      <c r="Q76" s="358"/>
      <c r="R76" s="359"/>
      <c r="S76" s="154"/>
      <c r="T76" s="154"/>
      <c r="U76" s="154"/>
      <c r="V76" s="154"/>
      <c r="W76" s="154"/>
      <c r="X76" s="154"/>
      <c r="Y76" s="154"/>
      <c r="Z76" s="154"/>
      <c r="AA76" s="154"/>
      <c r="AB76" s="154"/>
      <c r="AC76" s="154"/>
      <c r="AD76" s="154"/>
      <c r="AE76" s="154"/>
    </row>
    <row r="77" spans="1:31" s="58" customFormat="1" ht="18" customHeight="1" x14ac:dyDescent="0.3">
      <c r="A77" s="129">
        <v>68</v>
      </c>
      <c r="B77" s="460"/>
      <c r="C77" s="1384"/>
      <c r="D77" s="1384"/>
      <c r="E77" s="344" t="s">
        <v>1250</v>
      </c>
      <c r="F77" s="1385"/>
      <c r="G77" s="1385"/>
      <c r="H77" s="1385"/>
      <c r="I77" s="1386"/>
      <c r="J77" s="354">
        <f t="shared" si="11"/>
        <v>342727</v>
      </c>
      <c r="K77" s="1387">
        <f>SUM(K75:K76)</f>
        <v>239053</v>
      </c>
      <c r="L77" s="1387">
        <f>SUM(L75:L76)</f>
        <v>44497</v>
      </c>
      <c r="M77" s="1387">
        <f>SUM(M75:M76)</f>
        <v>55927</v>
      </c>
      <c r="N77" s="1387"/>
      <c r="O77" s="1387"/>
      <c r="P77" s="1387">
        <f>SUM(P75:P76)</f>
        <v>3250</v>
      </c>
      <c r="Q77" s="1387"/>
      <c r="R77" s="1388"/>
      <c r="S77" s="291"/>
      <c r="T77" s="291"/>
      <c r="U77" s="291"/>
      <c r="V77" s="291"/>
      <c r="W77" s="291"/>
      <c r="X77" s="291"/>
      <c r="Y77" s="291"/>
      <c r="Z77" s="291"/>
      <c r="AA77" s="291"/>
      <c r="AB77" s="291"/>
      <c r="AC77" s="291"/>
      <c r="AD77" s="291"/>
      <c r="AE77" s="291"/>
    </row>
    <row r="78" spans="1:31" s="58" customFormat="1" ht="18" customHeight="1" thickBot="1" x14ac:dyDescent="0.35">
      <c r="A78" s="129">
        <v>69</v>
      </c>
      <c r="B78" s="312"/>
      <c r="C78" s="697">
        <v>1</v>
      </c>
      <c r="D78" s="1046" t="s">
        <v>152</v>
      </c>
      <c r="E78" s="1046"/>
      <c r="F78" s="456"/>
      <c r="G78" s="120"/>
      <c r="H78" s="120"/>
      <c r="I78" s="352">
        <f>163+17</f>
        <v>180</v>
      </c>
      <c r="J78" s="362"/>
      <c r="K78" s="347"/>
      <c r="L78" s="347"/>
      <c r="M78" s="347"/>
      <c r="N78" s="358"/>
      <c r="O78" s="358"/>
      <c r="P78" s="358"/>
      <c r="Q78" s="358"/>
      <c r="R78" s="359"/>
      <c r="S78" s="291"/>
      <c r="T78" s="291"/>
      <c r="U78" s="291"/>
      <c r="V78" s="291"/>
      <c r="W78" s="291"/>
      <c r="X78" s="291"/>
      <c r="Y78" s="291"/>
      <c r="Z78" s="291"/>
      <c r="AA78" s="291"/>
      <c r="AB78" s="291"/>
      <c r="AC78" s="291"/>
      <c r="AD78" s="291"/>
      <c r="AE78" s="291"/>
    </row>
    <row r="79" spans="1:31" s="199" customFormat="1" ht="22.5" customHeight="1" thickTop="1" x14ac:dyDescent="0.2">
      <c r="A79" s="129">
        <v>70</v>
      </c>
      <c r="B79" s="355"/>
      <c r="C79" s="2173" t="s">
        <v>657</v>
      </c>
      <c r="D79" s="2174"/>
      <c r="E79" s="2175"/>
      <c r="F79" s="727"/>
      <c r="G79" s="723">
        <f>SUM(G58:G78)</f>
        <v>988845</v>
      </c>
      <c r="H79" s="723">
        <f>SUM(H58:H78)</f>
        <v>1196860</v>
      </c>
      <c r="I79" s="725">
        <f>SUM(I58:I78)</f>
        <v>1317515</v>
      </c>
      <c r="J79" s="726"/>
      <c r="K79" s="728"/>
      <c r="L79" s="728"/>
      <c r="M79" s="728"/>
      <c r="N79" s="728"/>
      <c r="O79" s="728"/>
      <c r="P79" s="728"/>
      <c r="Q79" s="728"/>
      <c r="R79" s="729"/>
      <c r="S79" s="356"/>
      <c r="T79" s="361"/>
      <c r="U79" s="361"/>
      <c r="V79" s="361"/>
      <c r="W79" s="361"/>
      <c r="X79" s="361"/>
      <c r="Y79" s="361"/>
      <c r="Z79" s="361"/>
      <c r="AA79" s="361"/>
      <c r="AB79" s="361"/>
      <c r="AC79" s="361"/>
      <c r="AD79" s="361"/>
      <c r="AE79" s="361"/>
    </row>
    <row r="80" spans="1:31" s="807" customFormat="1" ht="18" customHeight="1" x14ac:dyDescent="0.3">
      <c r="A80" s="129">
        <v>71</v>
      </c>
      <c r="B80" s="797"/>
      <c r="C80" s="1389"/>
      <c r="D80" s="851"/>
      <c r="E80" s="834" t="s">
        <v>308</v>
      </c>
      <c r="F80" s="827"/>
      <c r="G80" s="827"/>
      <c r="H80" s="827"/>
      <c r="I80" s="852"/>
      <c r="J80" s="853">
        <f>SUM(K80:R80)</f>
        <v>1309869</v>
      </c>
      <c r="K80" s="854">
        <f t="shared" ref="K80:R81" si="13">SUM(K59,K68,K74)</f>
        <v>930923</v>
      </c>
      <c r="L80" s="854">
        <f t="shared" si="13"/>
        <v>184278</v>
      </c>
      <c r="M80" s="854">
        <f t="shared" si="13"/>
        <v>191888</v>
      </c>
      <c r="N80" s="854">
        <f t="shared" si="13"/>
        <v>0</v>
      </c>
      <c r="O80" s="854">
        <f t="shared" si="13"/>
        <v>0</v>
      </c>
      <c r="P80" s="854">
        <f t="shared" si="13"/>
        <v>2780</v>
      </c>
      <c r="Q80" s="854">
        <f t="shared" si="13"/>
        <v>0</v>
      </c>
      <c r="R80" s="855">
        <f t="shared" si="13"/>
        <v>0</v>
      </c>
      <c r="S80" s="858"/>
      <c r="T80" s="858"/>
      <c r="U80" s="858"/>
      <c r="V80" s="858"/>
      <c r="W80" s="858"/>
      <c r="X80" s="858"/>
      <c r="Y80" s="858"/>
      <c r="Z80" s="858"/>
      <c r="AA80" s="858"/>
      <c r="AB80" s="858"/>
      <c r="AC80" s="858"/>
      <c r="AD80" s="858"/>
      <c r="AE80" s="858"/>
    </row>
    <row r="81" spans="1:31" s="807" customFormat="1" ht="18" customHeight="1" x14ac:dyDescent="0.3">
      <c r="A81" s="129">
        <v>72</v>
      </c>
      <c r="B81" s="797"/>
      <c r="C81" s="1389"/>
      <c r="D81" s="851"/>
      <c r="E81" s="683" t="s">
        <v>1158</v>
      </c>
      <c r="F81" s="827"/>
      <c r="G81" s="827"/>
      <c r="H81" s="827"/>
      <c r="I81" s="852"/>
      <c r="J81" s="354">
        <f t="shared" ref="J81" si="14">SUM(K81:R81)</f>
        <v>1542070</v>
      </c>
      <c r="K81" s="1425">
        <f t="shared" si="13"/>
        <v>1074787</v>
      </c>
      <c r="L81" s="1425">
        <f t="shared" si="13"/>
        <v>205617</v>
      </c>
      <c r="M81" s="1425">
        <f t="shared" si="13"/>
        <v>254777</v>
      </c>
      <c r="N81" s="1425">
        <f t="shared" si="13"/>
        <v>0</v>
      </c>
      <c r="O81" s="1425">
        <f t="shared" si="13"/>
        <v>0</v>
      </c>
      <c r="P81" s="1425">
        <f t="shared" si="13"/>
        <v>6889</v>
      </c>
      <c r="Q81" s="1425">
        <f t="shared" si="13"/>
        <v>0</v>
      </c>
      <c r="R81" s="1426">
        <f t="shared" si="13"/>
        <v>0</v>
      </c>
      <c r="S81" s="858"/>
      <c r="T81" s="858"/>
      <c r="U81" s="858"/>
      <c r="V81" s="858"/>
      <c r="W81" s="858"/>
      <c r="X81" s="858"/>
      <c r="Y81" s="858"/>
      <c r="Z81" s="858"/>
      <c r="AA81" s="858"/>
      <c r="AB81" s="858"/>
      <c r="AC81" s="858"/>
      <c r="AD81" s="858"/>
      <c r="AE81" s="858"/>
    </row>
    <row r="82" spans="1:31" s="55" customFormat="1" ht="18" customHeight="1" x14ac:dyDescent="0.3">
      <c r="A82" s="129">
        <v>73</v>
      </c>
      <c r="B82" s="1353"/>
      <c r="C82" s="1390"/>
      <c r="D82" s="1380"/>
      <c r="E82" s="1381" t="s">
        <v>947</v>
      </c>
      <c r="F82" s="315"/>
      <c r="G82" s="315"/>
      <c r="H82" s="315"/>
      <c r="I82" s="1382"/>
      <c r="J82" s="1383">
        <f>SUM(K82:R82)</f>
        <v>-2333</v>
      </c>
      <c r="K82" s="358">
        <f t="shared" ref="K82:R82" si="15">SUM(K61:K61,K65:K65,K70:K70,K76:K76)</f>
        <v>0</v>
      </c>
      <c r="L82" s="358">
        <f t="shared" si="15"/>
        <v>0</v>
      </c>
      <c r="M82" s="358">
        <f t="shared" si="15"/>
        <v>-2333</v>
      </c>
      <c r="N82" s="358">
        <f t="shared" si="15"/>
        <v>0</v>
      </c>
      <c r="O82" s="358">
        <f t="shared" si="15"/>
        <v>0</v>
      </c>
      <c r="P82" s="358">
        <f t="shared" si="15"/>
        <v>0</v>
      </c>
      <c r="Q82" s="358">
        <f t="shared" si="15"/>
        <v>0</v>
      </c>
      <c r="R82" s="359">
        <f t="shared" si="15"/>
        <v>0</v>
      </c>
      <c r="S82" s="154"/>
      <c r="T82" s="154"/>
      <c r="U82" s="154"/>
      <c r="V82" s="154"/>
      <c r="W82" s="154"/>
      <c r="X82" s="154"/>
      <c r="Y82" s="154"/>
      <c r="Z82" s="154"/>
      <c r="AA82" s="154"/>
      <c r="AB82" s="154"/>
      <c r="AC82" s="154"/>
      <c r="AD82" s="154"/>
      <c r="AE82" s="154"/>
    </row>
    <row r="83" spans="1:31" s="58" customFormat="1" ht="18" customHeight="1" thickBot="1" x14ac:dyDescent="0.35">
      <c r="A83" s="129">
        <v>74</v>
      </c>
      <c r="B83" s="460"/>
      <c r="C83" s="1391"/>
      <c r="D83" s="1392"/>
      <c r="E83" s="1393" t="s">
        <v>1250</v>
      </c>
      <c r="F83" s="1394"/>
      <c r="G83" s="1394"/>
      <c r="H83" s="1394"/>
      <c r="I83" s="1395"/>
      <c r="J83" s="1396">
        <f>SUM(K83:R83)</f>
        <v>1539737</v>
      </c>
      <c r="K83" s="1397">
        <f>SUM(K81:K82)</f>
        <v>1074787</v>
      </c>
      <c r="L83" s="1397">
        <f t="shared" ref="L83:R83" si="16">SUM(L81:L82)</f>
        <v>205617</v>
      </c>
      <c r="M83" s="1397">
        <f t="shared" si="16"/>
        <v>252444</v>
      </c>
      <c r="N83" s="1397">
        <f t="shared" si="16"/>
        <v>0</v>
      </c>
      <c r="O83" s="1397">
        <f t="shared" si="16"/>
        <v>0</v>
      </c>
      <c r="P83" s="1397">
        <f t="shared" si="16"/>
        <v>6889</v>
      </c>
      <c r="Q83" s="1397">
        <f t="shared" si="16"/>
        <v>0</v>
      </c>
      <c r="R83" s="1398">
        <f t="shared" si="16"/>
        <v>0</v>
      </c>
      <c r="S83" s="291"/>
      <c r="T83" s="291"/>
      <c r="U83" s="291"/>
      <c r="V83" s="291"/>
      <c r="W83" s="291"/>
      <c r="X83" s="291"/>
      <c r="Y83" s="291"/>
      <c r="Z83" s="291"/>
      <c r="AA83" s="291"/>
      <c r="AB83" s="291"/>
      <c r="AC83" s="291"/>
      <c r="AD83" s="291"/>
      <c r="AE83" s="291"/>
    </row>
    <row r="84" spans="1:31" s="48" customFormat="1" ht="22.5" customHeight="1" thickTop="1" x14ac:dyDescent="0.3">
      <c r="A84" s="129">
        <v>75</v>
      </c>
      <c r="B84" s="322">
        <v>10</v>
      </c>
      <c r="C84" s="698"/>
      <c r="D84" s="346" t="s">
        <v>543</v>
      </c>
      <c r="E84" s="345"/>
      <c r="F84" s="454" t="s">
        <v>23</v>
      </c>
      <c r="G84" s="333">
        <v>246321</v>
      </c>
      <c r="H84" s="333">
        <v>214545</v>
      </c>
      <c r="I84" s="455">
        <v>245048</v>
      </c>
      <c r="J84" s="437"/>
      <c r="K84" s="333"/>
      <c r="L84" s="333"/>
      <c r="M84" s="333"/>
      <c r="N84" s="333"/>
      <c r="O84" s="333"/>
      <c r="P84" s="333"/>
      <c r="Q84" s="333"/>
      <c r="R84" s="357"/>
      <c r="S84" s="236"/>
      <c r="T84" s="236"/>
      <c r="U84" s="236"/>
      <c r="V84" s="236"/>
      <c r="W84" s="236"/>
      <c r="X84" s="236"/>
      <c r="Y84" s="236"/>
      <c r="Z84" s="236"/>
      <c r="AA84" s="236"/>
      <c r="AB84" s="236"/>
      <c r="AC84" s="236"/>
      <c r="AD84" s="236"/>
      <c r="AE84" s="236"/>
    </row>
    <row r="85" spans="1:31" s="807" customFormat="1" ht="18" customHeight="1" x14ac:dyDescent="0.3">
      <c r="A85" s="129">
        <v>76</v>
      </c>
      <c r="B85" s="797"/>
      <c r="C85" s="841"/>
      <c r="D85" s="841"/>
      <c r="E85" s="842" t="s">
        <v>308</v>
      </c>
      <c r="F85" s="819"/>
      <c r="G85" s="819"/>
      <c r="H85" s="819"/>
      <c r="I85" s="843"/>
      <c r="J85" s="844">
        <f t="shared" ref="J85:J89" si="17">SUM(K85:R85)</f>
        <v>213129</v>
      </c>
      <c r="K85" s="845">
        <f>82250-11583+11583</f>
        <v>82250</v>
      </c>
      <c r="L85" s="845">
        <f>15250-2027+2027</f>
        <v>15250</v>
      </c>
      <c r="M85" s="845">
        <v>115629</v>
      </c>
      <c r="N85" s="845"/>
      <c r="O85" s="845"/>
      <c r="P85" s="845"/>
      <c r="Q85" s="845"/>
      <c r="R85" s="846"/>
      <c r="S85" s="858"/>
      <c r="T85" s="858"/>
      <c r="U85" s="858"/>
      <c r="V85" s="858"/>
      <c r="W85" s="858"/>
      <c r="X85" s="858"/>
      <c r="Y85" s="858"/>
      <c r="Z85" s="858"/>
      <c r="AA85" s="858"/>
      <c r="AB85" s="858"/>
      <c r="AC85" s="858"/>
      <c r="AD85" s="858"/>
      <c r="AE85" s="858"/>
    </row>
    <row r="86" spans="1:31" s="807" customFormat="1" ht="18" customHeight="1" x14ac:dyDescent="0.3">
      <c r="A86" s="129">
        <v>77</v>
      </c>
      <c r="B86" s="797"/>
      <c r="C86" s="841"/>
      <c r="D86" s="841"/>
      <c r="E86" s="683" t="s">
        <v>1158</v>
      </c>
      <c r="F86" s="819"/>
      <c r="G86" s="819"/>
      <c r="H86" s="819"/>
      <c r="I86" s="843"/>
      <c r="J86" s="354">
        <f t="shared" ref="J86" si="18">SUM(K86:R86)</f>
        <v>249474</v>
      </c>
      <c r="K86" s="1387">
        <v>93106</v>
      </c>
      <c r="L86" s="1387">
        <v>17766</v>
      </c>
      <c r="M86" s="1387">
        <v>132849</v>
      </c>
      <c r="N86" s="1387"/>
      <c r="O86" s="1387"/>
      <c r="P86" s="1387">
        <v>5753</v>
      </c>
      <c r="Q86" s="845"/>
      <c r="R86" s="846"/>
      <c r="S86" s="858"/>
      <c r="T86" s="858"/>
      <c r="U86" s="858"/>
      <c r="V86" s="858"/>
      <c r="W86" s="858"/>
      <c r="X86" s="858"/>
      <c r="Y86" s="858"/>
      <c r="Z86" s="858"/>
      <c r="AA86" s="858"/>
      <c r="AB86" s="858"/>
      <c r="AC86" s="858"/>
      <c r="AD86" s="858"/>
      <c r="AE86" s="858"/>
    </row>
    <row r="87" spans="1:31" s="55" customFormat="1" ht="18" customHeight="1" x14ac:dyDescent="0.3">
      <c r="A87" s="129">
        <v>78</v>
      </c>
      <c r="B87" s="1353"/>
      <c r="C87" s="1380"/>
      <c r="D87" s="1380"/>
      <c r="E87" s="1355" t="s">
        <v>1307</v>
      </c>
      <c r="F87" s="315"/>
      <c r="G87" s="315"/>
      <c r="H87" s="315"/>
      <c r="I87" s="1382"/>
      <c r="J87" s="1383">
        <f t="shared" si="17"/>
        <v>5963</v>
      </c>
      <c r="K87" s="358"/>
      <c r="L87" s="358"/>
      <c r="M87" s="358">
        <v>5963</v>
      </c>
      <c r="N87" s="358"/>
      <c r="O87" s="358"/>
      <c r="P87" s="358"/>
      <c r="Q87" s="358"/>
      <c r="R87" s="359"/>
      <c r="S87" s="154"/>
      <c r="T87" s="154"/>
      <c r="U87" s="154"/>
      <c r="V87" s="154"/>
      <c r="W87" s="154"/>
      <c r="X87" s="154"/>
      <c r="Y87" s="154"/>
      <c r="Z87" s="154"/>
      <c r="AA87" s="154"/>
      <c r="AB87" s="154"/>
      <c r="AC87" s="154"/>
      <c r="AD87" s="154"/>
      <c r="AE87" s="154"/>
    </row>
    <row r="88" spans="1:31" s="55" customFormat="1" ht="18" customHeight="1" x14ac:dyDescent="0.3">
      <c r="A88" s="129">
        <v>79</v>
      </c>
      <c r="B88" s="1353"/>
      <c r="C88" s="1380"/>
      <c r="D88" s="1380"/>
      <c r="E88" s="1355" t="s">
        <v>1328</v>
      </c>
      <c r="F88" s="315"/>
      <c r="G88" s="315"/>
      <c r="H88" s="315"/>
      <c r="I88" s="1382"/>
      <c r="J88" s="1383">
        <f t="shared" si="17"/>
        <v>1</v>
      </c>
      <c r="K88" s="358"/>
      <c r="L88" s="358"/>
      <c r="M88" s="358">
        <v>1</v>
      </c>
      <c r="N88" s="358"/>
      <c r="O88" s="358"/>
      <c r="P88" s="358"/>
      <c r="Q88" s="358"/>
      <c r="R88" s="359"/>
      <c r="S88" s="154"/>
      <c r="T88" s="154"/>
      <c r="U88" s="154"/>
      <c r="V88" s="154"/>
      <c r="W88" s="154"/>
      <c r="X88" s="154"/>
      <c r="Y88" s="154"/>
      <c r="Z88" s="154"/>
      <c r="AA88" s="154"/>
      <c r="AB88" s="154"/>
      <c r="AC88" s="154"/>
      <c r="AD88" s="154"/>
      <c r="AE88" s="154"/>
    </row>
    <row r="89" spans="1:31" s="58" customFormat="1" ht="18" customHeight="1" x14ac:dyDescent="0.3">
      <c r="A89" s="129">
        <v>80</v>
      </c>
      <c r="B89" s="460"/>
      <c r="C89" s="1384"/>
      <c r="D89" s="1384"/>
      <c r="E89" s="344" t="s">
        <v>1250</v>
      </c>
      <c r="F89" s="1385"/>
      <c r="G89" s="1385"/>
      <c r="H89" s="1385"/>
      <c r="I89" s="1386"/>
      <c r="J89" s="354">
        <f t="shared" si="17"/>
        <v>255438</v>
      </c>
      <c r="K89" s="1387">
        <f>SUM(K86:K88)</f>
        <v>93106</v>
      </c>
      <c r="L89" s="1387">
        <f t="shared" ref="L89:P89" si="19">SUM(L86:L88)</f>
        <v>17766</v>
      </c>
      <c r="M89" s="1387">
        <f t="shared" si="19"/>
        <v>138813</v>
      </c>
      <c r="N89" s="1387"/>
      <c r="O89" s="1387"/>
      <c r="P89" s="1387">
        <f t="shared" si="19"/>
        <v>5753</v>
      </c>
      <c r="Q89" s="1387"/>
      <c r="R89" s="1388"/>
      <c r="S89" s="291"/>
      <c r="T89" s="291"/>
      <c r="U89" s="291"/>
      <c r="V89" s="291"/>
      <c r="W89" s="291"/>
      <c r="X89" s="291"/>
      <c r="Y89" s="291"/>
      <c r="Z89" s="291"/>
      <c r="AA89" s="291"/>
      <c r="AB89" s="291"/>
      <c r="AC89" s="291"/>
      <c r="AD89" s="291"/>
      <c r="AE89" s="291"/>
    </row>
    <row r="90" spans="1:31" s="55" customFormat="1" ht="18" customHeight="1" x14ac:dyDescent="0.3">
      <c r="A90" s="129">
        <v>81</v>
      </c>
      <c r="B90" s="1236"/>
      <c r="C90" s="1237"/>
      <c r="D90" s="1238" t="s">
        <v>896</v>
      </c>
      <c r="E90" s="1239"/>
      <c r="F90" s="1240"/>
      <c r="G90" s="157"/>
      <c r="H90" s="157"/>
      <c r="I90" s="1713"/>
      <c r="J90" s="362"/>
      <c r="K90" s="358"/>
      <c r="L90" s="358"/>
      <c r="M90" s="358"/>
      <c r="N90" s="358"/>
      <c r="O90" s="358"/>
      <c r="P90" s="358"/>
      <c r="Q90" s="358"/>
      <c r="R90" s="359"/>
      <c r="S90" s="154"/>
      <c r="T90" s="154"/>
      <c r="U90" s="154"/>
      <c r="V90" s="154"/>
      <c r="W90" s="154"/>
      <c r="X90" s="154"/>
      <c r="Y90" s="154"/>
      <c r="Z90" s="154"/>
      <c r="AA90" s="154"/>
      <c r="AB90" s="154"/>
      <c r="AC90" s="154"/>
      <c r="AD90" s="154"/>
      <c r="AE90" s="154"/>
    </row>
    <row r="91" spans="1:31" s="860" customFormat="1" ht="18" customHeight="1" x14ac:dyDescent="0.3">
      <c r="A91" s="129">
        <v>82</v>
      </c>
      <c r="B91" s="1174"/>
      <c r="C91" s="1176"/>
      <c r="D91" s="1176"/>
      <c r="E91" s="1241" t="s">
        <v>308</v>
      </c>
      <c r="F91" s="1242"/>
      <c r="G91" s="820"/>
      <c r="H91" s="820"/>
      <c r="I91" s="1714"/>
      <c r="J91" s="1178">
        <f>SUM(K91:R91)</f>
        <v>13610</v>
      </c>
      <c r="K91" s="1179">
        <v>11583</v>
      </c>
      <c r="L91" s="1179">
        <v>2027</v>
      </c>
      <c r="M91" s="1179"/>
      <c r="N91" s="1179"/>
      <c r="O91" s="1179"/>
      <c r="P91" s="1179"/>
      <c r="Q91" s="1179"/>
      <c r="R91" s="1180"/>
      <c r="S91" s="859"/>
      <c r="T91" s="859"/>
      <c r="U91" s="859"/>
      <c r="V91" s="859"/>
      <c r="W91" s="859"/>
      <c r="X91" s="859"/>
      <c r="Y91" s="859"/>
      <c r="Z91" s="859"/>
      <c r="AA91" s="859"/>
      <c r="AB91" s="859"/>
      <c r="AC91" s="859"/>
      <c r="AD91" s="859"/>
      <c r="AE91" s="859"/>
    </row>
    <row r="92" spans="1:31" s="860" customFormat="1" ht="18" customHeight="1" x14ac:dyDescent="0.3">
      <c r="A92" s="129">
        <v>83</v>
      </c>
      <c r="B92" s="1174"/>
      <c r="C92" s="1176"/>
      <c r="D92" s="1176"/>
      <c r="E92" s="683" t="s">
        <v>1251</v>
      </c>
      <c r="F92" s="1242"/>
      <c r="G92" s="820"/>
      <c r="H92" s="820"/>
      <c r="I92" s="1714"/>
      <c r="J92" s="354">
        <f t="shared" ref="J92" si="20">SUM(K92:R92)</f>
        <v>0</v>
      </c>
      <c r="K92" s="1403">
        <v>0</v>
      </c>
      <c r="L92" s="1403">
        <v>0</v>
      </c>
      <c r="M92" s="1179"/>
      <c r="N92" s="1179"/>
      <c r="O92" s="1179"/>
      <c r="P92" s="1179"/>
      <c r="Q92" s="1179"/>
      <c r="R92" s="1180"/>
      <c r="S92" s="859"/>
      <c r="T92" s="859"/>
      <c r="U92" s="859"/>
      <c r="V92" s="859"/>
      <c r="W92" s="859"/>
      <c r="X92" s="859"/>
      <c r="Y92" s="859"/>
      <c r="Z92" s="859"/>
      <c r="AA92" s="859"/>
      <c r="AB92" s="859"/>
      <c r="AC92" s="859"/>
      <c r="AD92" s="859"/>
      <c r="AE92" s="859"/>
    </row>
    <row r="93" spans="1:31" s="55" customFormat="1" ht="18" customHeight="1" x14ac:dyDescent="0.3">
      <c r="A93" s="129">
        <v>84</v>
      </c>
      <c r="B93" s="1353"/>
      <c r="C93" s="1380"/>
      <c r="D93" s="1380"/>
      <c r="E93" s="1399" t="s">
        <v>969</v>
      </c>
      <c r="F93" s="315"/>
      <c r="G93" s="315"/>
      <c r="H93" s="315"/>
      <c r="I93" s="1382"/>
      <c r="J93" s="1383">
        <f>SUM(K93:R93)</f>
        <v>0</v>
      </c>
      <c r="K93" s="358"/>
      <c r="L93" s="358"/>
      <c r="M93" s="358"/>
      <c r="N93" s="358"/>
      <c r="O93" s="358"/>
      <c r="P93" s="358"/>
      <c r="Q93" s="358"/>
      <c r="R93" s="359"/>
      <c r="S93" s="154"/>
      <c r="T93" s="154"/>
      <c r="U93" s="154"/>
      <c r="V93" s="154"/>
      <c r="W93" s="154"/>
      <c r="X93" s="154"/>
      <c r="Y93" s="154"/>
      <c r="Z93" s="154"/>
      <c r="AA93" s="154"/>
      <c r="AB93" s="154"/>
      <c r="AC93" s="154"/>
      <c r="AD93" s="154"/>
      <c r="AE93" s="154"/>
    </row>
    <row r="94" spans="1:31" s="59" customFormat="1" ht="18" customHeight="1" x14ac:dyDescent="0.3">
      <c r="A94" s="129">
        <v>85</v>
      </c>
      <c r="B94" s="355"/>
      <c r="C94" s="1400"/>
      <c r="D94" s="1400"/>
      <c r="E94" s="1401" t="s">
        <v>1250</v>
      </c>
      <c r="F94" s="1402"/>
      <c r="G94" s="1402"/>
      <c r="H94" s="1402"/>
      <c r="I94" s="1715"/>
      <c r="J94" s="362">
        <f>SUM(K94:R94)</f>
        <v>0</v>
      </c>
      <c r="K94" s="1403">
        <f>SUM(K92:K93)</f>
        <v>0</v>
      </c>
      <c r="L94" s="1403">
        <f>SUM(L92:L93)</f>
        <v>0</v>
      </c>
      <c r="M94" s="1403"/>
      <c r="N94" s="1403"/>
      <c r="O94" s="1403"/>
      <c r="P94" s="1403"/>
      <c r="Q94" s="1403"/>
      <c r="R94" s="1404"/>
      <c r="S94" s="356"/>
      <c r="T94" s="356"/>
      <c r="U94" s="356"/>
      <c r="V94" s="356"/>
      <c r="W94" s="356"/>
      <c r="X94" s="356"/>
      <c r="Y94" s="356"/>
      <c r="Z94" s="356"/>
      <c r="AA94" s="356"/>
      <c r="AB94" s="356"/>
      <c r="AC94" s="356"/>
      <c r="AD94" s="356"/>
      <c r="AE94" s="356"/>
    </row>
    <row r="95" spans="1:31" s="51" customFormat="1" ht="18" customHeight="1" x14ac:dyDescent="0.3">
      <c r="A95" s="129">
        <v>86</v>
      </c>
      <c r="B95" s="312"/>
      <c r="C95" s="696">
        <v>1</v>
      </c>
      <c r="D95" s="1046" t="s">
        <v>647</v>
      </c>
      <c r="E95" s="1046"/>
      <c r="F95" s="456"/>
      <c r="G95" s="120"/>
      <c r="H95" s="120"/>
      <c r="I95" s="1716">
        <v>5228</v>
      </c>
      <c r="J95" s="362"/>
      <c r="K95" s="347"/>
      <c r="L95" s="347"/>
      <c r="M95" s="347"/>
      <c r="N95" s="358"/>
      <c r="O95" s="358"/>
      <c r="P95" s="358"/>
      <c r="Q95" s="358"/>
      <c r="R95" s="359"/>
      <c r="S95" s="60"/>
      <c r="T95" s="60"/>
      <c r="U95" s="60"/>
      <c r="V95" s="60"/>
      <c r="W95" s="60"/>
      <c r="X95" s="60"/>
      <c r="Y95" s="60"/>
      <c r="Z95" s="60"/>
      <c r="AA95" s="60"/>
      <c r="AB95" s="60"/>
      <c r="AC95" s="60"/>
      <c r="AD95" s="60"/>
      <c r="AE95" s="60"/>
    </row>
    <row r="96" spans="1:31" s="860" customFormat="1" ht="18" customHeight="1" x14ac:dyDescent="0.3">
      <c r="A96" s="129">
        <v>87</v>
      </c>
      <c r="B96" s="797"/>
      <c r="C96" s="841"/>
      <c r="D96" s="841"/>
      <c r="E96" s="856" t="s">
        <v>308</v>
      </c>
      <c r="F96" s="857"/>
      <c r="G96" s="819"/>
      <c r="H96" s="819"/>
      <c r="I96" s="843"/>
      <c r="J96" s="844">
        <f>SUM(K96:R96)</f>
        <v>89379</v>
      </c>
      <c r="K96" s="845">
        <v>33444</v>
      </c>
      <c r="L96" s="845">
        <v>6075</v>
      </c>
      <c r="M96" s="845">
        <v>45810</v>
      </c>
      <c r="N96" s="845"/>
      <c r="O96" s="845"/>
      <c r="P96" s="845">
        <v>4050</v>
      </c>
      <c r="Q96" s="845"/>
      <c r="R96" s="846"/>
      <c r="S96" s="859"/>
      <c r="T96" s="859"/>
      <c r="U96" s="859"/>
      <c r="V96" s="859"/>
      <c r="W96" s="859"/>
      <c r="X96" s="859"/>
      <c r="Y96" s="859"/>
      <c r="Z96" s="859"/>
      <c r="AA96" s="859"/>
      <c r="AB96" s="859"/>
      <c r="AC96" s="859"/>
      <c r="AD96" s="859"/>
      <c r="AE96" s="859"/>
    </row>
    <row r="97" spans="1:31" s="860" customFormat="1" ht="18" customHeight="1" x14ac:dyDescent="0.3">
      <c r="A97" s="129">
        <v>88</v>
      </c>
      <c r="B97" s="797"/>
      <c r="C97" s="841"/>
      <c r="D97" s="841"/>
      <c r="E97" s="683" t="s">
        <v>1158</v>
      </c>
      <c r="F97" s="857"/>
      <c r="G97" s="819"/>
      <c r="H97" s="819"/>
      <c r="I97" s="843"/>
      <c r="J97" s="354">
        <f t="shared" ref="J97" si="21">SUM(K97:R97)</f>
        <v>89379</v>
      </c>
      <c r="K97" s="1387">
        <v>33444</v>
      </c>
      <c r="L97" s="1387">
        <v>6075</v>
      </c>
      <c r="M97" s="1387">
        <v>45810</v>
      </c>
      <c r="N97" s="1387"/>
      <c r="O97" s="1387"/>
      <c r="P97" s="1387">
        <v>4050</v>
      </c>
      <c r="Q97" s="845"/>
      <c r="R97" s="846"/>
      <c r="S97" s="859"/>
      <c r="T97" s="859"/>
      <c r="U97" s="859"/>
      <c r="V97" s="859"/>
      <c r="W97" s="859"/>
      <c r="X97" s="859"/>
      <c r="Y97" s="859"/>
      <c r="Z97" s="859"/>
      <c r="AA97" s="859"/>
      <c r="AB97" s="859"/>
      <c r="AC97" s="859"/>
      <c r="AD97" s="859"/>
      <c r="AE97" s="859"/>
    </row>
    <row r="98" spans="1:31" s="55" customFormat="1" ht="18" customHeight="1" x14ac:dyDescent="0.3">
      <c r="A98" s="129">
        <v>89</v>
      </c>
      <c r="B98" s="1353"/>
      <c r="C98" s="1380"/>
      <c r="D98" s="1380"/>
      <c r="E98" s="1381" t="s">
        <v>947</v>
      </c>
      <c r="F98" s="315"/>
      <c r="G98" s="315"/>
      <c r="H98" s="315"/>
      <c r="I98" s="1382"/>
      <c r="J98" s="1383">
        <f>SUM(K98:R98)</f>
        <v>0</v>
      </c>
      <c r="K98" s="358"/>
      <c r="L98" s="358"/>
      <c r="M98" s="358"/>
      <c r="N98" s="358"/>
      <c r="O98" s="358"/>
      <c r="P98" s="358"/>
      <c r="Q98" s="358"/>
      <c r="R98" s="359"/>
      <c r="S98" s="154"/>
      <c r="T98" s="154"/>
      <c r="U98" s="154"/>
      <c r="V98" s="154"/>
      <c r="W98" s="154"/>
      <c r="X98" s="154"/>
      <c r="Y98" s="154"/>
      <c r="Z98" s="154"/>
      <c r="AA98" s="154"/>
      <c r="AB98" s="154"/>
      <c r="AC98" s="154"/>
      <c r="AD98" s="154"/>
      <c r="AE98" s="154"/>
    </row>
    <row r="99" spans="1:31" s="58" customFormat="1" ht="18" customHeight="1" x14ac:dyDescent="0.3">
      <c r="A99" s="129">
        <v>90</v>
      </c>
      <c r="B99" s="460"/>
      <c r="C99" s="1384"/>
      <c r="D99" s="1384"/>
      <c r="E99" s="344" t="s">
        <v>1250</v>
      </c>
      <c r="F99" s="1385"/>
      <c r="G99" s="1385"/>
      <c r="H99" s="1385"/>
      <c r="I99" s="1386"/>
      <c r="J99" s="354">
        <f>SUM(K99:R99)</f>
        <v>89379</v>
      </c>
      <c r="K99" s="1387">
        <f>SUM(K97:K98)</f>
        <v>33444</v>
      </c>
      <c r="L99" s="1387">
        <f t="shared" ref="L99:P99" si="22">SUM(L97:L98)</f>
        <v>6075</v>
      </c>
      <c r="M99" s="1387">
        <f t="shared" si="22"/>
        <v>45810</v>
      </c>
      <c r="N99" s="1387"/>
      <c r="O99" s="1387"/>
      <c r="P99" s="1387">
        <f t="shared" si="22"/>
        <v>4050</v>
      </c>
      <c r="Q99" s="1387"/>
      <c r="R99" s="1388"/>
      <c r="S99" s="291"/>
      <c r="T99" s="291"/>
      <c r="U99" s="291"/>
      <c r="V99" s="291"/>
      <c r="W99" s="291"/>
      <c r="X99" s="291"/>
      <c r="Y99" s="291"/>
      <c r="Z99" s="291"/>
      <c r="AA99" s="291"/>
      <c r="AB99" s="291"/>
      <c r="AC99" s="291"/>
      <c r="AD99" s="291"/>
      <c r="AE99" s="291"/>
    </row>
    <row r="100" spans="1:31" s="55" customFormat="1" ht="22.5" customHeight="1" x14ac:dyDescent="0.3">
      <c r="A100" s="129">
        <v>91</v>
      </c>
      <c r="B100" s="308">
        <v>11</v>
      </c>
      <c r="C100" s="696"/>
      <c r="D100" s="344" t="s">
        <v>525</v>
      </c>
      <c r="E100" s="344"/>
      <c r="F100" s="453" t="s">
        <v>23</v>
      </c>
      <c r="G100" s="120">
        <v>133426</v>
      </c>
      <c r="H100" s="120">
        <v>125485</v>
      </c>
      <c r="I100" s="352">
        <v>151034</v>
      </c>
      <c r="J100" s="362"/>
      <c r="K100" s="120"/>
      <c r="L100" s="120"/>
      <c r="M100" s="120"/>
      <c r="N100" s="120"/>
      <c r="O100" s="120"/>
      <c r="P100" s="120"/>
      <c r="Q100" s="120"/>
      <c r="R100" s="134"/>
      <c r="S100" s="154"/>
      <c r="T100" s="154"/>
      <c r="U100" s="154"/>
      <c r="V100" s="154"/>
      <c r="W100" s="154"/>
      <c r="X100" s="154"/>
      <c r="Y100" s="154"/>
      <c r="Z100" s="154"/>
      <c r="AA100" s="154"/>
      <c r="AB100" s="154"/>
      <c r="AC100" s="154"/>
      <c r="AD100" s="154"/>
      <c r="AE100" s="154"/>
    </row>
    <row r="101" spans="1:31" s="860" customFormat="1" ht="18" customHeight="1" x14ac:dyDescent="0.3">
      <c r="A101" s="129">
        <v>92</v>
      </c>
      <c r="B101" s="797"/>
      <c r="C101" s="841"/>
      <c r="D101" s="841"/>
      <c r="E101" s="842" t="s">
        <v>308</v>
      </c>
      <c r="F101" s="819"/>
      <c r="G101" s="819"/>
      <c r="H101" s="819"/>
      <c r="I101" s="843"/>
      <c r="J101" s="844">
        <f t="shared" ref="J101:J104" si="23">SUM(K101:R101)</f>
        <v>125328</v>
      </c>
      <c r="K101" s="845">
        <f>71395-11583+11583</f>
        <v>71395</v>
      </c>
      <c r="L101" s="845">
        <f>12810-2027+2027</f>
        <v>12810</v>
      </c>
      <c r="M101" s="845">
        <v>41123</v>
      </c>
      <c r="N101" s="845"/>
      <c r="O101" s="845"/>
      <c r="P101" s="845"/>
      <c r="Q101" s="845"/>
      <c r="R101" s="846"/>
      <c r="S101" s="859"/>
      <c r="T101" s="859"/>
      <c r="U101" s="859"/>
      <c r="V101" s="859"/>
      <c r="W101" s="859"/>
      <c r="X101" s="859"/>
      <c r="Y101" s="859"/>
      <c r="Z101" s="859"/>
      <c r="AA101" s="859"/>
      <c r="AB101" s="859"/>
      <c r="AC101" s="859"/>
      <c r="AD101" s="859"/>
      <c r="AE101" s="859"/>
    </row>
    <row r="102" spans="1:31" s="860" customFormat="1" ht="18" customHeight="1" x14ac:dyDescent="0.3">
      <c r="A102" s="129">
        <v>93</v>
      </c>
      <c r="B102" s="797"/>
      <c r="C102" s="841"/>
      <c r="D102" s="841"/>
      <c r="E102" s="683" t="s">
        <v>1158</v>
      </c>
      <c r="F102" s="819"/>
      <c r="G102" s="819"/>
      <c r="H102" s="819"/>
      <c r="I102" s="843"/>
      <c r="J102" s="354">
        <f t="shared" ref="J102" si="24">SUM(K102:R102)</f>
        <v>149371</v>
      </c>
      <c r="K102" s="1387">
        <v>84746</v>
      </c>
      <c r="L102" s="1387">
        <v>15330</v>
      </c>
      <c r="M102" s="1387">
        <v>47213</v>
      </c>
      <c r="N102" s="1387"/>
      <c r="O102" s="1387"/>
      <c r="P102" s="1387">
        <v>2082</v>
      </c>
      <c r="Q102" s="845"/>
      <c r="R102" s="846"/>
      <c r="S102" s="859"/>
      <c r="T102" s="859"/>
      <c r="U102" s="859"/>
      <c r="V102" s="859"/>
      <c r="W102" s="859"/>
      <c r="X102" s="859"/>
      <c r="Y102" s="859"/>
      <c r="Z102" s="859"/>
      <c r="AA102" s="859"/>
      <c r="AB102" s="859"/>
      <c r="AC102" s="859"/>
      <c r="AD102" s="859"/>
      <c r="AE102" s="859"/>
    </row>
    <row r="103" spans="1:31" s="55" customFormat="1" ht="18" customHeight="1" x14ac:dyDescent="0.3">
      <c r="A103" s="129">
        <v>94</v>
      </c>
      <c r="B103" s="1353"/>
      <c r="C103" s="1380"/>
      <c r="D103" s="1380"/>
      <c r="E103" s="1355" t="s">
        <v>1325</v>
      </c>
      <c r="F103" s="315"/>
      <c r="G103" s="315"/>
      <c r="H103" s="315"/>
      <c r="I103" s="1382"/>
      <c r="J103" s="1383">
        <f t="shared" si="23"/>
        <v>4918</v>
      </c>
      <c r="K103" s="358">
        <v>200</v>
      </c>
      <c r="L103" s="358">
        <v>28</v>
      </c>
      <c r="M103" s="358">
        <v>4690</v>
      </c>
      <c r="N103" s="358"/>
      <c r="O103" s="358"/>
      <c r="P103" s="358"/>
      <c r="Q103" s="358"/>
      <c r="R103" s="359"/>
      <c r="S103" s="154"/>
      <c r="T103" s="154"/>
      <c r="U103" s="154"/>
      <c r="V103" s="154"/>
      <c r="W103" s="154"/>
      <c r="X103" s="154"/>
      <c r="Y103" s="154"/>
      <c r="Z103" s="154"/>
      <c r="AA103" s="154"/>
      <c r="AB103" s="154"/>
      <c r="AC103" s="154"/>
      <c r="AD103" s="154"/>
      <c r="AE103" s="154"/>
    </row>
    <row r="104" spans="1:31" s="55" customFormat="1" ht="18" customHeight="1" x14ac:dyDescent="0.3">
      <c r="A104" s="129">
        <v>95</v>
      </c>
      <c r="B104" s="1353"/>
      <c r="C104" s="1380"/>
      <c r="D104" s="1380"/>
      <c r="E104" s="1355" t="s">
        <v>1328</v>
      </c>
      <c r="F104" s="315"/>
      <c r="G104" s="315"/>
      <c r="H104" s="315"/>
      <c r="I104" s="1382"/>
      <c r="J104" s="1383">
        <f t="shared" si="23"/>
        <v>1</v>
      </c>
      <c r="K104" s="358"/>
      <c r="L104" s="358"/>
      <c r="M104" s="358">
        <v>1</v>
      </c>
      <c r="N104" s="358"/>
      <c r="O104" s="358"/>
      <c r="P104" s="358"/>
      <c r="Q104" s="358"/>
      <c r="R104" s="359"/>
      <c r="S104" s="154"/>
      <c r="T104" s="154"/>
      <c r="U104" s="154"/>
      <c r="V104" s="154"/>
      <c r="W104" s="154"/>
      <c r="X104" s="154"/>
      <c r="Y104" s="154"/>
      <c r="Z104" s="154"/>
      <c r="AA104" s="154"/>
      <c r="AB104" s="154"/>
      <c r="AC104" s="154"/>
      <c r="AD104" s="154"/>
      <c r="AE104" s="154"/>
    </row>
    <row r="105" spans="1:31" s="58" customFormat="1" ht="18" customHeight="1" x14ac:dyDescent="0.3">
      <c r="A105" s="129">
        <v>96</v>
      </c>
      <c r="B105" s="460"/>
      <c r="C105" s="1384"/>
      <c r="D105" s="1384"/>
      <c r="E105" s="344" t="s">
        <v>1250</v>
      </c>
      <c r="F105" s="1385"/>
      <c r="G105" s="1385"/>
      <c r="H105" s="1385"/>
      <c r="I105" s="1386"/>
      <c r="J105" s="354">
        <f>SUM(K105:R105)</f>
        <v>154290</v>
      </c>
      <c r="K105" s="1387">
        <f>SUM(K102:K104)</f>
        <v>84946</v>
      </c>
      <c r="L105" s="1387">
        <f>SUM(L102:L104)</f>
        <v>15358</v>
      </c>
      <c r="M105" s="1387">
        <f>SUM(M102:M104)</f>
        <v>51904</v>
      </c>
      <c r="N105" s="1387"/>
      <c r="O105" s="1387"/>
      <c r="P105" s="1387">
        <f>SUM(P102:P104)</f>
        <v>2082</v>
      </c>
      <c r="Q105" s="1387"/>
      <c r="R105" s="1388"/>
      <c r="S105" s="291"/>
      <c r="T105" s="291"/>
      <c r="U105" s="291"/>
      <c r="V105" s="291"/>
      <c r="W105" s="291"/>
      <c r="X105" s="291"/>
      <c r="Y105" s="291"/>
      <c r="Z105" s="291"/>
      <c r="AA105" s="291"/>
      <c r="AB105" s="291"/>
      <c r="AC105" s="291"/>
      <c r="AD105" s="291"/>
      <c r="AE105" s="291"/>
    </row>
    <row r="106" spans="1:31" s="55" customFormat="1" ht="18" customHeight="1" x14ac:dyDescent="0.3">
      <c r="A106" s="129">
        <v>97</v>
      </c>
      <c r="B106" s="1236"/>
      <c r="C106" s="1237"/>
      <c r="D106" s="1238" t="s">
        <v>896</v>
      </c>
      <c r="E106" s="1239"/>
      <c r="F106" s="1240"/>
      <c r="G106" s="157"/>
      <c r="H106" s="157"/>
      <c r="I106" s="1713"/>
      <c r="J106" s="362"/>
      <c r="K106" s="358"/>
      <c r="L106" s="358"/>
      <c r="M106" s="358"/>
      <c r="N106" s="358"/>
      <c r="O106" s="358"/>
      <c r="P106" s="358"/>
      <c r="Q106" s="358"/>
      <c r="R106" s="359"/>
      <c r="S106" s="154"/>
      <c r="T106" s="154"/>
      <c r="U106" s="154"/>
      <c r="V106" s="154"/>
      <c r="W106" s="154"/>
      <c r="X106" s="154"/>
      <c r="Y106" s="154"/>
      <c r="Z106" s="154"/>
      <c r="AA106" s="154"/>
      <c r="AB106" s="154"/>
      <c r="AC106" s="154"/>
      <c r="AD106" s="154"/>
      <c r="AE106" s="154"/>
    </row>
    <row r="107" spans="1:31" s="860" customFormat="1" ht="18" customHeight="1" x14ac:dyDescent="0.3">
      <c r="A107" s="129">
        <v>98</v>
      </c>
      <c r="B107" s="1174"/>
      <c r="C107" s="1176"/>
      <c r="D107" s="1176"/>
      <c r="E107" s="1241" t="s">
        <v>308</v>
      </c>
      <c r="F107" s="1242"/>
      <c r="G107" s="820"/>
      <c r="H107" s="820"/>
      <c r="I107" s="1714"/>
      <c r="J107" s="1178">
        <f>SUM(K107:R107)</f>
        <v>13610</v>
      </c>
      <c r="K107" s="1179">
        <v>11583</v>
      </c>
      <c r="L107" s="1179">
        <v>2027</v>
      </c>
      <c r="M107" s="1179"/>
      <c r="N107" s="1179"/>
      <c r="O107" s="1179"/>
      <c r="P107" s="1179"/>
      <c r="Q107" s="1179"/>
      <c r="R107" s="1180"/>
      <c r="S107" s="859"/>
      <c r="T107" s="859"/>
      <c r="U107" s="859"/>
      <c r="V107" s="859"/>
      <c r="W107" s="859"/>
      <c r="X107" s="859"/>
      <c r="Y107" s="859"/>
      <c r="Z107" s="859"/>
      <c r="AA107" s="859"/>
      <c r="AB107" s="859"/>
      <c r="AC107" s="859"/>
      <c r="AD107" s="859"/>
      <c r="AE107" s="859"/>
    </row>
    <row r="108" spans="1:31" s="860" customFormat="1" ht="18" customHeight="1" x14ac:dyDescent="0.3">
      <c r="A108" s="129">
        <v>99</v>
      </c>
      <c r="B108" s="1174"/>
      <c r="C108" s="1176"/>
      <c r="D108" s="1176"/>
      <c r="E108" s="1401" t="s">
        <v>1158</v>
      </c>
      <c r="F108" s="1242"/>
      <c r="G108" s="820"/>
      <c r="H108" s="820"/>
      <c r="I108" s="1714"/>
      <c r="J108" s="362">
        <f>SUM(K108:R108)</f>
        <v>0</v>
      </c>
      <c r="K108" s="1403">
        <v>0</v>
      </c>
      <c r="L108" s="1403">
        <v>0</v>
      </c>
      <c r="M108" s="1179"/>
      <c r="N108" s="1179"/>
      <c r="O108" s="1179"/>
      <c r="P108" s="1179"/>
      <c r="Q108" s="1179"/>
      <c r="R108" s="1180"/>
      <c r="S108" s="859"/>
      <c r="T108" s="859"/>
      <c r="U108" s="859"/>
      <c r="V108" s="859"/>
      <c r="W108" s="859"/>
      <c r="X108" s="859"/>
      <c r="Y108" s="859"/>
      <c r="Z108" s="859"/>
      <c r="AA108" s="859"/>
      <c r="AB108" s="859"/>
      <c r="AC108" s="859"/>
      <c r="AD108" s="859"/>
      <c r="AE108" s="859"/>
    </row>
    <row r="109" spans="1:31" s="55" customFormat="1" ht="18" customHeight="1" x14ac:dyDescent="0.3">
      <c r="A109" s="129">
        <v>100</v>
      </c>
      <c r="B109" s="1353"/>
      <c r="C109" s="1380"/>
      <c r="D109" s="1380"/>
      <c r="E109" s="1399" t="s">
        <v>969</v>
      </c>
      <c r="F109" s="315"/>
      <c r="G109" s="315"/>
      <c r="H109" s="315"/>
      <c r="I109" s="1382"/>
      <c r="J109" s="1383">
        <f>SUM(K109:R109)</f>
        <v>0</v>
      </c>
      <c r="K109" s="358"/>
      <c r="L109" s="358"/>
      <c r="M109" s="358"/>
      <c r="N109" s="358"/>
      <c r="O109" s="358"/>
      <c r="P109" s="358"/>
      <c r="Q109" s="358"/>
      <c r="R109" s="359"/>
      <c r="S109" s="154"/>
      <c r="T109" s="154"/>
      <c r="U109" s="154"/>
      <c r="V109" s="154"/>
      <c r="W109" s="154"/>
      <c r="X109" s="154"/>
      <c r="Y109" s="154"/>
      <c r="Z109" s="154"/>
      <c r="AA109" s="154"/>
      <c r="AB109" s="154"/>
      <c r="AC109" s="154"/>
      <c r="AD109" s="154"/>
      <c r="AE109" s="154"/>
    </row>
    <row r="110" spans="1:31" s="59" customFormat="1" ht="18" customHeight="1" x14ac:dyDescent="0.3">
      <c r="A110" s="129">
        <v>101</v>
      </c>
      <c r="B110" s="355"/>
      <c r="C110" s="1400"/>
      <c r="D110" s="1400"/>
      <c r="E110" s="1401" t="s">
        <v>1250</v>
      </c>
      <c r="F110" s="1402"/>
      <c r="G110" s="1402"/>
      <c r="H110" s="1402"/>
      <c r="I110" s="1715"/>
      <c r="J110" s="362">
        <f>SUM(K110:R110)</f>
        <v>0</v>
      </c>
      <c r="K110" s="1403">
        <f>SUM(K108:K109)</f>
        <v>0</v>
      </c>
      <c r="L110" s="1403">
        <f>SUM(L108:L109)</f>
        <v>0</v>
      </c>
      <c r="M110" s="1403"/>
      <c r="N110" s="1403"/>
      <c r="O110" s="1403"/>
      <c r="P110" s="1403"/>
      <c r="Q110" s="1403"/>
      <c r="R110" s="1404"/>
      <c r="S110" s="356"/>
      <c r="T110" s="356"/>
      <c r="U110" s="356"/>
      <c r="V110" s="356"/>
      <c r="W110" s="356"/>
      <c r="X110" s="356"/>
      <c r="Y110" s="356"/>
      <c r="Z110" s="356"/>
      <c r="AA110" s="356"/>
      <c r="AB110" s="356"/>
      <c r="AC110" s="356"/>
      <c r="AD110" s="356"/>
      <c r="AE110" s="356"/>
    </row>
    <row r="111" spans="1:31" s="59" customFormat="1" ht="18" customHeight="1" x14ac:dyDescent="0.3">
      <c r="A111" s="129">
        <v>102</v>
      </c>
      <c r="B111" s="355"/>
      <c r="C111" s="696">
        <v>1</v>
      </c>
      <c r="D111" s="682" t="s">
        <v>1180</v>
      </c>
      <c r="E111" s="1046"/>
      <c r="F111" s="456"/>
      <c r="G111" s="1402"/>
      <c r="H111" s="1402"/>
      <c r="I111" s="1715"/>
      <c r="J111" s="362"/>
      <c r="K111" s="1403"/>
      <c r="L111" s="1403"/>
      <c r="M111" s="1403"/>
      <c r="N111" s="1403"/>
      <c r="O111" s="1403"/>
      <c r="P111" s="1403"/>
      <c r="Q111" s="1403"/>
      <c r="R111" s="1404"/>
      <c r="S111" s="356"/>
      <c r="T111" s="356"/>
      <c r="U111" s="356"/>
      <c r="V111" s="356"/>
      <c r="W111" s="356"/>
      <c r="X111" s="356"/>
      <c r="Y111" s="356"/>
      <c r="Z111" s="356"/>
      <c r="AA111" s="356"/>
      <c r="AB111" s="356"/>
      <c r="AC111" s="356"/>
      <c r="AD111" s="356"/>
      <c r="AE111" s="356"/>
    </row>
    <row r="112" spans="1:31" s="59" customFormat="1" ht="18" customHeight="1" x14ac:dyDescent="0.3">
      <c r="A112" s="129">
        <v>103</v>
      </c>
      <c r="B112" s="355"/>
      <c r="C112" s="696"/>
      <c r="D112" s="682"/>
      <c r="E112" s="683" t="s">
        <v>1158</v>
      </c>
      <c r="F112" s="456"/>
      <c r="G112" s="1402"/>
      <c r="H112" s="1402"/>
      <c r="I112" s="1715"/>
      <c r="J112" s="354">
        <f t="shared" ref="J112:J114" si="25">SUM(K112:R112)</f>
        <v>1879</v>
      </c>
      <c r="K112" s="1403"/>
      <c r="L112" s="1403"/>
      <c r="M112" s="1387">
        <v>1879</v>
      </c>
      <c r="N112" s="1403"/>
      <c r="O112" s="1403"/>
      <c r="P112" s="1403"/>
      <c r="Q112" s="1403"/>
      <c r="R112" s="1404"/>
      <c r="S112" s="356"/>
      <c r="T112" s="356"/>
      <c r="U112" s="356"/>
      <c r="V112" s="356"/>
      <c r="W112" s="356"/>
      <c r="X112" s="356"/>
      <c r="Y112" s="356"/>
      <c r="Z112" s="356"/>
      <c r="AA112" s="356"/>
      <c r="AB112" s="356"/>
      <c r="AC112" s="356"/>
      <c r="AD112" s="356"/>
      <c r="AE112" s="356"/>
    </row>
    <row r="113" spans="1:31" s="59" customFormat="1" ht="18" customHeight="1" x14ac:dyDescent="0.3">
      <c r="A113" s="129">
        <v>104</v>
      </c>
      <c r="B113" s="355"/>
      <c r="C113" s="1400"/>
      <c r="D113" s="1400"/>
      <c r="E113" s="1381" t="s">
        <v>947</v>
      </c>
      <c r="F113" s="1402"/>
      <c r="G113" s="1402"/>
      <c r="H113" s="1402"/>
      <c r="I113" s="1715"/>
      <c r="J113" s="1383">
        <f t="shared" ref="J113" si="26">SUM(K113:R113)</f>
        <v>0</v>
      </c>
      <c r="K113" s="1403"/>
      <c r="L113" s="1403"/>
      <c r="M113" s="358"/>
      <c r="N113" s="1403"/>
      <c r="O113" s="1403"/>
      <c r="P113" s="1403"/>
      <c r="Q113" s="1403"/>
      <c r="R113" s="1404"/>
      <c r="S113" s="356"/>
      <c r="T113" s="356"/>
      <c r="U113" s="356"/>
      <c r="V113" s="356"/>
      <c r="W113" s="356"/>
      <c r="X113" s="356"/>
      <c r="Y113" s="356"/>
      <c r="Z113" s="356"/>
      <c r="AA113" s="356"/>
      <c r="AB113" s="356"/>
      <c r="AC113" s="356"/>
      <c r="AD113" s="356"/>
      <c r="AE113" s="356"/>
    </row>
    <row r="114" spans="1:31" s="59" customFormat="1" ht="18" customHeight="1" x14ac:dyDescent="0.3">
      <c r="A114" s="129">
        <v>105</v>
      </c>
      <c r="B114" s="355"/>
      <c r="C114" s="1400"/>
      <c r="D114" s="1400"/>
      <c r="E114" s="344" t="s">
        <v>1250</v>
      </c>
      <c r="F114" s="1402"/>
      <c r="G114" s="1402"/>
      <c r="H114" s="1402"/>
      <c r="I114" s="1715"/>
      <c r="J114" s="354">
        <f t="shared" si="25"/>
        <v>1879</v>
      </c>
      <c r="K114" s="1403"/>
      <c r="L114" s="1403"/>
      <c r="M114" s="1387">
        <f>SUM(M112:M113)</f>
        <v>1879</v>
      </c>
      <c r="N114" s="1403"/>
      <c r="O114" s="1403"/>
      <c r="P114" s="1403"/>
      <c r="Q114" s="1403"/>
      <c r="R114" s="1404"/>
      <c r="S114" s="356"/>
      <c r="T114" s="356"/>
      <c r="U114" s="356"/>
      <c r="V114" s="356"/>
      <c r="W114" s="356"/>
      <c r="X114" s="356"/>
      <c r="Y114" s="356"/>
      <c r="Z114" s="356"/>
      <c r="AA114" s="356"/>
      <c r="AB114" s="356"/>
      <c r="AC114" s="356"/>
      <c r="AD114" s="356"/>
      <c r="AE114" s="356"/>
    </row>
    <row r="115" spans="1:31" s="55" customFormat="1" ht="22.5" customHeight="1" x14ac:dyDescent="0.3">
      <c r="A115" s="129">
        <v>106</v>
      </c>
      <c r="B115" s="308">
        <v>12</v>
      </c>
      <c r="C115" s="696"/>
      <c r="D115" s="344" t="s">
        <v>25</v>
      </c>
      <c r="E115" s="344"/>
      <c r="F115" s="453" t="s">
        <v>23</v>
      </c>
      <c r="G115" s="120">
        <v>444070</v>
      </c>
      <c r="H115" s="120">
        <v>403206</v>
      </c>
      <c r="I115" s="352">
        <v>440640</v>
      </c>
      <c r="J115" s="362"/>
      <c r="K115" s="120"/>
      <c r="L115" s="120"/>
      <c r="M115" s="120"/>
      <c r="N115" s="120"/>
      <c r="O115" s="120"/>
      <c r="P115" s="120"/>
      <c r="Q115" s="120"/>
      <c r="R115" s="134"/>
      <c r="S115" s="154"/>
      <c r="T115" s="154"/>
      <c r="U115" s="154"/>
      <c r="V115" s="154"/>
      <c r="W115" s="154"/>
      <c r="X115" s="154"/>
      <c r="Y115" s="154"/>
      <c r="Z115" s="154"/>
      <c r="AA115" s="154"/>
      <c r="AB115" s="154"/>
      <c r="AC115" s="154"/>
      <c r="AD115" s="154"/>
      <c r="AE115" s="154"/>
    </row>
    <row r="116" spans="1:31" s="860" customFormat="1" ht="18" customHeight="1" x14ac:dyDescent="0.3">
      <c r="A116" s="129">
        <v>107</v>
      </c>
      <c r="B116" s="797"/>
      <c r="C116" s="841"/>
      <c r="D116" s="841"/>
      <c r="E116" s="842" t="s">
        <v>308</v>
      </c>
      <c r="F116" s="819"/>
      <c r="G116" s="819"/>
      <c r="H116" s="819"/>
      <c r="I116" s="843"/>
      <c r="J116" s="844">
        <f t="shared" ref="J116:J120" si="27">SUM(K116:R116)</f>
        <v>411904</v>
      </c>
      <c r="K116" s="845">
        <f>171809-11583+11583</f>
        <v>171809</v>
      </c>
      <c r="L116" s="845">
        <f>30653-2027+2027</f>
        <v>30653</v>
      </c>
      <c r="M116" s="845">
        <v>193442</v>
      </c>
      <c r="N116" s="845"/>
      <c r="O116" s="845"/>
      <c r="P116" s="845">
        <v>16000</v>
      </c>
      <c r="Q116" s="845"/>
      <c r="R116" s="846"/>
      <c r="S116" s="859"/>
      <c r="T116" s="859"/>
      <c r="U116" s="859"/>
      <c r="V116" s="859"/>
      <c r="W116" s="859"/>
      <c r="X116" s="859"/>
      <c r="Y116" s="859"/>
      <c r="Z116" s="859"/>
      <c r="AA116" s="859"/>
      <c r="AB116" s="859"/>
      <c r="AC116" s="859"/>
      <c r="AD116" s="859"/>
      <c r="AE116" s="859"/>
    </row>
    <row r="117" spans="1:31" s="860" customFormat="1" ht="18" customHeight="1" x14ac:dyDescent="0.3">
      <c r="A117" s="129">
        <v>108</v>
      </c>
      <c r="B117" s="797"/>
      <c r="C117" s="841"/>
      <c r="D117" s="841"/>
      <c r="E117" s="683" t="s">
        <v>1158</v>
      </c>
      <c r="F117" s="819"/>
      <c r="G117" s="819"/>
      <c r="H117" s="819"/>
      <c r="I117" s="843"/>
      <c r="J117" s="354">
        <f t="shared" si="27"/>
        <v>460036</v>
      </c>
      <c r="K117" s="1387">
        <v>195704</v>
      </c>
      <c r="L117" s="1387">
        <v>34979</v>
      </c>
      <c r="M117" s="1387">
        <v>143658</v>
      </c>
      <c r="N117" s="1387"/>
      <c r="O117" s="1387"/>
      <c r="P117" s="1387">
        <v>85695</v>
      </c>
      <c r="Q117" s="845"/>
      <c r="R117" s="846"/>
      <c r="S117" s="859"/>
      <c r="T117" s="859"/>
      <c r="U117" s="859"/>
      <c r="V117" s="859"/>
      <c r="W117" s="859"/>
      <c r="X117" s="859"/>
      <c r="Y117" s="859"/>
      <c r="Z117" s="859"/>
      <c r="AA117" s="859"/>
      <c r="AB117" s="859"/>
      <c r="AC117" s="859"/>
      <c r="AD117" s="859"/>
      <c r="AE117" s="859"/>
    </row>
    <row r="118" spans="1:31" s="55" customFormat="1" ht="18" customHeight="1" x14ac:dyDescent="0.3">
      <c r="A118" s="129">
        <v>109</v>
      </c>
      <c r="B118" s="1353"/>
      <c r="C118" s="1380"/>
      <c r="D118" s="1380"/>
      <c r="E118" s="1355" t="s">
        <v>1321</v>
      </c>
      <c r="F118" s="315"/>
      <c r="G118" s="315"/>
      <c r="H118" s="315"/>
      <c r="I118" s="1382"/>
      <c r="J118" s="1383">
        <f t="shared" si="27"/>
        <v>409</v>
      </c>
      <c r="K118" s="358">
        <v>-3863</v>
      </c>
      <c r="L118" s="358">
        <v>-692</v>
      </c>
      <c r="M118" s="358">
        <v>6369</v>
      </c>
      <c r="N118" s="358"/>
      <c r="O118" s="358"/>
      <c r="P118" s="358">
        <v>-1405</v>
      </c>
      <c r="Q118" s="358"/>
      <c r="R118" s="359"/>
      <c r="S118" s="154"/>
      <c r="T118" s="154"/>
      <c r="U118" s="154"/>
      <c r="V118" s="154"/>
      <c r="W118" s="154"/>
      <c r="X118" s="154"/>
      <c r="Y118" s="154"/>
      <c r="Z118" s="154"/>
      <c r="AA118" s="154"/>
      <c r="AB118" s="154"/>
      <c r="AC118" s="154"/>
      <c r="AD118" s="154"/>
      <c r="AE118" s="154"/>
    </row>
    <row r="119" spans="1:31" s="55" customFormat="1" ht="18" customHeight="1" x14ac:dyDescent="0.3">
      <c r="A119" s="129">
        <v>110</v>
      </c>
      <c r="B119" s="1353"/>
      <c r="C119" s="1380"/>
      <c r="D119" s="1380"/>
      <c r="E119" s="1355" t="s">
        <v>1328</v>
      </c>
      <c r="F119" s="315"/>
      <c r="G119" s="315"/>
      <c r="H119" s="315"/>
      <c r="I119" s="1382"/>
      <c r="J119" s="1383">
        <f t="shared" si="27"/>
        <v>1</v>
      </c>
      <c r="K119" s="358"/>
      <c r="L119" s="358"/>
      <c r="M119" s="358">
        <v>1</v>
      </c>
      <c r="N119" s="358"/>
      <c r="O119" s="358"/>
      <c r="P119" s="358"/>
      <c r="Q119" s="358"/>
      <c r="R119" s="359"/>
      <c r="S119" s="154"/>
      <c r="T119" s="154"/>
      <c r="U119" s="154"/>
      <c r="V119" s="154"/>
      <c r="W119" s="154"/>
      <c r="X119" s="154"/>
      <c r="Y119" s="154"/>
      <c r="Z119" s="154"/>
      <c r="AA119" s="154"/>
      <c r="AB119" s="154"/>
      <c r="AC119" s="154"/>
      <c r="AD119" s="154"/>
      <c r="AE119" s="154"/>
    </row>
    <row r="120" spans="1:31" s="58" customFormat="1" ht="18" customHeight="1" x14ac:dyDescent="0.3">
      <c r="A120" s="129">
        <v>111</v>
      </c>
      <c r="B120" s="460"/>
      <c r="C120" s="1384"/>
      <c r="D120" s="1384"/>
      <c r="E120" s="344" t="s">
        <v>1250</v>
      </c>
      <c r="F120" s="1385"/>
      <c r="G120" s="1385"/>
      <c r="H120" s="1385"/>
      <c r="I120" s="1386"/>
      <c r="J120" s="354">
        <f t="shared" si="27"/>
        <v>460446</v>
      </c>
      <c r="K120" s="1387">
        <f>SUM(K117:K119)</f>
        <v>191841</v>
      </c>
      <c r="L120" s="1387">
        <f>SUM(L117:L119)</f>
        <v>34287</v>
      </c>
      <c r="M120" s="1387">
        <f>SUM(M117:M119)</f>
        <v>150028</v>
      </c>
      <c r="N120" s="1387"/>
      <c r="O120" s="1387"/>
      <c r="P120" s="1387">
        <f>SUM(P117:P119)</f>
        <v>84290</v>
      </c>
      <c r="Q120" s="1387"/>
      <c r="R120" s="1388"/>
      <c r="S120" s="291"/>
      <c r="T120" s="291"/>
      <c r="U120" s="291"/>
      <c r="V120" s="291"/>
      <c r="W120" s="291"/>
      <c r="X120" s="291"/>
      <c r="Y120" s="291"/>
      <c r="Z120" s="291"/>
      <c r="AA120" s="291"/>
      <c r="AB120" s="291"/>
      <c r="AC120" s="291"/>
      <c r="AD120" s="291"/>
      <c r="AE120" s="291"/>
    </row>
    <row r="121" spans="1:31" s="55" customFormat="1" ht="18" customHeight="1" x14ac:dyDescent="0.3">
      <c r="A121" s="129">
        <v>112</v>
      </c>
      <c r="B121" s="1236"/>
      <c r="C121" s="1237"/>
      <c r="D121" s="1238" t="s">
        <v>896</v>
      </c>
      <c r="E121" s="1239"/>
      <c r="F121" s="1240"/>
      <c r="G121" s="157"/>
      <c r="H121" s="157"/>
      <c r="I121" s="1713"/>
      <c r="J121" s="362"/>
      <c r="K121" s="358"/>
      <c r="L121" s="358"/>
      <c r="M121" s="358"/>
      <c r="N121" s="358"/>
      <c r="O121" s="358"/>
      <c r="P121" s="358"/>
      <c r="Q121" s="358"/>
      <c r="R121" s="359"/>
      <c r="S121" s="154"/>
      <c r="T121" s="154"/>
      <c r="U121" s="154"/>
      <c r="V121" s="154"/>
      <c r="W121" s="154"/>
      <c r="X121" s="154"/>
      <c r="Y121" s="154"/>
      <c r="Z121" s="154"/>
      <c r="AA121" s="154"/>
      <c r="AB121" s="154"/>
      <c r="AC121" s="154"/>
      <c r="AD121" s="154"/>
      <c r="AE121" s="154"/>
    </row>
    <row r="122" spans="1:31" s="860" customFormat="1" ht="18" customHeight="1" x14ac:dyDescent="0.3">
      <c r="A122" s="129">
        <v>113</v>
      </c>
      <c r="B122" s="1174"/>
      <c r="C122" s="1176"/>
      <c r="D122" s="1176"/>
      <c r="E122" s="1241" t="s">
        <v>308</v>
      </c>
      <c r="F122" s="1242"/>
      <c r="G122" s="820"/>
      <c r="H122" s="820"/>
      <c r="I122" s="1714"/>
      <c r="J122" s="1178">
        <f>SUM(K122:R122)</f>
        <v>13610</v>
      </c>
      <c r="K122" s="1179">
        <v>11583</v>
      </c>
      <c r="L122" s="1179">
        <v>2027</v>
      </c>
      <c r="M122" s="1179"/>
      <c r="N122" s="1179"/>
      <c r="O122" s="1179"/>
      <c r="P122" s="1179"/>
      <c r="Q122" s="1179"/>
      <c r="R122" s="1180"/>
      <c r="S122" s="859"/>
      <c r="T122" s="859"/>
      <c r="U122" s="859"/>
      <c r="V122" s="859"/>
      <c r="W122" s="859"/>
      <c r="X122" s="859"/>
      <c r="Y122" s="859"/>
      <c r="Z122" s="859"/>
      <c r="AA122" s="859"/>
      <c r="AB122" s="859"/>
      <c r="AC122" s="859"/>
      <c r="AD122" s="859"/>
      <c r="AE122" s="859"/>
    </row>
    <row r="123" spans="1:31" s="860" customFormat="1" ht="18" customHeight="1" x14ac:dyDescent="0.3">
      <c r="A123" s="129">
        <v>114</v>
      </c>
      <c r="B123" s="1174"/>
      <c r="C123" s="1176"/>
      <c r="D123" s="1176"/>
      <c r="E123" s="1401" t="s">
        <v>1158</v>
      </c>
      <c r="F123" s="1242"/>
      <c r="G123" s="820"/>
      <c r="H123" s="820"/>
      <c r="I123" s="1714"/>
      <c r="J123" s="362">
        <f>SUM(K123:R123)</f>
        <v>0</v>
      </c>
      <c r="K123" s="1403">
        <v>0</v>
      </c>
      <c r="L123" s="1403">
        <v>0</v>
      </c>
      <c r="M123" s="1179"/>
      <c r="N123" s="1179"/>
      <c r="O123" s="1179"/>
      <c r="P123" s="1179"/>
      <c r="Q123" s="1179"/>
      <c r="R123" s="1180"/>
      <c r="S123" s="859"/>
      <c r="T123" s="859"/>
      <c r="U123" s="859"/>
      <c r="V123" s="859"/>
      <c r="W123" s="859"/>
      <c r="X123" s="859"/>
      <c r="Y123" s="859"/>
      <c r="Z123" s="859"/>
      <c r="AA123" s="859"/>
      <c r="AB123" s="859"/>
      <c r="AC123" s="859"/>
      <c r="AD123" s="859"/>
      <c r="AE123" s="859"/>
    </row>
    <row r="124" spans="1:31" s="55" customFormat="1" ht="18" customHeight="1" x14ac:dyDescent="0.3">
      <c r="A124" s="129">
        <v>115</v>
      </c>
      <c r="B124" s="1353"/>
      <c r="C124" s="1380"/>
      <c r="D124" s="1380"/>
      <c r="E124" s="1399" t="s">
        <v>969</v>
      </c>
      <c r="F124" s="315"/>
      <c r="G124" s="315"/>
      <c r="H124" s="315"/>
      <c r="I124" s="1382"/>
      <c r="J124" s="1383">
        <f>SUM(K124:R124)</f>
        <v>0</v>
      </c>
      <c r="K124" s="358"/>
      <c r="L124" s="358"/>
      <c r="M124" s="358"/>
      <c r="N124" s="358"/>
      <c r="O124" s="358"/>
      <c r="P124" s="358"/>
      <c r="Q124" s="358"/>
      <c r="R124" s="359"/>
      <c r="S124" s="154"/>
      <c r="T124" s="154"/>
      <c r="U124" s="154"/>
      <c r="V124" s="154"/>
      <c r="W124" s="154"/>
      <c r="X124" s="154"/>
      <c r="Y124" s="154"/>
      <c r="Z124" s="154"/>
      <c r="AA124" s="154"/>
      <c r="AB124" s="154"/>
      <c r="AC124" s="154"/>
      <c r="AD124" s="154"/>
      <c r="AE124" s="154"/>
    </row>
    <row r="125" spans="1:31" s="59" customFormat="1" ht="18" customHeight="1" x14ac:dyDescent="0.3">
      <c r="A125" s="129">
        <v>116</v>
      </c>
      <c r="B125" s="355"/>
      <c r="C125" s="1400"/>
      <c r="D125" s="1400"/>
      <c r="E125" s="1401" t="s">
        <v>1250</v>
      </c>
      <c r="F125" s="1402"/>
      <c r="G125" s="1402"/>
      <c r="H125" s="1402"/>
      <c r="I125" s="1715"/>
      <c r="J125" s="362">
        <f>SUM(K125:R125)</f>
        <v>0</v>
      </c>
      <c r="K125" s="1403">
        <f>SUM(K123:K124)</f>
        <v>0</v>
      </c>
      <c r="L125" s="1403">
        <f>SUM(L123:L124)</f>
        <v>0</v>
      </c>
      <c r="M125" s="1403"/>
      <c r="N125" s="1403"/>
      <c r="O125" s="1403"/>
      <c r="P125" s="1403"/>
      <c r="Q125" s="1403"/>
      <c r="R125" s="1404"/>
      <c r="S125" s="356"/>
      <c r="T125" s="356"/>
      <c r="U125" s="356"/>
      <c r="V125" s="356"/>
      <c r="W125" s="356"/>
      <c r="X125" s="356"/>
      <c r="Y125" s="356"/>
      <c r="Z125" s="356"/>
      <c r="AA125" s="356"/>
      <c r="AB125" s="356"/>
      <c r="AC125" s="356"/>
      <c r="AD125" s="356"/>
      <c r="AE125" s="356"/>
    </row>
    <row r="126" spans="1:31" s="51" customFormat="1" ht="18" customHeight="1" x14ac:dyDescent="0.3">
      <c r="A126" s="129">
        <v>117</v>
      </c>
      <c r="B126" s="312"/>
      <c r="C126" s="696">
        <v>1</v>
      </c>
      <c r="D126" s="1046" t="s">
        <v>152</v>
      </c>
      <c r="E126" s="1046"/>
      <c r="F126" s="456"/>
      <c r="G126" s="120">
        <v>657</v>
      </c>
      <c r="H126" s="120"/>
      <c r="I126" s="1716"/>
      <c r="J126" s="362"/>
      <c r="K126" s="347"/>
      <c r="L126" s="347"/>
      <c r="M126" s="347"/>
      <c r="N126" s="358"/>
      <c r="O126" s="358"/>
      <c r="P126" s="358"/>
      <c r="Q126" s="358"/>
      <c r="R126" s="359"/>
      <c r="S126" s="60"/>
      <c r="T126" s="60"/>
      <c r="U126" s="60"/>
      <c r="V126" s="60"/>
      <c r="W126" s="60"/>
      <c r="X126" s="60"/>
      <c r="Y126" s="60"/>
      <c r="Z126" s="60"/>
      <c r="AA126" s="60"/>
      <c r="AB126" s="60"/>
      <c r="AC126" s="60"/>
      <c r="AD126" s="60"/>
      <c r="AE126" s="60"/>
    </row>
    <row r="127" spans="1:31" s="51" customFormat="1" ht="18" customHeight="1" x14ac:dyDescent="0.3">
      <c r="A127" s="129">
        <v>118</v>
      </c>
      <c r="B127" s="312"/>
      <c r="C127" s="696">
        <v>2</v>
      </c>
      <c r="D127" s="1046" t="s">
        <v>647</v>
      </c>
      <c r="E127" s="1046"/>
      <c r="F127" s="456"/>
      <c r="G127" s="120"/>
      <c r="H127" s="120"/>
      <c r="I127" s="1716">
        <v>2096</v>
      </c>
      <c r="J127" s="362"/>
      <c r="K127" s="347"/>
      <c r="L127" s="347"/>
      <c r="M127" s="347"/>
      <c r="N127" s="358"/>
      <c r="O127" s="358"/>
      <c r="P127" s="358"/>
      <c r="Q127" s="358"/>
      <c r="R127" s="359"/>
      <c r="S127" s="60"/>
      <c r="T127" s="60"/>
      <c r="U127" s="60"/>
      <c r="V127" s="60"/>
      <c r="W127" s="60"/>
      <c r="X127" s="60"/>
      <c r="Y127" s="60"/>
      <c r="Z127" s="60"/>
      <c r="AA127" s="60"/>
      <c r="AB127" s="60"/>
      <c r="AC127" s="60"/>
      <c r="AD127" s="60"/>
      <c r="AE127" s="60"/>
    </row>
    <row r="128" spans="1:31" s="860" customFormat="1" ht="18" customHeight="1" x14ac:dyDescent="0.3">
      <c r="A128" s="129">
        <v>119</v>
      </c>
      <c r="B128" s="797"/>
      <c r="C128" s="841"/>
      <c r="D128" s="841"/>
      <c r="E128" s="856" t="s">
        <v>308</v>
      </c>
      <c r="F128" s="857"/>
      <c r="G128" s="819"/>
      <c r="H128" s="819"/>
      <c r="I128" s="843"/>
      <c r="J128" s="844">
        <f>SUM(K128:R128)</f>
        <v>55574</v>
      </c>
      <c r="K128" s="845">
        <v>13419</v>
      </c>
      <c r="L128" s="845">
        <v>2395</v>
      </c>
      <c r="M128" s="845">
        <v>37360</v>
      </c>
      <c r="N128" s="845"/>
      <c r="O128" s="845"/>
      <c r="P128" s="845">
        <v>2400</v>
      </c>
      <c r="Q128" s="845"/>
      <c r="R128" s="846"/>
      <c r="S128" s="859"/>
      <c r="T128" s="859"/>
      <c r="U128" s="859"/>
      <c r="V128" s="859"/>
      <c r="W128" s="859"/>
      <c r="X128" s="859"/>
      <c r="Y128" s="859"/>
      <c r="Z128" s="859"/>
      <c r="AA128" s="859"/>
      <c r="AB128" s="859"/>
      <c r="AC128" s="859"/>
      <c r="AD128" s="859"/>
      <c r="AE128" s="859"/>
    </row>
    <row r="129" spans="1:31" s="860" customFormat="1" ht="18" customHeight="1" x14ac:dyDescent="0.3">
      <c r="A129" s="129">
        <v>120</v>
      </c>
      <c r="B129" s="797"/>
      <c r="C129" s="841"/>
      <c r="D129" s="841"/>
      <c r="E129" s="344" t="s">
        <v>1158</v>
      </c>
      <c r="F129" s="857"/>
      <c r="G129" s="819"/>
      <c r="H129" s="819"/>
      <c r="I129" s="843"/>
      <c r="J129" s="354">
        <f>SUM(K129:R129)</f>
        <v>55491</v>
      </c>
      <c r="K129" s="1387">
        <v>13365</v>
      </c>
      <c r="L129" s="1387">
        <v>2366</v>
      </c>
      <c r="M129" s="1387">
        <v>37360</v>
      </c>
      <c r="N129" s="1387"/>
      <c r="O129" s="1387"/>
      <c r="P129" s="1387">
        <v>2400</v>
      </c>
      <c r="Q129" s="845"/>
      <c r="R129" s="846"/>
      <c r="S129" s="859"/>
      <c r="T129" s="859"/>
      <c r="U129" s="859"/>
      <c r="V129" s="859"/>
      <c r="W129" s="859"/>
      <c r="X129" s="859"/>
      <c r="Y129" s="859"/>
      <c r="Z129" s="859"/>
      <c r="AA129" s="859"/>
      <c r="AB129" s="859"/>
      <c r="AC129" s="859"/>
      <c r="AD129" s="859"/>
      <c r="AE129" s="859"/>
    </row>
    <row r="130" spans="1:31" s="55" customFormat="1" ht="18" customHeight="1" x14ac:dyDescent="0.3">
      <c r="A130" s="129">
        <v>121</v>
      </c>
      <c r="B130" s="1353"/>
      <c r="C130" s="1380"/>
      <c r="D130" s="1380"/>
      <c r="E130" s="1381" t="s">
        <v>969</v>
      </c>
      <c r="F130" s="315"/>
      <c r="G130" s="315"/>
      <c r="H130" s="315"/>
      <c r="I130" s="1382"/>
      <c r="J130" s="1383">
        <f>SUM(K130:R130)</f>
        <v>0</v>
      </c>
      <c r="K130" s="358"/>
      <c r="L130" s="358"/>
      <c r="M130" s="358"/>
      <c r="N130" s="358"/>
      <c r="O130" s="358"/>
      <c r="P130" s="358"/>
      <c r="Q130" s="358"/>
      <c r="R130" s="359"/>
      <c r="S130" s="154"/>
      <c r="T130" s="154"/>
      <c r="U130" s="154"/>
      <c r="V130" s="154"/>
      <c r="W130" s="154"/>
      <c r="X130" s="154"/>
      <c r="Y130" s="154"/>
      <c r="Z130" s="154"/>
      <c r="AA130" s="154"/>
      <c r="AB130" s="154"/>
      <c r="AC130" s="154"/>
      <c r="AD130" s="154"/>
      <c r="AE130" s="154"/>
    </row>
    <row r="131" spans="1:31" s="58" customFormat="1" ht="18" customHeight="1" x14ac:dyDescent="0.3">
      <c r="A131" s="129">
        <v>122</v>
      </c>
      <c r="B131" s="460"/>
      <c r="C131" s="1384"/>
      <c r="D131" s="1384"/>
      <c r="E131" s="344" t="s">
        <v>1250</v>
      </c>
      <c r="F131" s="1385"/>
      <c r="G131" s="1385"/>
      <c r="H131" s="1385"/>
      <c r="I131" s="1386"/>
      <c r="J131" s="354">
        <f>SUM(K131:R131)</f>
        <v>55491</v>
      </c>
      <c r="K131" s="1387">
        <f>SUM(K129:K130)</f>
        <v>13365</v>
      </c>
      <c r="L131" s="1387">
        <f t="shared" ref="L131:P131" si="28">SUM(L129:L130)</f>
        <v>2366</v>
      </c>
      <c r="M131" s="1387">
        <f t="shared" si="28"/>
        <v>37360</v>
      </c>
      <c r="N131" s="1387"/>
      <c r="O131" s="1387"/>
      <c r="P131" s="1387">
        <f t="shared" si="28"/>
        <v>2400</v>
      </c>
      <c r="Q131" s="1387"/>
      <c r="R131" s="1388"/>
      <c r="S131" s="291"/>
      <c r="T131" s="291"/>
      <c r="U131" s="291"/>
      <c r="V131" s="291"/>
      <c r="W131" s="291"/>
      <c r="X131" s="291"/>
      <c r="Y131" s="291"/>
      <c r="Z131" s="291"/>
      <c r="AA131" s="291"/>
      <c r="AB131" s="291"/>
      <c r="AC131" s="291"/>
      <c r="AD131" s="291"/>
      <c r="AE131" s="291"/>
    </row>
    <row r="132" spans="1:31" s="51" customFormat="1" ht="22.5" customHeight="1" x14ac:dyDescent="0.3">
      <c r="A132" s="129">
        <v>123</v>
      </c>
      <c r="B132" s="308">
        <v>13</v>
      </c>
      <c r="C132" s="696"/>
      <c r="D132" s="344" t="s">
        <v>34</v>
      </c>
      <c r="E132" s="344"/>
      <c r="F132" s="453" t="s">
        <v>23</v>
      </c>
      <c r="G132" s="120">
        <v>323649</v>
      </c>
      <c r="H132" s="120">
        <v>332350</v>
      </c>
      <c r="I132" s="352">
        <v>433574</v>
      </c>
      <c r="J132" s="362"/>
      <c r="K132" s="120"/>
      <c r="L132" s="120"/>
      <c r="M132" s="120"/>
      <c r="N132" s="120"/>
      <c r="O132" s="120"/>
      <c r="P132" s="120"/>
      <c r="Q132" s="120"/>
      <c r="R132" s="134"/>
      <c r="S132" s="60"/>
      <c r="T132" s="60"/>
      <c r="U132" s="60"/>
      <c r="V132" s="60"/>
      <c r="W132" s="60"/>
      <c r="X132" s="60"/>
      <c r="Y132" s="60"/>
      <c r="Z132" s="60"/>
      <c r="AA132" s="60"/>
      <c r="AB132" s="60"/>
      <c r="AC132" s="60"/>
      <c r="AD132" s="60"/>
      <c r="AE132" s="60"/>
    </row>
    <row r="133" spans="1:31" s="860" customFormat="1" ht="18" customHeight="1" x14ac:dyDescent="0.3">
      <c r="A133" s="129">
        <v>124</v>
      </c>
      <c r="B133" s="797"/>
      <c r="C133" s="841"/>
      <c r="D133" s="841"/>
      <c r="E133" s="842" t="s">
        <v>308</v>
      </c>
      <c r="F133" s="819"/>
      <c r="G133" s="819"/>
      <c r="H133" s="819"/>
      <c r="I133" s="843"/>
      <c r="J133" s="844">
        <f t="shared" ref="J133:J136" si="29">SUM(K133:R133)</f>
        <v>406719</v>
      </c>
      <c r="K133" s="845">
        <f>189840-11583+11583</f>
        <v>189840</v>
      </c>
      <c r="L133" s="845">
        <f>38341-2027+2027</f>
        <v>38341</v>
      </c>
      <c r="M133" s="845">
        <v>177160</v>
      </c>
      <c r="N133" s="845"/>
      <c r="O133" s="845">
        <v>178</v>
      </c>
      <c r="P133" s="845">
        <v>1200</v>
      </c>
      <c r="Q133" s="845"/>
      <c r="R133" s="846"/>
      <c r="S133" s="859"/>
      <c r="T133" s="859"/>
      <c r="U133" s="859"/>
      <c r="V133" s="859"/>
      <c r="W133" s="859"/>
      <c r="X133" s="859"/>
      <c r="Y133" s="859"/>
      <c r="Z133" s="859"/>
      <c r="AA133" s="859"/>
      <c r="AB133" s="859"/>
      <c r="AC133" s="859"/>
      <c r="AD133" s="859"/>
      <c r="AE133" s="859"/>
    </row>
    <row r="134" spans="1:31" s="860" customFormat="1" ht="18" customHeight="1" x14ac:dyDescent="0.3">
      <c r="A134" s="129">
        <v>125</v>
      </c>
      <c r="B134" s="797"/>
      <c r="C134" s="841"/>
      <c r="D134" s="841"/>
      <c r="E134" s="683" t="s">
        <v>1158</v>
      </c>
      <c r="F134" s="819"/>
      <c r="G134" s="819"/>
      <c r="H134" s="819"/>
      <c r="I134" s="843"/>
      <c r="J134" s="354">
        <f t="shared" si="29"/>
        <v>474633</v>
      </c>
      <c r="K134" s="1387">
        <v>210259</v>
      </c>
      <c r="L134" s="1387">
        <v>41607</v>
      </c>
      <c r="M134" s="1387">
        <v>213810</v>
      </c>
      <c r="N134" s="1387"/>
      <c r="O134" s="1387">
        <v>178</v>
      </c>
      <c r="P134" s="1387">
        <v>8779</v>
      </c>
      <c r="Q134" s="845"/>
      <c r="R134" s="846"/>
      <c r="S134" s="859"/>
      <c r="T134" s="859"/>
      <c r="U134" s="859"/>
      <c r="V134" s="859"/>
      <c r="W134" s="859"/>
      <c r="X134" s="859"/>
      <c r="Y134" s="859"/>
      <c r="Z134" s="859"/>
      <c r="AA134" s="859"/>
      <c r="AB134" s="859"/>
      <c r="AC134" s="859"/>
      <c r="AD134" s="859"/>
      <c r="AE134" s="859"/>
    </row>
    <row r="135" spans="1:31" s="55" customFormat="1" ht="18" customHeight="1" x14ac:dyDescent="0.3">
      <c r="A135" s="129">
        <v>126</v>
      </c>
      <c r="B135" s="1353"/>
      <c r="C135" s="1380"/>
      <c r="D135" s="1380"/>
      <c r="E135" s="1355" t="s">
        <v>969</v>
      </c>
      <c r="F135" s="315"/>
      <c r="G135" s="315"/>
      <c r="H135" s="315"/>
      <c r="I135" s="1382"/>
      <c r="J135" s="1383">
        <f t="shared" si="29"/>
        <v>0</v>
      </c>
      <c r="K135" s="358"/>
      <c r="L135" s="358"/>
      <c r="M135" s="358"/>
      <c r="N135" s="358"/>
      <c r="O135" s="358"/>
      <c r="P135" s="358"/>
      <c r="Q135" s="358"/>
      <c r="R135" s="359"/>
      <c r="S135" s="154"/>
      <c r="T135" s="154"/>
      <c r="U135" s="154"/>
      <c r="V135" s="154"/>
      <c r="W135" s="154"/>
      <c r="X135" s="154"/>
      <c r="Y135" s="154"/>
      <c r="Z135" s="154"/>
      <c r="AA135" s="154"/>
      <c r="AB135" s="154"/>
      <c r="AC135" s="154"/>
      <c r="AD135" s="154"/>
      <c r="AE135" s="154"/>
    </row>
    <row r="136" spans="1:31" s="58" customFormat="1" ht="18" customHeight="1" x14ac:dyDescent="0.3">
      <c r="A136" s="129">
        <v>127</v>
      </c>
      <c r="B136" s="460"/>
      <c r="C136" s="1384"/>
      <c r="D136" s="1384"/>
      <c r="E136" s="344" t="s">
        <v>1250</v>
      </c>
      <c r="F136" s="1385"/>
      <c r="G136" s="1385"/>
      <c r="H136" s="1385"/>
      <c r="I136" s="1386"/>
      <c r="J136" s="354">
        <f t="shared" si="29"/>
        <v>474633</v>
      </c>
      <c r="K136" s="1387">
        <f>SUM(K134:K135)</f>
        <v>210259</v>
      </c>
      <c r="L136" s="1387">
        <f>SUM(L134:L135)</f>
        <v>41607</v>
      </c>
      <c r="M136" s="1387">
        <f>SUM(M134:M135)</f>
        <v>213810</v>
      </c>
      <c r="N136" s="1387"/>
      <c r="O136" s="1387">
        <f>SUM(O134:O135)</f>
        <v>178</v>
      </c>
      <c r="P136" s="1387">
        <f>SUM(P134:P135)</f>
        <v>8779</v>
      </c>
      <c r="Q136" s="1387"/>
      <c r="R136" s="1388"/>
      <c r="S136" s="291"/>
      <c r="T136" s="291"/>
      <c r="U136" s="291"/>
      <c r="V136" s="291"/>
      <c r="W136" s="291"/>
      <c r="X136" s="291"/>
      <c r="Y136" s="291"/>
      <c r="Z136" s="291"/>
      <c r="AA136" s="291"/>
      <c r="AB136" s="291"/>
      <c r="AC136" s="291"/>
      <c r="AD136" s="291"/>
      <c r="AE136" s="291"/>
    </row>
    <row r="137" spans="1:31" s="55" customFormat="1" ht="18" customHeight="1" x14ac:dyDescent="0.3">
      <c r="A137" s="129">
        <v>128</v>
      </c>
      <c r="B137" s="1236"/>
      <c r="C137" s="1237"/>
      <c r="D137" s="1238" t="s">
        <v>896</v>
      </c>
      <c r="E137" s="1239"/>
      <c r="F137" s="1240"/>
      <c r="G137" s="157"/>
      <c r="H137" s="157"/>
      <c r="I137" s="1713"/>
      <c r="J137" s="362"/>
      <c r="K137" s="358"/>
      <c r="L137" s="358"/>
      <c r="M137" s="358"/>
      <c r="N137" s="358"/>
      <c r="O137" s="358"/>
      <c r="P137" s="358"/>
      <c r="Q137" s="358"/>
      <c r="R137" s="359"/>
      <c r="S137" s="154"/>
      <c r="T137" s="154"/>
      <c r="U137" s="154"/>
      <c r="V137" s="154"/>
      <c r="W137" s="154"/>
      <c r="X137" s="154"/>
      <c r="Y137" s="154"/>
      <c r="Z137" s="154"/>
      <c r="AA137" s="154"/>
      <c r="AB137" s="154"/>
      <c r="AC137" s="154"/>
      <c r="AD137" s="154"/>
      <c r="AE137" s="154"/>
    </row>
    <row r="138" spans="1:31" s="860" customFormat="1" ht="18" customHeight="1" x14ac:dyDescent="0.3">
      <c r="A138" s="129">
        <v>129</v>
      </c>
      <c r="B138" s="1174"/>
      <c r="C138" s="1176"/>
      <c r="D138" s="1176"/>
      <c r="E138" s="1241" t="s">
        <v>308</v>
      </c>
      <c r="F138" s="1242"/>
      <c r="G138" s="820"/>
      <c r="H138" s="820"/>
      <c r="I138" s="1714"/>
      <c r="J138" s="1178">
        <f>SUM(K138:R138)</f>
        <v>13610</v>
      </c>
      <c r="K138" s="1179">
        <v>11583</v>
      </c>
      <c r="L138" s="1179">
        <v>2027</v>
      </c>
      <c r="M138" s="1179"/>
      <c r="N138" s="1179"/>
      <c r="O138" s="1179"/>
      <c r="P138" s="1179"/>
      <c r="Q138" s="1179"/>
      <c r="R138" s="1180"/>
      <c r="S138" s="859"/>
      <c r="T138" s="859"/>
      <c r="U138" s="859"/>
      <c r="V138" s="859"/>
      <c r="W138" s="859"/>
      <c r="X138" s="859"/>
      <c r="Y138" s="859"/>
      <c r="Z138" s="859"/>
      <c r="AA138" s="859"/>
      <c r="AB138" s="859"/>
      <c r="AC138" s="859"/>
      <c r="AD138" s="859"/>
      <c r="AE138" s="859"/>
    </row>
    <row r="139" spans="1:31" s="860" customFormat="1" ht="18" customHeight="1" x14ac:dyDescent="0.3">
      <c r="A139" s="129">
        <v>130</v>
      </c>
      <c r="B139" s="1174"/>
      <c r="C139" s="1176"/>
      <c r="D139" s="1176"/>
      <c r="E139" s="1401" t="s">
        <v>1158</v>
      </c>
      <c r="F139" s="1242"/>
      <c r="G139" s="820"/>
      <c r="H139" s="820"/>
      <c r="I139" s="1714"/>
      <c r="J139" s="362">
        <f>SUM(K139:R139)</f>
        <v>0</v>
      </c>
      <c r="K139" s="1403">
        <v>0</v>
      </c>
      <c r="L139" s="1403">
        <v>0</v>
      </c>
      <c r="M139" s="1179"/>
      <c r="N139" s="1179"/>
      <c r="O139" s="1179"/>
      <c r="P139" s="1179"/>
      <c r="Q139" s="1179"/>
      <c r="R139" s="1180"/>
      <c r="S139" s="859"/>
      <c r="T139" s="859"/>
      <c r="U139" s="859"/>
      <c r="V139" s="859"/>
      <c r="W139" s="859"/>
      <c r="X139" s="859"/>
      <c r="Y139" s="859"/>
      <c r="Z139" s="859"/>
      <c r="AA139" s="859"/>
      <c r="AB139" s="859"/>
      <c r="AC139" s="859"/>
      <c r="AD139" s="859"/>
      <c r="AE139" s="859"/>
    </row>
    <row r="140" spans="1:31" s="55" customFormat="1" ht="18" customHeight="1" x14ac:dyDescent="0.3">
      <c r="A140" s="129">
        <v>131</v>
      </c>
      <c r="B140" s="1353"/>
      <c r="C140" s="1380"/>
      <c r="D140" s="1380"/>
      <c r="E140" s="1399" t="s">
        <v>947</v>
      </c>
      <c r="F140" s="315"/>
      <c r="G140" s="315"/>
      <c r="H140" s="315"/>
      <c r="I140" s="1382"/>
      <c r="J140" s="1383">
        <f>SUM(K140:R140)</f>
        <v>0</v>
      </c>
      <c r="K140" s="358"/>
      <c r="L140" s="358"/>
      <c r="M140" s="358"/>
      <c r="N140" s="358"/>
      <c r="O140" s="358"/>
      <c r="P140" s="358"/>
      <c r="Q140" s="358"/>
      <c r="R140" s="359"/>
      <c r="S140" s="154"/>
      <c r="T140" s="154"/>
      <c r="U140" s="154"/>
      <c r="V140" s="154"/>
      <c r="W140" s="154"/>
      <c r="X140" s="154"/>
      <c r="Y140" s="154"/>
      <c r="Z140" s="154"/>
      <c r="AA140" s="154"/>
      <c r="AB140" s="154"/>
      <c r="AC140" s="154"/>
      <c r="AD140" s="154"/>
      <c r="AE140" s="154"/>
    </row>
    <row r="141" spans="1:31" s="59" customFormat="1" ht="18" customHeight="1" x14ac:dyDescent="0.3">
      <c r="A141" s="129">
        <v>132</v>
      </c>
      <c r="B141" s="355"/>
      <c r="C141" s="1400"/>
      <c r="D141" s="1400"/>
      <c r="E141" s="1401" t="s">
        <v>1250</v>
      </c>
      <c r="F141" s="1402"/>
      <c r="G141" s="1402"/>
      <c r="H141" s="1402"/>
      <c r="I141" s="1715"/>
      <c r="J141" s="362">
        <f>SUM(K141:R141)</f>
        <v>0</v>
      </c>
      <c r="K141" s="1403">
        <f>SUM(K139:K140)</f>
        <v>0</v>
      </c>
      <c r="L141" s="1403">
        <f>SUM(L139:L140)</f>
        <v>0</v>
      </c>
      <c r="M141" s="1403"/>
      <c r="N141" s="1403"/>
      <c r="O141" s="1403"/>
      <c r="P141" s="1403"/>
      <c r="Q141" s="1403"/>
      <c r="R141" s="1404"/>
      <c r="S141" s="356"/>
      <c r="T141" s="356"/>
      <c r="U141" s="356"/>
      <c r="V141" s="356"/>
      <c r="W141" s="356"/>
      <c r="X141" s="356"/>
      <c r="Y141" s="356"/>
      <c r="Z141" s="356"/>
      <c r="AA141" s="356"/>
      <c r="AB141" s="356"/>
      <c r="AC141" s="356"/>
      <c r="AD141" s="356"/>
      <c r="AE141" s="356"/>
    </row>
    <row r="142" spans="1:31" s="59" customFormat="1" ht="18" customHeight="1" x14ac:dyDescent="0.3">
      <c r="A142" s="129">
        <v>133</v>
      </c>
      <c r="B142" s="355"/>
      <c r="C142" s="1723">
        <v>1</v>
      </c>
      <c r="D142" s="2176" t="s">
        <v>1180</v>
      </c>
      <c r="E142" s="2177"/>
      <c r="F142" s="1402"/>
      <c r="G142" s="1402"/>
      <c r="H142" s="1402"/>
      <c r="I142" s="1715"/>
      <c r="J142" s="362"/>
      <c r="K142" s="1403"/>
      <c r="L142" s="1403"/>
      <c r="M142" s="1403"/>
      <c r="N142" s="1403"/>
      <c r="O142" s="1403"/>
      <c r="P142" s="1403"/>
      <c r="Q142" s="1403"/>
      <c r="R142" s="1404"/>
      <c r="S142" s="356"/>
      <c r="T142" s="356"/>
      <c r="U142" s="356"/>
      <c r="V142" s="356"/>
      <c r="W142" s="356"/>
      <c r="X142" s="356"/>
      <c r="Y142" s="356"/>
      <c r="Z142" s="356"/>
      <c r="AA142" s="356"/>
      <c r="AB142" s="356"/>
      <c r="AC142" s="356"/>
      <c r="AD142" s="356"/>
      <c r="AE142" s="356"/>
    </row>
    <row r="143" spans="1:31" s="59" customFormat="1" ht="18" customHeight="1" x14ac:dyDescent="0.3">
      <c r="A143" s="129">
        <v>134</v>
      </c>
      <c r="B143" s="355"/>
      <c r="C143" s="1400"/>
      <c r="D143" s="1357"/>
      <c r="E143" s="1355" t="s">
        <v>947</v>
      </c>
      <c r="F143" s="1402"/>
      <c r="G143" s="1402"/>
      <c r="H143" s="1402"/>
      <c r="I143" s="1715"/>
      <c r="J143" s="1383">
        <f>SUM(K143:R143)</f>
        <v>8944</v>
      </c>
      <c r="K143" s="358">
        <v>4971</v>
      </c>
      <c r="L143" s="358"/>
      <c r="M143" s="358">
        <v>3973</v>
      </c>
      <c r="N143" s="358"/>
      <c r="O143" s="358"/>
      <c r="P143" s="358"/>
      <c r="Q143" s="358"/>
      <c r="R143" s="359"/>
      <c r="S143" s="356"/>
      <c r="T143" s="356"/>
      <c r="U143" s="356"/>
      <c r="V143" s="356"/>
      <c r="W143" s="356"/>
      <c r="X143" s="356"/>
      <c r="Y143" s="356"/>
      <c r="Z143" s="356"/>
      <c r="AA143" s="356"/>
      <c r="AB143" s="356"/>
      <c r="AC143" s="356"/>
      <c r="AD143" s="356"/>
      <c r="AE143" s="356"/>
    </row>
    <row r="144" spans="1:31" s="59" customFormat="1" ht="18" customHeight="1" x14ac:dyDescent="0.3">
      <c r="A144" s="129">
        <v>135</v>
      </c>
      <c r="B144" s="355"/>
      <c r="C144" s="1400"/>
      <c r="D144" s="1357"/>
      <c r="E144" s="683" t="s">
        <v>1250</v>
      </c>
      <c r="F144" s="1402"/>
      <c r="G144" s="1402"/>
      <c r="H144" s="1402"/>
      <c r="I144" s="1715"/>
      <c r="J144" s="362">
        <f>SUM(K144:R144)</f>
        <v>8944</v>
      </c>
      <c r="K144" s="1403">
        <f>SUM(K143)</f>
        <v>4971</v>
      </c>
      <c r="L144" s="1403">
        <f t="shared" ref="L144:M144" si="30">SUM(L143)</f>
        <v>0</v>
      </c>
      <c r="M144" s="1403">
        <f t="shared" si="30"/>
        <v>3973</v>
      </c>
      <c r="N144" s="1403"/>
      <c r="O144" s="1403"/>
      <c r="P144" s="1403"/>
      <c r="Q144" s="1403"/>
      <c r="R144" s="1404"/>
      <c r="S144" s="356"/>
      <c r="T144" s="356"/>
      <c r="U144" s="356"/>
      <c r="V144" s="356"/>
      <c r="W144" s="356"/>
      <c r="X144" s="356"/>
      <c r="Y144" s="356"/>
      <c r="Z144" s="356"/>
      <c r="AA144" s="356"/>
      <c r="AB144" s="356"/>
      <c r="AC144" s="356"/>
      <c r="AD144" s="356"/>
      <c r="AE144" s="356"/>
    </row>
    <row r="145" spans="1:31" s="51" customFormat="1" ht="18" customHeight="1" x14ac:dyDescent="0.3">
      <c r="A145" s="129">
        <v>136</v>
      </c>
      <c r="B145" s="312"/>
      <c r="C145" s="696">
        <v>2</v>
      </c>
      <c r="D145" s="1046" t="s">
        <v>152</v>
      </c>
      <c r="E145" s="1046"/>
      <c r="F145" s="456"/>
      <c r="G145" s="120">
        <v>4820</v>
      </c>
      <c r="H145" s="120"/>
      <c r="I145" s="1716"/>
      <c r="J145" s="362"/>
      <c r="K145" s="347"/>
      <c r="L145" s="347"/>
      <c r="M145" s="347"/>
      <c r="N145" s="358"/>
      <c r="O145" s="358"/>
      <c r="P145" s="358"/>
      <c r="Q145" s="358"/>
      <c r="R145" s="359"/>
      <c r="S145" s="60"/>
      <c r="T145" s="60"/>
      <c r="U145" s="60"/>
      <c r="V145" s="60"/>
      <c r="W145" s="60"/>
      <c r="X145" s="60"/>
      <c r="Y145" s="60"/>
      <c r="Z145" s="60"/>
      <c r="AA145" s="60"/>
      <c r="AB145" s="60"/>
      <c r="AC145" s="60"/>
      <c r="AD145" s="60"/>
      <c r="AE145" s="60"/>
    </row>
    <row r="146" spans="1:31" s="51" customFormat="1" ht="45.75" customHeight="1" x14ac:dyDescent="0.3">
      <c r="A146" s="129">
        <v>137</v>
      </c>
      <c r="B146" s="312"/>
      <c r="C146" s="697">
        <v>3</v>
      </c>
      <c r="D146" s="2176" t="s">
        <v>528</v>
      </c>
      <c r="E146" s="2177"/>
      <c r="F146" s="614"/>
      <c r="G146" s="120">
        <v>1969</v>
      </c>
      <c r="H146" s="120">
        <v>55328</v>
      </c>
      <c r="I146" s="352">
        <v>55925</v>
      </c>
      <c r="J146" s="362"/>
      <c r="K146" s="347"/>
      <c r="L146" s="347"/>
      <c r="M146" s="347"/>
      <c r="N146" s="358"/>
      <c r="O146" s="358"/>
      <c r="P146" s="358"/>
      <c r="Q146" s="358"/>
      <c r="R146" s="359"/>
      <c r="S146" s="60"/>
      <c r="T146" s="60"/>
      <c r="U146" s="60"/>
      <c r="V146" s="60"/>
      <c r="W146" s="60"/>
      <c r="X146" s="60"/>
      <c r="Y146" s="60"/>
      <c r="Z146" s="60"/>
      <c r="AA146" s="60"/>
      <c r="AB146" s="60"/>
      <c r="AC146" s="60"/>
      <c r="AD146" s="60"/>
      <c r="AE146" s="60"/>
    </row>
    <row r="147" spans="1:31" s="51" customFormat="1" ht="22.5" customHeight="1" x14ac:dyDescent="0.3">
      <c r="A147" s="129">
        <v>138</v>
      </c>
      <c r="B147" s="308">
        <v>14</v>
      </c>
      <c r="C147" s="696"/>
      <c r="D147" s="344" t="s">
        <v>526</v>
      </c>
      <c r="E147" s="344"/>
      <c r="F147" s="453" t="s">
        <v>24</v>
      </c>
      <c r="G147" s="120">
        <v>137258</v>
      </c>
      <c r="H147" s="120">
        <v>131489</v>
      </c>
      <c r="I147" s="352">
        <v>141430</v>
      </c>
      <c r="J147" s="362"/>
      <c r="K147" s="120"/>
      <c r="L147" s="120"/>
      <c r="M147" s="120"/>
      <c r="N147" s="120"/>
      <c r="O147" s="120"/>
      <c r="P147" s="120"/>
      <c r="Q147" s="120"/>
      <c r="R147" s="134"/>
      <c r="S147" s="60"/>
      <c r="T147" s="60"/>
      <c r="U147" s="60"/>
      <c r="V147" s="60"/>
      <c r="W147" s="60"/>
      <c r="X147" s="60"/>
      <c r="Y147" s="60"/>
      <c r="Z147" s="60"/>
      <c r="AA147" s="60"/>
      <c r="AB147" s="60"/>
      <c r="AC147" s="60"/>
      <c r="AD147" s="60"/>
      <c r="AE147" s="60"/>
    </row>
    <row r="148" spans="1:31" s="848" customFormat="1" ht="18" customHeight="1" x14ac:dyDescent="0.3">
      <c r="A148" s="129">
        <v>139</v>
      </c>
      <c r="B148" s="797"/>
      <c r="C148" s="841"/>
      <c r="D148" s="841"/>
      <c r="E148" s="842" t="s">
        <v>308</v>
      </c>
      <c r="F148" s="819"/>
      <c r="G148" s="819"/>
      <c r="H148" s="819"/>
      <c r="I148" s="843"/>
      <c r="J148" s="844">
        <f t="shared" ref="J148:J151" si="31">SUM(K148:R148)</f>
        <v>129562</v>
      </c>
      <c r="K148" s="845">
        <v>61704</v>
      </c>
      <c r="L148" s="845">
        <v>12023</v>
      </c>
      <c r="M148" s="845">
        <v>55835</v>
      </c>
      <c r="N148" s="845"/>
      <c r="O148" s="845"/>
      <c r="P148" s="845"/>
      <c r="Q148" s="845"/>
      <c r="R148" s="846"/>
      <c r="S148" s="847"/>
      <c r="T148" s="847"/>
      <c r="U148" s="847"/>
      <c r="V148" s="847"/>
      <c r="W148" s="847"/>
      <c r="X148" s="847"/>
      <c r="Y148" s="847"/>
      <c r="Z148" s="847"/>
      <c r="AA148" s="847"/>
      <c r="AB148" s="847"/>
      <c r="AC148" s="847"/>
      <c r="AD148" s="847"/>
      <c r="AE148" s="847"/>
    </row>
    <row r="149" spans="1:31" s="848" customFormat="1" ht="18" customHeight="1" x14ac:dyDescent="0.3">
      <c r="A149" s="129">
        <v>140</v>
      </c>
      <c r="B149" s="797"/>
      <c r="C149" s="841"/>
      <c r="D149" s="841"/>
      <c r="E149" s="683" t="s">
        <v>1158</v>
      </c>
      <c r="F149" s="819"/>
      <c r="G149" s="819"/>
      <c r="H149" s="819"/>
      <c r="I149" s="843"/>
      <c r="J149" s="354">
        <f t="shared" si="31"/>
        <v>147144</v>
      </c>
      <c r="K149" s="1387">
        <v>84351</v>
      </c>
      <c r="L149" s="1387">
        <v>13713</v>
      </c>
      <c r="M149" s="1387">
        <v>45593</v>
      </c>
      <c r="N149" s="1387"/>
      <c r="O149" s="1387">
        <v>290</v>
      </c>
      <c r="P149" s="1387">
        <v>3197</v>
      </c>
      <c r="Q149" s="845"/>
      <c r="R149" s="846"/>
      <c r="S149" s="847"/>
      <c r="T149" s="847"/>
      <c r="U149" s="847"/>
      <c r="V149" s="847"/>
      <c r="W149" s="847"/>
      <c r="X149" s="847"/>
      <c r="Y149" s="847"/>
      <c r="Z149" s="847"/>
      <c r="AA149" s="847"/>
      <c r="AB149" s="847"/>
      <c r="AC149" s="847"/>
      <c r="AD149" s="847"/>
      <c r="AE149" s="847"/>
    </row>
    <row r="150" spans="1:31" s="55" customFormat="1" ht="18" customHeight="1" x14ac:dyDescent="0.3">
      <c r="A150" s="129">
        <v>141</v>
      </c>
      <c r="B150" s="1353"/>
      <c r="C150" s="1380"/>
      <c r="D150" s="1380"/>
      <c r="E150" s="1355" t="s">
        <v>1328</v>
      </c>
      <c r="F150" s="315"/>
      <c r="G150" s="315"/>
      <c r="H150" s="315"/>
      <c r="I150" s="1382"/>
      <c r="J150" s="1383">
        <f t="shared" si="31"/>
        <v>1</v>
      </c>
      <c r="K150" s="358"/>
      <c r="L150" s="358"/>
      <c r="M150" s="358">
        <v>1</v>
      </c>
      <c r="N150" s="358"/>
      <c r="O150" s="358"/>
      <c r="P150" s="358"/>
      <c r="Q150" s="358"/>
      <c r="R150" s="359"/>
      <c r="S150" s="154"/>
      <c r="T150" s="154"/>
      <c r="U150" s="154"/>
      <c r="V150" s="154"/>
      <c r="W150" s="154"/>
      <c r="X150" s="154"/>
      <c r="Y150" s="154"/>
      <c r="Z150" s="154"/>
      <c r="AA150" s="154"/>
      <c r="AB150" s="154"/>
      <c r="AC150" s="154"/>
      <c r="AD150" s="154"/>
      <c r="AE150" s="154"/>
    </row>
    <row r="151" spans="1:31" s="58" customFormat="1" ht="18" customHeight="1" x14ac:dyDescent="0.3">
      <c r="A151" s="129">
        <v>142</v>
      </c>
      <c r="B151" s="460"/>
      <c r="C151" s="1384"/>
      <c r="D151" s="1384"/>
      <c r="E151" s="344" t="s">
        <v>1250</v>
      </c>
      <c r="F151" s="1385"/>
      <c r="G151" s="1385"/>
      <c r="H151" s="1385"/>
      <c r="I151" s="1386"/>
      <c r="J151" s="354">
        <f t="shared" si="31"/>
        <v>147145</v>
      </c>
      <c r="K151" s="1387">
        <f>SUM(K149:K150)</f>
        <v>84351</v>
      </c>
      <c r="L151" s="1387">
        <f>SUM(L149:L150)</f>
        <v>13713</v>
      </c>
      <c r="M151" s="1387">
        <f>SUM(M149:M150)</f>
        <v>45594</v>
      </c>
      <c r="N151" s="1387"/>
      <c r="O151" s="1387">
        <f>SUM(O149:O150)</f>
        <v>290</v>
      </c>
      <c r="P151" s="1387">
        <f>SUM(P149:P150)</f>
        <v>3197</v>
      </c>
      <c r="Q151" s="1387"/>
      <c r="R151" s="1388"/>
      <c r="S151" s="291"/>
      <c r="T151" s="291"/>
      <c r="U151" s="291"/>
      <c r="V151" s="291"/>
      <c r="W151" s="291"/>
      <c r="X151" s="291"/>
      <c r="Y151" s="291"/>
      <c r="Z151" s="291"/>
      <c r="AA151" s="291"/>
      <c r="AB151" s="291"/>
      <c r="AC151" s="291"/>
      <c r="AD151" s="291"/>
      <c r="AE151" s="291"/>
    </row>
    <row r="152" spans="1:31" s="56" customFormat="1" ht="18" customHeight="1" x14ac:dyDescent="0.3">
      <c r="A152" s="129">
        <v>143</v>
      </c>
      <c r="B152" s="312"/>
      <c r="C152" s="696">
        <v>1</v>
      </c>
      <c r="D152" s="1046" t="s">
        <v>152</v>
      </c>
      <c r="E152" s="1046"/>
      <c r="F152" s="456"/>
      <c r="G152" s="317">
        <v>1407</v>
      </c>
      <c r="H152" s="317">
        <v>2477</v>
      </c>
      <c r="I152" s="1716">
        <v>2124</v>
      </c>
      <c r="J152" s="362"/>
      <c r="K152" s="347"/>
      <c r="L152" s="347"/>
      <c r="M152" s="347"/>
      <c r="N152" s="358"/>
      <c r="O152" s="358"/>
      <c r="P152" s="358"/>
      <c r="Q152" s="358"/>
      <c r="R152" s="359"/>
      <c r="S152" s="292"/>
      <c r="T152" s="292"/>
      <c r="U152" s="292"/>
      <c r="V152" s="292"/>
      <c r="W152" s="292"/>
      <c r="X152" s="292"/>
      <c r="Y152" s="292"/>
      <c r="Z152" s="292"/>
      <c r="AA152" s="292"/>
      <c r="AB152" s="292"/>
      <c r="AC152" s="292"/>
      <c r="AD152" s="292"/>
      <c r="AE152" s="292"/>
    </row>
    <row r="153" spans="1:31" s="848" customFormat="1" ht="18" customHeight="1" x14ac:dyDescent="0.3">
      <c r="A153" s="129">
        <v>144</v>
      </c>
      <c r="B153" s="797"/>
      <c r="C153" s="841"/>
      <c r="D153" s="841"/>
      <c r="E153" s="856" t="s">
        <v>308</v>
      </c>
      <c r="F153" s="857"/>
      <c r="G153" s="819"/>
      <c r="H153" s="819"/>
      <c r="I153" s="843"/>
      <c r="J153" s="844">
        <f>SUM(K153:R153)</f>
        <v>2455</v>
      </c>
      <c r="K153" s="845">
        <v>2257</v>
      </c>
      <c r="L153" s="845">
        <v>198</v>
      </c>
      <c r="M153" s="845"/>
      <c r="N153" s="845"/>
      <c r="O153" s="845"/>
      <c r="P153" s="845"/>
      <c r="Q153" s="845"/>
      <c r="R153" s="846"/>
      <c r="S153" s="847"/>
      <c r="T153" s="847"/>
      <c r="U153" s="847"/>
      <c r="V153" s="847"/>
      <c r="W153" s="847"/>
      <c r="X153" s="847"/>
      <c r="Y153" s="847"/>
      <c r="Z153" s="847"/>
      <c r="AA153" s="847"/>
      <c r="AB153" s="847"/>
      <c r="AC153" s="847"/>
      <c r="AD153" s="847"/>
      <c r="AE153" s="847"/>
    </row>
    <row r="154" spans="1:31" s="848" customFormat="1" ht="18" customHeight="1" x14ac:dyDescent="0.3">
      <c r="A154" s="129">
        <v>145</v>
      </c>
      <c r="B154" s="797"/>
      <c r="C154" s="841"/>
      <c r="D154" s="841"/>
      <c r="E154" s="683" t="s">
        <v>1158</v>
      </c>
      <c r="F154" s="857"/>
      <c r="G154" s="819"/>
      <c r="H154" s="819"/>
      <c r="I154" s="843"/>
      <c r="J154" s="354">
        <f>SUM(K154:R154)</f>
        <v>1064</v>
      </c>
      <c r="K154" s="1387">
        <v>978</v>
      </c>
      <c r="L154" s="1387">
        <v>86</v>
      </c>
      <c r="M154" s="845"/>
      <c r="N154" s="845"/>
      <c r="O154" s="845"/>
      <c r="P154" s="845"/>
      <c r="Q154" s="845"/>
      <c r="R154" s="846"/>
      <c r="S154" s="847"/>
      <c r="T154" s="847"/>
      <c r="U154" s="847"/>
      <c r="V154" s="847"/>
      <c r="W154" s="847"/>
      <c r="X154" s="847"/>
      <c r="Y154" s="847"/>
      <c r="Z154" s="847"/>
      <c r="AA154" s="847"/>
      <c r="AB154" s="847"/>
      <c r="AC154" s="847"/>
      <c r="AD154" s="847"/>
      <c r="AE154" s="847"/>
    </row>
    <row r="155" spans="1:31" s="55" customFormat="1" ht="18" customHeight="1" x14ac:dyDescent="0.3">
      <c r="A155" s="129">
        <v>146</v>
      </c>
      <c r="B155" s="1353"/>
      <c r="C155" s="1380"/>
      <c r="D155" s="1380"/>
      <c r="E155" s="1381" t="s">
        <v>969</v>
      </c>
      <c r="F155" s="315"/>
      <c r="G155" s="315"/>
      <c r="H155" s="315"/>
      <c r="I155" s="1382"/>
      <c r="J155" s="1383">
        <f>SUM(K155:R155)</f>
        <v>0</v>
      </c>
      <c r="K155" s="358"/>
      <c r="L155" s="358"/>
      <c r="M155" s="358"/>
      <c r="N155" s="358"/>
      <c r="O155" s="358"/>
      <c r="P155" s="358"/>
      <c r="Q155" s="358"/>
      <c r="R155" s="359"/>
      <c r="S155" s="154"/>
      <c r="T155" s="154"/>
      <c r="U155" s="154"/>
      <c r="V155" s="154"/>
      <c r="W155" s="154"/>
      <c r="X155" s="154"/>
      <c r="Y155" s="154"/>
      <c r="Z155" s="154"/>
      <c r="AA155" s="154"/>
      <c r="AB155" s="154"/>
      <c r="AC155" s="154"/>
      <c r="AD155" s="154"/>
      <c r="AE155" s="154"/>
    </row>
    <row r="156" spans="1:31" s="58" customFormat="1" ht="18" customHeight="1" x14ac:dyDescent="0.3">
      <c r="A156" s="129">
        <v>147</v>
      </c>
      <c r="B156" s="460"/>
      <c r="C156" s="1384"/>
      <c r="D156" s="1384"/>
      <c r="E156" s="344" t="s">
        <v>1250</v>
      </c>
      <c r="F156" s="1385"/>
      <c r="G156" s="1385"/>
      <c r="H156" s="1385"/>
      <c r="I156" s="1386"/>
      <c r="J156" s="354">
        <f>SUM(K156:R156)</f>
        <v>1064</v>
      </c>
      <c r="K156" s="1387">
        <f>SUM(K154:K155)</f>
        <v>978</v>
      </c>
      <c r="L156" s="1387">
        <f>SUM(L154:L155)</f>
        <v>86</v>
      </c>
      <c r="M156" s="1387"/>
      <c r="N156" s="1387"/>
      <c r="O156" s="1387"/>
      <c r="P156" s="1387"/>
      <c r="Q156" s="1387"/>
      <c r="R156" s="1388"/>
      <c r="S156" s="291"/>
      <c r="T156" s="291"/>
      <c r="U156" s="291"/>
      <c r="V156" s="291"/>
      <c r="W156" s="291"/>
      <c r="X156" s="291"/>
      <c r="Y156" s="291"/>
      <c r="Z156" s="291"/>
      <c r="AA156" s="291"/>
      <c r="AB156" s="291"/>
      <c r="AC156" s="291"/>
      <c r="AD156" s="291"/>
      <c r="AE156" s="291"/>
    </row>
    <row r="157" spans="1:31" s="56" customFormat="1" ht="33" customHeight="1" x14ac:dyDescent="0.3">
      <c r="A157" s="129">
        <v>148</v>
      </c>
      <c r="B157" s="312"/>
      <c r="C157" s="697">
        <v>2</v>
      </c>
      <c r="D157" s="2176" t="s">
        <v>529</v>
      </c>
      <c r="E157" s="2227"/>
      <c r="F157" s="700"/>
      <c r="G157" s="120">
        <v>4679</v>
      </c>
      <c r="H157" s="120">
        <v>23787</v>
      </c>
      <c r="I157" s="352">
        <v>19384</v>
      </c>
      <c r="J157" s="362"/>
      <c r="K157" s="347"/>
      <c r="L157" s="347"/>
      <c r="M157" s="347"/>
      <c r="N157" s="358"/>
      <c r="O157" s="358"/>
      <c r="P157" s="358"/>
      <c r="Q157" s="358"/>
      <c r="R157" s="359"/>
      <c r="S157" s="292"/>
      <c r="T157" s="292"/>
      <c r="U157" s="292"/>
      <c r="V157" s="292"/>
      <c r="W157" s="292"/>
      <c r="X157" s="292"/>
      <c r="Y157" s="292"/>
      <c r="Z157" s="292"/>
      <c r="AA157" s="292"/>
      <c r="AB157" s="292"/>
      <c r="AC157" s="292"/>
      <c r="AD157" s="292"/>
      <c r="AE157" s="292"/>
    </row>
    <row r="158" spans="1:31" s="848" customFormat="1" ht="18" customHeight="1" x14ac:dyDescent="0.3">
      <c r="A158" s="129">
        <v>149</v>
      </c>
      <c r="B158" s="797"/>
      <c r="C158" s="841"/>
      <c r="D158" s="841"/>
      <c r="E158" s="856" t="s">
        <v>308</v>
      </c>
      <c r="F158" s="857"/>
      <c r="G158" s="819"/>
      <c r="H158" s="819"/>
      <c r="I158" s="843"/>
      <c r="J158" s="844">
        <f>SUM(K158:R158)</f>
        <v>5725</v>
      </c>
      <c r="K158" s="845">
        <v>1640</v>
      </c>
      <c r="L158" s="845"/>
      <c r="M158" s="845">
        <v>1254</v>
      </c>
      <c r="N158" s="845"/>
      <c r="O158" s="845"/>
      <c r="P158" s="845">
        <v>2831</v>
      </c>
      <c r="Q158" s="845"/>
      <c r="R158" s="846"/>
      <c r="S158" s="847"/>
      <c r="T158" s="847"/>
      <c r="U158" s="847"/>
      <c r="V158" s="847"/>
      <c r="W158" s="847"/>
      <c r="X158" s="847"/>
      <c r="Y158" s="847"/>
      <c r="Z158" s="847"/>
      <c r="AA158" s="847"/>
      <c r="AB158" s="847"/>
      <c r="AC158" s="847"/>
      <c r="AD158" s="847"/>
      <c r="AE158" s="847"/>
    </row>
    <row r="159" spans="1:31" s="848" customFormat="1" ht="18" customHeight="1" x14ac:dyDescent="0.3">
      <c r="A159" s="129">
        <v>150</v>
      </c>
      <c r="B159" s="797"/>
      <c r="C159" s="841"/>
      <c r="D159" s="841"/>
      <c r="E159" s="683" t="s">
        <v>1158</v>
      </c>
      <c r="F159" s="857"/>
      <c r="G159" s="819"/>
      <c r="H159" s="819"/>
      <c r="I159" s="843"/>
      <c r="J159" s="354">
        <f>SUM(K159:R159)</f>
        <v>5352</v>
      </c>
      <c r="K159" s="1387">
        <v>964</v>
      </c>
      <c r="L159" s="1387"/>
      <c r="M159" s="1387">
        <v>3519</v>
      </c>
      <c r="N159" s="1387"/>
      <c r="O159" s="1387"/>
      <c r="P159" s="1387">
        <v>869</v>
      </c>
      <c r="Q159" s="845"/>
      <c r="R159" s="846"/>
      <c r="S159" s="847"/>
      <c r="T159" s="847"/>
      <c r="U159" s="847"/>
      <c r="V159" s="847"/>
      <c r="W159" s="847"/>
      <c r="X159" s="847"/>
      <c r="Y159" s="847"/>
      <c r="Z159" s="847"/>
      <c r="AA159" s="847"/>
      <c r="AB159" s="847"/>
      <c r="AC159" s="847"/>
      <c r="AD159" s="847"/>
      <c r="AE159" s="847"/>
    </row>
    <row r="160" spans="1:31" s="55" customFormat="1" ht="18" customHeight="1" x14ac:dyDescent="0.3">
      <c r="A160" s="129">
        <v>151</v>
      </c>
      <c r="B160" s="1353"/>
      <c r="C160" s="1380"/>
      <c r="D160" s="1380"/>
      <c r="E160" s="1381" t="s">
        <v>969</v>
      </c>
      <c r="F160" s="315"/>
      <c r="G160" s="315"/>
      <c r="H160" s="315"/>
      <c r="I160" s="1382"/>
      <c r="J160" s="1383">
        <f>SUM(K160:R160)</f>
        <v>0</v>
      </c>
      <c r="K160" s="358"/>
      <c r="L160" s="358"/>
      <c r="M160" s="358"/>
      <c r="N160" s="358"/>
      <c r="O160" s="358"/>
      <c r="P160" s="358"/>
      <c r="Q160" s="358"/>
      <c r="R160" s="359"/>
      <c r="S160" s="154"/>
      <c r="T160" s="154"/>
      <c r="U160" s="154"/>
      <c r="V160" s="154"/>
      <c r="W160" s="154"/>
      <c r="X160" s="154"/>
      <c r="Y160" s="154"/>
      <c r="Z160" s="154"/>
      <c r="AA160" s="154"/>
      <c r="AB160" s="154"/>
      <c r="AC160" s="154"/>
      <c r="AD160" s="154"/>
      <c r="AE160" s="154"/>
    </row>
    <row r="161" spans="1:31" s="58" customFormat="1" ht="18" customHeight="1" x14ac:dyDescent="0.3">
      <c r="A161" s="129">
        <v>152</v>
      </c>
      <c r="B161" s="460"/>
      <c r="C161" s="1384"/>
      <c r="D161" s="1384"/>
      <c r="E161" s="344" t="s">
        <v>1250</v>
      </c>
      <c r="F161" s="1385"/>
      <c r="G161" s="1385"/>
      <c r="H161" s="1385"/>
      <c r="I161" s="1386"/>
      <c r="J161" s="354">
        <f>SUM(K161:R161)</f>
        <v>5352</v>
      </c>
      <c r="K161" s="1387">
        <f>SUM(K159:K160)</f>
        <v>964</v>
      </c>
      <c r="L161" s="1387"/>
      <c r="M161" s="1387">
        <f t="shared" ref="M161:P161" si="32">SUM(M159:M160)</f>
        <v>3519</v>
      </c>
      <c r="N161" s="1387"/>
      <c r="O161" s="1387"/>
      <c r="P161" s="1387">
        <f t="shared" si="32"/>
        <v>869</v>
      </c>
      <c r="Q161" s="1387"/>
      <c r="R161" s="1388"/>
      <c r="S161" s="291"/>
      <c r="T161" s="291"/>
      <c r="U161" s="291"/>
      <c r="V161" s="291"/>
      <c r="W161" s="291"/>
      <c r="X161" s="291"/>
      <c r="Y161" s="291"/>
      <c r="Z161" s="291"/>
      <c r="AA161" s="291"/>
      <c r="AB161" s="291"/>
      <c r="AC161" s="291"/>
      <c r="AD161" s="291"/>
      <c r="AE161" s="291"/>
    </row>
    <row r="162" spans="1:31" s="58" customFormat="1" ht="18" customHeight="1" x14ac:dyDescent="0.3">
      <c r="A162" s="129">
        <v>153</v>
      </c>
      <c r="B162" s="460"/>
      <c r="C162" s="309">
        <v>3</v>
      </c>
      <c r="D162" s="2176" t="s">
        <v>1180</v>
      </c>
      <c r="E162" s="2177"/>
      <c r="F162" s="1385"/>
      <c r="G162" s="1385"/>
      <c r="H162" s="1385"/>
      <c r="I162" s="1386"/>
      <c r="J162" s="354"/>
      <c r="K162" s="1387"/>
      <c r="L162" s="1387"/>
      <c r="M162" s="1387"/>
      <c r="N162" s="1387"/>
      <c r="O162" s="1387"/>
      <c r="P162" s="1387"/>
      <c r="Q162" s="1387"/>
      <c r="R162" s="1388"/>
      <c r="S162" s="291"/>
      <c r="T162" s="291"/>
      <c r="U162" s="291"/>
      <c r="V162" s="291"/>
      <c r="W162" s="291"/>
      <c r="X162" s="291"/>
      <c r="Y162" s="291"/>
      <c r="Z162" s="291"/>
      <c r="AA162" s="291"/>
      <c r="AB162" s="291"/>
      <c r="AC162" s="291"/>
      <c r="AD162" s="291"/>
      <c r="AE162" s="291"/>
    </row>
    <row r="163" spans="1:31" s="58" customFormat="1" ht="18" customHeight="1" x14ac:dyDescent="0.3">
      <c r="A163" s="129">
        <v>154</v>
      </c>
      <c r="B163" s="460"/>
      <c r="C163" s="1356"/>
      <c r="D163" s="1357"/>
      <c r="E163" s="1355" t="s">
        <v>947</v>
      </c>
      <c r="F163" s="1385"/>
      <c r="G163" s="1385"/>
      <c r="H163" s="1385"/>
      <c r="I163" s="1386"/>
      <c r="J163" s="1383">
        <f>SUM(K163:R163)</f>
        <v>2602</v>
      </c>
      <c r="K163" s="358">
        <v>1578</v>
      </c>
      <c r="L163" s="358"/>
      <c r="M163" s="358">
        <v>1024</v>
      </c>
      <c r="N163" s="1387"/>
      <c r="O163" s="1387"/>
      <c r="P163" s="1387"/>
      <c r="Q163" s="1387"/>
      <c r="R163" s="1388"/>
      <c r="S163" s="291"/>
      <c r="T163" s="291"/>
      <c r="U163" s="291"/>
      <c r="V163" s="291"/>
      <c r="W163" s="291"/>
      <c r="X163" s="291"/>
      <c r="Y163" s="291"/>
      <c r="Z163" s="291"/>
      <c r="AA163" s="291"/>
      <c r="AB163" s="291"/>
      <c r="AC163" s="291"/>
      <c r="AD163" s="291"/>
      <c r="AE163" s="291"/>
    </row>
    <row r="164" spans="1:31" s="58" customFormat="1" ht="18" customHeight="1" x14ac:dyDescent="0.3">
      <c r="A164" s="129">
        <v>155</v>
      </c>
      <c r="B164" s="460"/>
      <c r="C164" s="1356"/>
      <c r="D164" s="1357"/>
      <c r="E164" s="683" t="s">
        <v>1250</v>
      </c>
      <c r="F164" s="1385"/>
      <c r="G164" s="1385"/>
      <c r="H164" s="1385"/>
      <c r="I164" s="1386"/>
      <c r="J164" s="354">
        <f>SUM(K164:R164)</f>
        <v>2602</v>
      </c>
      <c r="K164" s="1387">
        <f>SUM(K163)</f>
        <v>1578</v>
      </c>
      <c r="L164" s="1387"/>
      <c r="M164" s="1387">
        <f t="shared" ref="M164" si="33">SUM(M163)</f>
        <v>1024</v>
      </c>
      <c r="N164" s="1387"/>
      <c r="O164" s="1387"/>
      <c r="P164" s="1387"/>
      <c r="Q164" s="1387"/>
      <c r="R164" s="1388"/>
      <c r="S164" s="291"/>
      <c r="T164" s="291"/>
      <c r="U164" s="291"/>
      <c r="V164" s="291"/>
      <c r="W164" s="291"/>
      <c r="X164" s="291"/>
      <c r="Y164" s="291"/>
      <c r="Z164" s="291"/>
      <c r="AA164" s="291"/>
      <c r="AB164" s="291"/>
      <c r="AC164" s="291"/>
      <c r="AD164" s="291"/>
      <c r="AE164" s="291"/>
    </row>
    <row r="165" spans="1:31" s="53" customFormat="1" ht="22.5" customHeight="1" x14ac:dyDescent="0.3">
      <c r="A165" s="129">
        <v>156</v>
      </c>
      <c r="B165" s="308">
        <v>15</v>
      </c>
      <c r="C165" s="696"/>
      <c r="D165" s="344" t="s">
        <v>157</v>
      </c>
      <c r="E165" s="344"/>
      <c r="F165" s="453" t="s">
        <v>24</v>
      </c>
      <c r="G165" s="120">
        <v>918236</v>
      </c>
      <c r="H165" s="120">
        <v>717112</v>
      </c>
      <c r="I165" s="352">
        <v>851369</v>
      </c>
      <c r="J165" s="362"/>
      <c r="K165" s="120"/>
      <c r="L165" s="120"/>
      <c r="M165" s="120"/>
      <c r="N165" s="120"/>
      <c r="O165" s="120"/>
      <c r="P165" s="120"/>
      <c r="Q165" s="120"/>
      <c r="R165" s="134"/>
      <c r="S165" s="289"/>
      <c r="T165" s="289"/>
      <c r="U165" s="289"/>
      <c r="V165" s="289"/>
      <c r="W165" s="289"/>
      <c r="X165" s="289"/>
      <c r="Y165" s="289"/>
      <c r="Z165" s="289"/>
      <c r="AA165" s="289"/>
      <c r="AB165" s="289"/>
      <c r="AC165" s="289"/>
      <c r="AD165" s="289"/>
      <c r="AE165" s="289"/>
    </row>
    <row r="166" spans="1:31" s="848" customFormat="1" ht="18" customHeight="1" x14ac:dyDescent="0.3">
      <c r="A166" s="129">
        <v>157</v>
      </c>
      <c r="B166" s="797"/>
      <c r="C166" s="851"/>
      <c r="D166" s="851"/>
      <c r="E166" s="834" t="s">
        <v>308</v>
      </c>
      <c r="F166" s="827"/>
      <c r="G166" s="827"/>
      <c r="H166" s="827"/>
      <c r="I166" s="852"/>
      <c r="J166" s="853">
        <f t="shared" ref="J166:J170" si="34">SUM(K166:R166)</f>
        <v>742553</v>
      </c>
      <c r="K166" s="854">
        <v>353612</v>
      </c>
      <c r="L166" s="854">
        <v>67795</v>
      </c>
      <c r="M166" s="854">
        <v>319146</v>
      </c>
      <c r="N166" s="854"/>
      <c r="O166" s="854"/>
      <c r="P166" s="854">
        <v>2000</v>
      </c>
      <c r="Q166" s="854"/>
      <c r="R166" s="855"/>
      <c r="S166" s="847"/>
      <c r="T166" s="847"/>
      <c r="U166" s="847"/>
      <c r="V166" s="847"/>
      <c r="W166" s="847"/>
      <c r="X166" s="847"/>
      <c r="Y166" s="847"/>
      <c r="Z166" s="847"/>
      <c r="AA166" s="847"/>
      <c r="AB166" s="847"/>
      <c r="AC166" s="847"/>
      <c r="AD166" s="847"/>
      <c r="AE166" s="847"/>
    </row>
    <row r="167" spans="1:31" s="848" customFormat="1" ht="18" customHeight="1" x14ac:dyDescent="0.3">
      <c r="A167" s="129">
        <v>158</v>
      </c>
      <c r="B167" s="797"/>
      <c r="C167" s="851"/>
      <c r="D167" s="851"/>
      <c r="E167" s="683" t="s">
        <v>1158</v>
      </c>
      <c r="F167" s="827"/>
      <c r="G167" s="827"/>
      <c r="H167" s="827"/>
      <c r="I167" s="852"/>
      <c r="J167" s="354">
        <f t="shared" si="34"/>
        <v>936623</v>
      </c>
      <c r="K167" s="1425">
        <v>433655</v>
      </c>
      <c r="L167" s="1425">
        <v>74941</v>
      </c>
      <c r="M167" s="1425">
        <v>399833</v>
      </c>
      <c r="N167" s="1425"/>
      <c r="O167" s="1425"/>
      <c r="P167" s="1425">
        <v>28194</v>
      </c>
      <c r="Q167" s="854"/>
      <c r="R167" s="855"/>
      <c r="S167" s="847"/>
      <c r="T167" s="847"/>
      <c r="U167" s="847"/>
      <c r="V167" s="847"/>
      <c r="W167" s="847"/>
      <c r="X167" s="847"/>
      <c r="Y167" s="847"/>
      <c r="Z167" s="847"/>
      <c r="AA167" s="847"/>
      <c r="AB167" s="847"/>
      <c r="AC167" s="847"/>
      <c r="AD167" s="847"/>
      <c r="AE167" s="847"/>
    </row>
    <row r="168" spans="1:31" s="55" customFormat="1" ht="18" customHeight="1" x14ac:dyDescent="0.3">
      <c r="A168" s="129">
        <v>159</v>
      </c>
      <c r="B168" s="1353"/>
      <c r="C168" s="1380"/>
      <c r="D168" s="1380"/>
      <c r="E168" s="1355" t="s">
        <v>1315</v>
      </c>
      <c r="F168" s="315"/>
      <c r="G168" s="315"/>
      <c r="H168" s="315"/>
      <c r="I168" s="1382"/>
      <c r="J168" s="1383">
        <f t="shared" si="34"/>
        <v>34042</v>
      </c>
      <c r="K168" s="358">
        <v>12000</v>
      </c>
      <c r="L168" s="358">
        <v>2000</v>
      </c>
      <c r="M168" s="358">
        <v>20042</v>
      </c>
      <c r="N168" s="358"/>
      <c r="O168" s="358"/>
      <c r="P168" s="358"/>
      <c r="Q168" s="358"/>
      <c r="R168" s="359"/>
      <c r="S168" s="154"/>
      <c r="T168" s="154"/>
      <c r="U168" s="154"/>
      <c r="V168" s="154"/>
      <c r="W168" s="154"/>
      <c r="X168" s="154"/>
      <c r="Y168" s="154"/>
      <c r="Z168" s="154"/>
      <c r="AA168" s="154"/>
      <c r="AB168" s="154"/>
      <c r="AC168" s="154"/>
      <c r="AD168" s="154"/>
      <c r="AE168" s="154"/>
    </row>
    <row r="169" spans="1:31" s="55" customFormat="1" ht="18" customHeight="1" x14ac:dyDescent="0.3">
      <c r="A169" s="129">
        <v>160</v>
      </c>
      <c r="B169" s="1353"/>
      <c r="C169" s="1380"/>
      <c r="D169" s="1380"/>
      <c r="E169" s="1355" t="s">
        <v>1328</v>
      </c>
      <c r="F169" s="315"/>
      <c r="G169" s="315"/>
      <c r="H169" s="315"/>
      <c r="I169" s="1382"/>
      <c r="J169" s="1383">
        <f t="shared" si="34"/>
        <v>-1347</v>
      </c>
      <c r="K169" s="358"/>
      <c r="L169" s="358"/>
      <c r="M169" s="358">
        <v>-1347</v>
      </c>
      <c r="N169" s="358"/>
      <c r="O169" s="358"/>
      <c r="P169" s="358"/>
      <c r="Q169" s="358"/>
      <c r="R169" s="359"/>
      <c r="S169" s="154"/>
      <c r="T169" s="154"/>
      <c r="U169" s="154"/>
      <c r="V169" s="154"/>
      <c r="W169" s="154"/>
      <c r="X169" s="154"/>
      <c r="Y169" s="154"/>
      <c r="Z169" s="154"/>
      <c r="AA169" s="154"/>
      <c r="AB169" s="154"/>
      <c r="AC169" s="154"/>
      <c r="AD169" s="154"/>
      <c r="AE169" s="154"/>
    </row>
    <row r="170" spans="1:31" s="58" customFormat="1" ht="18" customHeight="1" thickBot="1" x14ac:dyDescent="0.35">
      <c r="A170" s="129">
        <v>161</v>
      </c>
      <c r="B170" s="460"/>
      <c r="C170" s="1384"/>
      <c r="D170" s="1384"/>
      <c r="E170" s="344" t="s">
        <v>1250</v>
      </c>
      <c r="F170" s="1385"/>
      <c r="G170" s="1385"/>
      <c r="H170" s="1385"/>
      <c r="I170" s="1386"/>
      <c r="J170" s="354">
        <f t="shared" si="34"/>
        <v>969318</v>
      </c>
      <c r="K170" s="1387">
        <f>SUM(K167:K169)</f>
        <v>445655</v>
      </c>
      <c r="L170" s="1387">
        <f>SUM(L167:L169)</f>
        <v>76941</v>
      </c>
      <c r="M170" s="1387">
        <f>SUM(M167:M169)</f>
        <v>418528</v>
      </c>
      <c r="N170" s="1387"/>
      <c r="O170" s="1387"/>
      <c r="P170" s="1387">
        <f>SUM(P167:P169)</f>
        <v>28194</v>
      </c>
      <c r="Q170" s="1387"/>
      <c r="R170" s="1388"/>
      <c r="S170" s="291"/>
      <c r="T170" s="291"/>
      <c r="U170" s="291"/>
      <c r="V170" s="291"/>
      <c r="W170" s="291"/>
      <c r="X170" s="291"/>
      <c r="Y170" s="291"/>
      <c r="Z170" s="291"/>
      <c r="AA170" s="291"/>
      <c r="AB170" s="291"/>
      <c r="AC170" s="291"/>
      <c r="AD170" s="291"/>
      <c r="AE170" s="291"/>
    </row>
    <row r="171" spans="1:31" s="199" customFormat="1" ht="22.5" customHeight="1" thickTop="1" x14ac:dyDescent="0.2">
      <c r="A171" s="129">
        <v>162</v>
      </c>
      <c r="B171" s="355"/>
      <c r="C171" s="2231" t="s">
        <v>658</v>
      </c>
      <c r="D171" s="2232"/>
      <c r="E171" s="2233"/>
      <c r="F171" s="730"/>
      <c r="G171" s="723">
        <f>SUM(G84:G166)</f>
        <v>2216492</v>
      </c>
      <c r="H171" s="723">
        <f>SUM(H84:H166)</f>
        <v>2005779</v>
      </c>
      <c r="I171" s="1717">
        <f>SUM(I84:I166)</f>
        <v>2347852</v>
      </c>
      <c r="J171" s="731"/>
      <c r="K171" s="728"/>
      <c r="L171" s="728"/>
      <c r="M171" s="728"/>
      <c r="N171" s="728"/>
      <c r="O171" s="728"/>
      <c r="P171" s="728"/>
      <c r="Q171" s="728"/>
      <c r="R171" s="729"/>
      <c r="S171" s="361"/>
      <c r="T171" s="361"/>
      <c r="U171" s="361"/>
      <c r="V171" s="361"/>
      <c r="W171" s="361"/>
      <c r="X171" s="361"/>
      <c r="Y171" s="361"/>
      <c r="Z171" s="361"/>
      <c r="AA171" s="361"/>
      <c r="AB171" s="361"/>
      <c r="AC171" s="361"/>
      <c r="AD171" s="361"/>
      <c r="AE171" s="361"/>
    </row>
    <row r="172" spans="1:31" s="848" customFormat="1" ht="18" customHeight="1" x14ac:dyDescent="0.3">
      <c r="A172" s="129">
        <v>163</v>
      </c>
      <c r="B172" s="797"/>
      <c r="C172" s="1389"/>
      <c r="D172" s="851"/>
      <c r="E172" s="834" t="s">
        <v>308</v>
      </c>
      <c r="F172" s="827"/>
      <c r="G172" s="827"/>
      <c r="H172" s="827"/>
      <c r="I172" s="852"/>
      <c r="J172" s="853">
        <f>SUM(K172:R172)</f>
        <v>2182328</v>
      </c>
      <c r="K172" s="854">
        <f t="shared" ref="K172:R172" si="35">SUM(K85,K96,K101,K116,K128,K133,K148,K153,K158,K166)</f>
        <v>981370</v>
      </c>
      <c r="L172" s="854">
        <f t="shared" si="35"/>
        <v>185540</v>
      </c>
      <c r="M172" s="854">
        <f t="shared" si="35"/>
        <v>986759</v>
      </c>
      <c r="N172" s="854">
        <f t="shared" si="35"/>
        <v>0</v>
      </c>
      <c r="O172" s="854">
        <f t="shared" si="35"/>
        <v>178</v>
      </c>
      <c r="P172" s="854">
        <f t="shared" si="35"/>
        <v>28481</v>
      </c>
      <c r="Q172" s="854">
        <f t="shared" si="35"/>
        <v>0</v>
      </c>
      <c r="R172" s="855">
        <f t="shared" si="35"/>
        <v>0</v>
      </c>
      <c r="S172" s="847">
        <f>+J172-'[1]4.Inbe'!O59</f>
        <v>0</v>
      </c>
      <c r="T172" s="847"/>
      <c r="U172" s="847"/>
      <c r="V172" s="847"/>
      <c r="W172" s="847"/>
      <c r="X172" s="847"/>
      <c r="Y172" s="847"/>
      <c r="Z172" s="847"/>
      <c r="AA172" s="847"/>
      <c r="AB172" s="847"/>
      <c r="AC172" s="847"/>
      <c r="AD172" s="847"/>
      <c r="AE172" s="847"/>
    </row>
    <row r="173" spans="1:31" s="848" customFormat="1" ht="18" customHeight="1" x14ac:dyDescent="0.3">
      <c r="A173" s="129">
        <v>164</v>
      </c>
      <c r="B173" s="797"/>
      <c r="C173" s="1389"/>
      <c r="D173" s="851"/>
      <c r="E173" s="683" t="s">
        <v>1158</v>
      </c>
      <c r="F173" s="827"/>
      <c r="G173" s="827"/>
      <c r="H173" s="827"/>
      <c r="I173" s="852"/>
      <c r="J173" s="354">
        <f>SUM(K173:R173)</f>
        <v>2570446</v>
      </c>
      <c r="K173" s="1425">
        <f t="shared" ref="K173:R173" si="36">SUM(K86,K97,K102,K117,K129,K134,K149,K154,K159,K167)+K112</f>
        <v>1150572</v>
      </c>
      <c r="L173" s="1425">
        <f t="shared" si="36"/>
        <v>206863</v>
      </c>
      <c r="M173" s="1425">
        <f t="shared" si="36"/>
        <v>1071524</v>
      </c>
      <c r="N173" s="1425">
        <f t="shared" si="36"/>
        <v>0</v>
      </c>
      <c r="O173" s="1425">
        <f t="shared" si="36"/>
        <v>468</v>
      </c>
      <c r="P173" s="1425">
        <f t="shared" si="36"/>
        <v>141019</v>
      </c>
      <c r="Q173" s="1425">
        <f t="shared" si="36"/>
        <v>0</v>
      </c>
      <c r="R173" s="1426">
        <f t="shared" si="36"/>
        <v>0</v>
      </c>
      <c r="S173" s="847"/>
      <c r="T173" s="847"/>
      <c r="U173" s="847"/>
      <c r="V173" s="847"/>
      <c r="W173" s="847"/>
      <c r="X173" s="847"/>
      <c r="Y173" s="847"/>
      <c r="Z173" s="847"/>
      <c r="AA173" s="847"/>
      <c r="AB173" s="847"/>
      <c r="AC173" s="847"/>
      <c r="AD173" s="847"/>
      <c r="AE173" s="847"/>
    </row>
    <row r="174" spans="1:31" s="55" customFormat="1" ht="18" customHeight="1" x14ac:dyDescent="0.3">
      <c r="A174" s="129">
        <v>165</v>
      </c>
      <c r="B174" s="1353"/>
      <c r="C174" s="1390"/>
      <c r="D174" s="1380"/>
      <c r="E174" s="1381" t="s">
        <v>969</v>
      </c>
      <c r="F174" s="315"/>
      <c r="G174" s="315"/>
      <c r="H174" s="315"/>
      <c r="I174" s="1382"/>
      <c r="J174" s="1383">
        <f>SUM(K174:R174)</f>
        <v>55535</v>
      </c>
      <c r="K174" s="358">
        <f t="shared" ref="K174:R174" si="37">SUM(K87:K88,K98,K103:K104,K118:K119,K130,K135:K135,K150:K150,K155,K160,K168:K169)+K113+K163+K143</f>
        <v>14886</v>
      </c>
      <c r="L174" s="358">
        <f t="shared" si="37"/>
        <v>1336</v>
      </c>
      <c r="M174" s="358">
        <f t="shared" si="37"/>
        <v>40718</v>
      </c>
      <c r="N174" s="358">
        <f t="shared" si="37"/>
        <v>0</v>
      </c>
      <c r="O174" s="358">
        <f t="shared" si="37"/>
        <v>0</v>
      </c>
      <c r="P174" s="358">
        <f t="shared" si="37"/>
        <v>-1405</v>
      </c>
      <c r="Q174" s="358">
        <f t="shared" si="37"/>
        <v>0</v>
      </c>
      <c r="R174" s="359">
        <f t="shared" si="37"/>
        <v>0</v>
      </c>
      <c r="S174" s="154"/>
      <c r="T174" s="154"/>
      <c r="U174" s="154"/>
      <c r="V174" s="154"/>
      <c r="W174" s="154"/>
      <c r="X174" s="154"/>
      <c r="Y174" s="154"/>
      <c r="Z174" s="154"/>
      <c r="AA174" s="154"/>
      <c r="AB174" s="154"/>
      <c r="AC174" s="154"/>
      <c r="AD174" s="154"/>
      <c r="AE174" s="154"/>
    </row>
    <row r="175" spans="1:31" s="58" customFormat="1" ht="18" customHeight="1" thickBot="1" x14ac:dyDescent="0.35">
      <c r="A175" s="129">
        <v>166</v>
      </c>
      <c r="B175" s="460"/>
      <c r="C175" s="1391"/>
      <c r="D175" s="1392"/>
      <c r="E175" s="1393" t="s">
        <v>1250</v>
      </c>
      <c r="F175" s="1394"/>
      <c r="G175" s="1394"/>
      <c r="H175" s="1394"/>
      <c r="I175" s="1395"/>
      <c r="J175" s="1396">
        <f>SUM(K175:R175)</f>
        <v>2625981</v>
      </c>
      <c r="K175" s="1397">
        <f>SUM(K173:K174)</f>
        <v>1165458</v>
      </c>
      <c r="L175" s="1397">
        <f t="shared" ref="L175:P175" si="38">SUM(L173:L174)</f>
        <v>208199</v>
      </c>
      <c r="M175" s="1397">
        <f t="shared" si="38"/>
        <v>1112242</v>
      </c>
      <c r="N175" s="1397">
        <f t="shared" si="38"/>
        <v>0</v>
      </c>
      <c r="O175" s="1397">
        <f t="shared" si="38"/>
        <v>468</v>
      </c>
      <c r="P175" s="1397">
        <f t="shared" si="38"/>
        <v>139614</v>
      </c>
      <c r="Q175" s="1397">
        <f t="shared" ref="Q175" si="39">SUM(Q173:Q174)</f>
        <v>0</v>
      </c>
      <c r="R175" s="1398">
        <f t="shared" ref="R175" si="40">SUM(R173:R174)</f>
        <v>0</v>
      </c>
      <c r="S175" s="291"/>
      <c r="T175" s="291"/>
      <c r="U175" s="291"/>
      <c r="V175" s="291"/>
      <c r="W175" s="291"/>
      <c r="X175" s="291"/>
      <c r="Y175" s="291"/>
      <c r="Z175" s="291"/>
      <c r="AA175" s="291"/>
      <c r="AB175" s="291"/>
      <c r="AC175" s="291"/>
      <c r="AD175" s="291"/>
      <c r="AE175" s="291"/>
    </row>
    <row r="176" spans="1:31" s="57" customFormat="1" ht="22.5" customHeight="1" thickTop="1" x14ac:dyDescent="0.3">
      <c r="A176" s="129">
        <v>167</v>
      </c>
      <c r="B176" s="322">
        <v>16</v>
      </c>
      <c r="C176" s="698"/>
      <c r="D176" s="457" t="s">
        <v>269</v>
      </c>
      <c r="E176" s="457"/>
      <c r="F176" s="454" t="s">
        <v>23</v>
      </c>
      <c r="G176" s="333">
        <v>903541</v>
      </c>
      <c r="H176" s="333">
        <v>1012076</v>
      </c>
      <c r="I176" s="455">
        <v>965302</v>
      </c>
      <c r="J176" s="437"/>
      <c r="K176" s="333"/>
      <c r="L176" s="333"/>
      <c r="M176" s="333"/>
      <c r="N176" s="333"/>
      <c r="O176" s="333"/>
      <c r="P176" s="333"/>
      <c r="Q176" s="333"/>
      <c r="R176" s="357"/>
      <c r="S176" s="287"/>
      <c r="T176" s="287"/>
      <c r="U176" s="287"/>
      <c r="V176" s="287"/>
      <c r="W176" s="287"/>
      <c r="X176" s="287"/>
      <c r="Y176" s="287"/>
      <c r="Z176" s="287"/>
      <c r="AA176" s="287"/>
      <c r="AB176" s="287"/>
      <c r="AC176" s="287"/>
      <c r="AD176" s="287"/>
      <c r="AE176" s="287"/>
    </row>
    <row r="177" spans="1:31" s="807" customFormat="1" ht="18" customHeight="1" x14ac:dyDescent="0.3">
      <c r="A177" s="129">
        <v>168</v>
      </c>
      <c r="B177" s="833"/>
      <c r="C177" s="851"/>
      <c r="D177" s="851"/>
      <c r="E177" s="834" t="s">
        <v>308</v>
      </c>
      <c r="F177" s="827"/>
      <c r="G177" s="827"/>
      <c r="H177" s="827"/>
      <c r="I177" s="852"/>
      <c r="J177" s="853">
        <f>SUM(K177:R177)</f>
        <v>1025459</v>
      </c>
      <c r="K177" s="854">
        <v>180690</v>
      </c>
      <c r="L177" s="854">
        <v>36122</v>
      </c>
      <c r="M177" s="854">
        <v>808647</v>
      </c>
      <c r="N177" s="854"/>
      <c r="O177" s="854"/>
      <c r="P177" s="854"/>
      <c r="Q177" s="854"/>
      <c r="R177" s="855"/>
      <c r="S177" s="858"/>
      <c r="T177" s="858"/>
      <c r="U177" s="858"/>
      <c r="V177" s="858"/>
      <c r="W177" s="858"/>
      <c r="X177" s="858"/>
      <c r="Y177" s="858"/>
      <c r="Z177" s="858"/>
      <c r="AA177" s="858"/>
      <c r="AB177" s="858"/>
      <c r="AC177" s="858"/>
      <c r="AD177" s="858"/>
      <c r="AE177" s="858"/>
    </row>
    <row r="178" spans="1:31" s="807" customFormat="1" ht="18" customHeight="1" x14ac:dyDescent="0.3">
      <c r="A178" s="129">
        <v>169</v>
      </c>
      <c r="B178" s="833"/>
      <c r="C178" s="851"/>
      <c r="D178" s="851"/>
      <c r="E178" s="683" t="s">
        <v>1158</v>
      </c>
      <c r="F178" s="827"/>
      <c r="G178" s="827"/>
      <c r="H178" s="827"/>
      <c r="I178" s="852"/>
      <c r="J178" s="354">
        <f>SUM(K178:R178)</f>
        <v>982601</v>
      </c>
      <c r="K178" s="1425">
        <v>215367</v>
      </c>
      <c r="L178" s="1425">
        <v>46899</v>
      </c>
      <c r="M178" s="1425">
        <v>715835</v>
      </c>
      <c r="N178" s="854"/>
      <c r="O178" s="854"/>
      <c r="P178" s="1425">
        <v>4500</v>
      </c>
      <c r="Q178" s="854"/>
      <c r="R178" s="855"/>
      <c r="S178" s="858"/>
      <c r="T178" s="858"/>
      <c r="U178" s="858"/>
      <c r="V178" s="858"/>
      <c r="W178" s="858"/>
      <c r="X178" s="858"/>
      <c r="Y178" s="858"/>
      <c r="Z178" s="858"/>
      <c r="AA178" s="858"/>
      <c r="AB178" s="858"/>
      <c r="AC178" s="858"/>
      <c r="AD178" s="858"/>
      <c r="AE178" s="858"/>
    </row>
    <row r="179" spans="1:31" s="55" customFormat="1" ht="18" customHeight="1" x14ac:dyDescent="0.3">
      <c r="A179" s="129">
        <v>170</v>
      </c>
      <c r="B179" s="1353"/>
      <c r="C179" s="1380"/>
      <c r="D179" s="1380"/>
      <c r="E179" s="1355" t="s">
        <v>1328</v>
      </c>
      <c r="F179" s="315"/>
      <c r="G179" s="315"/>
      <c r="H179" s="315"/>
      <c r="I179" s="1382"/>
      <c r="J179" s="1383">
        <f>SUM(K179:R179)</f>
        <v>3863</v>
      </c>
      <c r="K179" s="358"/>
      <c r="L179" s="358"/>
      <c r="M179" s="358">
        <v>3863</v>
      </c>
      <c r="N179" s="358"/>
      <c r="O179" s="358"/>
      <c r="P179" s="358"/>
      <c r="Q179" s="358"/>
      <c r="R179" s="359"/>
      <c r="S179" s="154"/>
      <c r="T179" s="154"/>
      <c r="U179" s="154"/>
      <c r="V179" s="154"/>
      <c r="W179" s="154"/>
      <c r="X179" s="154"/>
      <c r="Y179" s="154"/>
      <c r="Z179" s="154"/>
      <c r="AA179" s="154"/>
      <c r="AB179" s="154"/>
      <c r="AC179" s="154"/>
      <c r="AD179" s="154"/>
      <c r="AE179" s="154"/>
    </row>
    <row r="180" spans="1:31" s="58" customFormat="1" ht="18" customHeight="1" thickBot="1" x14ac:dyDescent="0.35">
      <c r="A180" s="129">
        <v>171</v>
      </c>
      <c r="B180" s="460"/>
      <c r="C180" s="1384"/>
      <c r="D180" s="1384"/>
      <c r="E180" s="344" t="s">
        <v>1250</v>
      </c>
      <c r="F180" s="1385"/>
      <c r="G180" s="1385"/>
      <c r="H180" s="1385"/>
      <c r="I180" s="1386"/>
      <c r="J180" s="354">
        <f>SUM(K180:R180)</f>
        <v>986464</v>
      </c>
      <c r="K180" s="1387">
        <f>SUM(K178:K179)</f>
        <v>215367</v>
      </c>
      <c r="L180" s="1387">
        <f>SUM(L178:L179)</f>
        <v>46899</v>
      </c>
      <c r="M180" s="1387">
        <f>SUM(M178:M179)</f>
        <v>719698</v>
      </c>
      <c r="N180" s="1387"/>
      <c r="O180" s="1387"/>
      <c r="P180" s="1387">
        <f>SUM(P178:P179)</f>
        <v>4500</v>
      </c>
      <c r="Q180" s="1387"/>
      <c r="R180" s="1388"/>
      <c r="S180" s="291"/>
      <c r="T180" s="291"/>
      <c r="U180" s="291"/>
      <c r="V180" s="291"/>
      <c r="W180" s="291"/>
      <c r="X180" s="291"/>
      <c r="Y180" s="291"/>
      <c r="Z180" s="291"/>
      <c r="AA180" s="291"/>
      <c r="AB180" s="291"/>
      <c r="AC180" s="291"/>
      <c r="AD180" s="291"/>
      <c r="AE180" s="291"/>
    </row>
    <row r="181" spans="1:31" s="150" customFormat="1" ht="36" customHeight="1" x14ac:dyDescent="0.3">
      <c r="A181" s="129">
        <v>172</v>
      </c>
      <c r="B181" s="2181" t="s">
        <v>158</v>
      </c>
      <c r="C181" s="2182"/>
      <c r="D181" s="2182"/>
      <c r="E181" s="2183"/>
      <c r="F181" s="458"/>
      <c r="G181" s="459">
        <f>SUM(G176,G171,G79,G53)</f>
        <v>5894344</v>
      </c>
      <c r="H181" s="459">
        <f>SUM(H176,H171,H79,H53)</f>
        <v>6023194</v>
      </c>
      <c r="I181" s="1718">
        <f>SUM(I176,I171,I79,I53)</f>
        <v>6471307</v>
      </c>
      <c r="J181" s="861"/>
      <c r="K181" s="365"/>
      <c r="L181" s="365"/>
      <c r="M181" s="365"/>
      <c r="N181" s="365"/>
      <c r="O181" s="365"/>
      <c r="P181" s="365"/>
      <c r="Q181" s="365"/>
      <c r="R181" s="366"/>
      <c r="S181" s="294"/>
      <c r="T181" s="294"/>
      <c r="U181" s="294"/>
      <c r="V181" s="294"/>
      <c r="W181" s="294"/>
      <c r="X181" s="294"/>
      <c r="Y181" s="294"/>
      <c r="Z181" s="294"/>
      <c r="AA181" s="294"/>
      <c r="AB181" s="294"/>
      <c r="AC181" s="294"/>
      <c r="AD181" s="294"/>
      <c r="AE181" s="294"/>
    </row>
    <row r="182" spans="1:31" s="848" customFormat="1" ht="18" customHeight="1" x14ac:dyDescent="0.3">
      <c r="A182" s="129">
        <v>173</v>
      </c>
      <c r="B182" s="833"/>
      <c r="C182" s="851"/>
      <c r="D182" s="851"/>
      <c r="E182" s="834" t="s">
        <v>308</v>
      </c>
      <c r="F182" s="827"/>
      <c r="G182" s="827"/>
      <c r="H182" s="827"/>
      <c r="I182" s="852"/>
      <c r="J182" s="853">
        <f>SUM(K182:R182)</f>
        <v>6363012</v>
      </c>
      <c r="K182" s="854">
        <f t="shared" ref="K182:R183" si="41">SUM(K177,K172,K80,K54)</f>
        <v>3301895</v>
      </c>
      <c r="L182" s="854">
        <f t="shared" si="41"/>
        <v>645834</v>
      </c>
      <c r="M182" s="854">
        <f t="shared" si="41"/>
        <v>2382434</v>
      </c>
      <c r="N182" s="854">
        <f t="shared" si="41"/>
        <v>0</v>
      </c>
      <c r="O182" s="854">
        <f t="shared" si="41"/>
        <v>178</v>
      </c>
      <c r="P182" s="854">
        <f t="shared" si="41"/>
        <v>32671</v>
      </c>
      <c r="Q182" s="854">
        <f t="shared" si="41"/>
        <v>0</v>
      </c>
      <c r="R182" s="855">
        <f t="shared" si="41"/>
        <v>0</v>
      </c>
      <c r="S182" s="847">
        <f>+J182-'[1]4.Inbe'!O63</f>
        <v>0</v>
      </c>
      <c r="T182" s="847"/>
      <c r="U182" s="847"/>
      <c r="V182" s="847"/>
      <c r="W182" s="847"/>
      <c r="X182" s="847"/>
      <c r="Y182" s="847"/>
      <c r="Z182" s="847"/>
      <c r="AA182" s="847"/>
      <c r="AB182" s="847"/>
      <c r="AC182" s="847"/>
      <c r="AD182" s="847"/>
      <c r="AE182" s="847"/>
    </row>
    <row r="183" spans="1:31" s="848" customFormat="1" ht="18" customHeight="1" x14ac:dyDescent="0.3">
      <c r="A183" s="129">
        <v>174</v>
      </c>
      <c r="B183" s="833"/>
      <c r="C183" s="851"/>
      <c r="D183" s="851"/>
      <c r="E183" s="683" t="s">
        <v>1158</v>
      </c>
      <c r="F183" s="827"/>
      <c r="G183" s="827"/>
      <c r="H183" s="827"/>
      <c r="I183" s="852"/>
      <c r="J183" s="354">
        <f>SUM(K183:R183)</f>
        <v>7056411</v>
      </c>
      <c r="K183" s="1425">
        <f t="shared" si="41"/>
        <v>3733960</v>
      </c>
      <c r="L183" s="1425">
        <f t="shared" si="41"/>
        <v>710470</v>
      </c>
      <c r="M183" s="1425">
        <f t="shared" si="41"/>
        <v>2430780</v>
      </c>
      <c r="N183" s="1425">
        <f t="shared" si="41"/>
        <v>0</v>
      </c>
      <c r="O183" s="1425">
        <f t="shared" si="41"/>
        <v>647</v>
      </c>
      <c r="P183" s="1425">
        <f t="shared" si="41"/>
        <v>177437</v>
      </c>
      <c r="Q183" s="1425">
        <f t="shared" si="41"/>
        <v>3117</v>
      </c>
      <c r="R183" s="1426">
        <f t="shared" si="41"/>
        <v>0</v>
      </c>
      <c r="S183" s="847"/>
      <c r="T183" s="847"/>
      <c r="U183" s="847"/>
      <c r="V183" s="847"/>
      <c r="W183" s="847"/>
      <c r="X183" s="847"/>
      <c r="Y183" s="847"/>
      <c r="Z183" s="847"/>
      <c r="AA183" s="847"/>
      <c r="AB183" s="847"/>
      <c r="AC183" s="847"/>
      <c r="AD183" s="847"/>
      <c r="AE183" s="847"/>
    </row>
    <row r="184" spans="1:31" s="55" customFormat="1" ht="18" customHeight="1" x14ac:dyDescent="0.3">
      <c r="A184" s="129">
        <v>175</v>
      </c>
      <c r="B184" s="1353"/>
      <c r="C184" s="1390"/>
      <c r="D184" s="1380"/>
      <c r="E184" s="1381" t="s">
        <v>947</v>
      </c>
      <c r="F184" s="315"/>
      <c r="G184" s="315"/>
      <c r="H184" s="315"/>
      <c r="I184" s="1382"/>
      <c r="J184" s="1383">
        <f>SUM(K184:R184)</f>
        <v>55769</v>
      </c>
      <c r="K184" s="358">
        <f t="shared" ref="K184:R184" si="42">SUM(K56,K82,K174,K179:K179)</f>
        <v>14886</v>
      </c>
      <c r="L184" s="358">
        <f t="shared" si="42"/>
        <v>6036</v>
      </c>
      <c r="M184" s="358">
        <f t="shared" si="42"/>
        <v>36252</v>
      </c>
      <c r="N184" s="358">
        <f t="shared" si="42"/>
        <v>0</v>
      </c>
      <c r="O184" s="358">
        <f t="shared" si="42"/>
        <v>0</v>
      </c>
      <c r="P184" s="358">
        <f t="shared" si="42"/>
        <v>-1405</v>
      </c>
      <c r="Q184" s="358">
        <f t="shared" si="42"/>
        <v>0</v>
      </c>
      <c r="R184" s="359">
        <f t="shared" si="42"/>
        <v>0</v>
      </c>
      <c r="S184" s="154"/>
      <c r="T184" s="154"/>
      <c r="U184" s="154"/>
      <c r="V184" s="154"/>
      <c r="W184" s="154"/>
      <c r="X184" s="154"/>
      <c r="Y184" s="154"/>
      <c r="Z184" s="154"/>
      <c r="AA184" s="154"/>
      <c r="AB184" s="154"/>
      <c r="AC184" s="154"/>
      <c r="AD184" s="154"/>
      <c r="AE184" s="154"/>
    </row>
    <row r="185" spans="1:31" s="58" customFormat="1" ht="18" customHeight="1" thickBot="1" x14ac:dyDescent="0.35">
      <c r="A185" s="129">
        <v>176</v>
      </c>
      <c r="B185" s="1365"/>
      <c r="C185" s="1405"/>
      <c r="D185" s="1406"/>
      <c r="E185" s="1407" t="s">
        <v>1250</v>
      </c>
      <c r="F185" s="1408"/>
      <c r="G185" s="1408"/>
      <c r="H185" s="1408"/>
      <c r="I185" s="1719"/>
      <c r="J185" s="1409">
        <f>SUM(K185:R185)</f>
        <v>7112180</v>
      </c>
      <c r="K185" s="1410">
        <f>SUM(K183:K184)</f>
        <v>3748846</v>
      </c>
      <c r="L185" s="1410">
        <f t="shared" ref="L185:R185" si="43">SUM(L183:L184)</f>
        <v>716506</v>
      </c>
      <c r="M185" s="1410">
        <f t="shared" si="43"/>
        <v>2467032</v>
      </c>
      <c r="N185" s="1410">
        <f t="shared" si="43"/>
        <v>0</v>
      </c>
      <c r="O185" s="1410">
        <f t="shared" si="43"/>
        <v>647</v>
      </c>
      <c r="P185" s="1410">
        <f t="shared" si="43"/>
        <v>176032</v>
      </c>
      <c r="Q185" s="1410">
        <f t="shared" si="43"/>
        <v>3117</v>
      </c>
      <c r="R185" s="1894">
        <f t="shared" si="43"/>
        <v>0</v>
      </c>
      <c r="S185" s="291"/>
      <c r="T185" s="291"/>
      <c r="U185" s="291"/>
      <c r="V185" s="291"/>
      <c r="W185" s="291"/>
      <c r="X185" s="291"/>
      <c r="Y185" s="291"/>
      <c r="Z185" s="291"/>
      <c r="AA185" s="291"/>
      <c r="AB185" s="291"/>
      <c r="AC185" s="291"/>
      <c r="AD185" s="291"/>
      <c r="AE185" s="291"/>
    </row>
    <row r="186" spans="1:31" s="57" customFormat="1" ht="22.5" customHeight="1" x14ac:dyDescent="0.3">
      <c r="A186" s="129">
        <v>177</v>
      </c>
      <c r="B186" s="322">
        <v>17</v>
      </c>
      <c r="C186" s="698"/>
      <c r="D186" s="1411" t="s">
        <v>26</v>
      </c>
      <c r="E186" s="1836"/>
      <c r="F186" s="323" t="s">
        <v>23</v>
      </c>
      <c r="G186" s="1412"/>
      <c r="H186" s="1412"/>
      <c r="I186" s="1720"/>
      <c r="J186" s="1413"/>
      <c r="K186" s="1412"/>
      <c r="L186" s="1412"/>
      <c r="M186" s="1412"/>
      <c r="N186" s="1412"/>
      <c r="O186" s="1412"/>
      <c r="P186" s="1412"/>
      <c r="Q186" s="1412"/>
      <c r="R186" s="1414"/>
      <c r="S186" s="287"/>
      <c r="T186" s="287"/>
      <c r="U186" s="287"/>
      <c r="V186" s="287"/>
      <c r="W186" s="287"/>
      <c r="X186" s="287"/>
      <c r="Y186" s="287"/>
      <c r="Z186" s="287"/>
      <c r="AA186" s="287"/>
      <c r="AB186" s="287"/>
      <c r="AC186" s="287"/>
      <c r="AD186" s="287"/>
      <c r="AE186" s="287"/>
    </row>
    <row r="187" spans="1:31" s="153" customFormat="1" ht="19.5" customHeight="1" x14ac:dyDescent="0.3">
      <c r="A187" s="129">
        <v>178</v>
      </c>
      <c r="B187" s="308"/>
      <c r="C187" s="309">
        <v>1</v>
      </c>
      <c r="D187" s="701" t="s">
        <v>165</v>
      </c>
      <c r="E187" s="701"/>
      <c r="F187" s="453"/>
      <c r="G187" s="120">
        <v>1220396</v>
      </c>
      <c r="H187" s="120">
        <v>1291184</v>
      </c>
      <c r="I187" s="352">
        <v>1287824</v>
      </c>
      <c r="J187" s="362"/>
      <c r="K187" s="120"/>
      <c r="L187" s="120"/>
      <c r="M187" s="120"/>
      <c r="N187" s="120"/>
      <c r="O187" s="120"/>
      <c r="P187" s="120"/>
      <c r="Q187" s="120"/>
      <c r="R187" s="134"/>
      <c r="S187" s="289"/>
      <c r="T187" s="155"/>
      <c r="U187" s="155"/>
      <c r="V187" s="155"/>
      <c r="W187" s="155"/>
      <c r="X187" s="155"/>
      <c r="Y187" s="155"/>
      <c r="Z187" s="155"/>
      <c r="AA187" s="155"/>
      <c r="AB187" s="155"/>
      <c r="AC187" s="155"/>
      <c r="AD187" s="155"/>
      <c r="AE187" s="155"/>
    </row>
    <row r="188" spans="1:31" s="807" customFormat="1" ht="18" customHeight="1" x14ac:dyDescent="0.3">
      <c r="A188" s="129">
        <v>179</v>
      </c>
      <c r="B188" s="797"/>
      <c r="C188" s="798"/>
      <c r="D188" s="841"/>
      <c r="E188" s="868" t="s">
        <v>308</v>
      </c>
      <c r="F188" s="801"/>
      <c r="G188" s="819"/>
      <c r="H188" s="819"/>
      <c r="I188" s="843"/>
      <c r="J188" s="844">
        <f t="shared" ref="J188:J191" si="44">SUM(K188:R188)</f>
        <v>1326424</v>
      </c>
      <c r="K188" s="845">
        <f>903672+1923+174945</f>
        <v>1080540</v>
      </c>
      <c r="L188" s="845">
        <f>163052+338+30615</f>
        <v>194005</v>
      </c>
      <c r="M188" s="845">
        <v>51879</v>
      </c>
      <c r="N188" s="845"/>
      <c r="O188" s="845"/>
      <c r="P188" s="845"/>
      <c r="Q188" s="845"/>
      <c r="R188" s="846"/>
      <c r="S188" s="858"/>
      <c r="T188" s="858"/>
      <c r="U188" s="858"/>
      <c r="V188" s="858"/>
      <c r="W188" s="858"/>
      <c r="X188" s="858"/>
      <c r="Y188" s="858"/>
      <c r="Z188" s="858"/>
      <c r="AA188" s="858"/>
      <c r="AB188" s="858"/>
      <c r="AC188" s="858"/>
      <c r="AD188" s="858"/>
      <c r="AE188" s="858"/>
    </row>
    <row r="189" spans="1:31" s="807" customFormat="1" ht="18" customHeight="1" x14ac:dyDescent="0.3">
      <c r="A189" s="129">
        <v>180</v>
      </c>
      <c r="B189" s="797"/>
      <c r="C189" s="1804"/>
      <c r="D189" s="841"/>
      <c r="E189" s="683" t="s">
        <v>1158</v>
      </c>
      <c r="F189" s="801"/>
      <c r="G189" s="819"/>
      <c r="H189" s="819"/>
      <c r="I189" s="843"/>
      <c r="J189" s="354">
        <f t="shared" si="44"/>
        <v>1449742</v>
      </c>
      <c r="K189" s="1387">
        <v>1159266</v>
      </c>
      <c r="L189" s="1387">
        <v>229193</v>
      </c>
      <c r="M189" s="1387">
        <v>61283</v>
      </c>
      <c r="N189" s="845"/>
      <c r="O189" s="845"/>
      <c r="P189" s="845"/>
      <c r="Q189" s="845"/>
      <c r="R189" s="846"/>
      <c r="S189" s="858"/>
      <c r="T189" s="858"/>
      <c r="U189" s="858"/>
      <c r="V189" s="858"/>
      <c r="W189" s="858"/>
      <c r="X189" s="858"/>
      <c r="Y189" s="858"/>
      <c r="Z189" s="858"/>
      <c r="AA189" s="858"/>
      <c r="AB189" s="858"/>
      <c r="AC189" s="858"/>
      <c r="AD189" s="858"/>
      <c r="AE189" s="858"/>
    </row>
    <row r="190" spans="1:31" s="55" customFormat="1" ht="18" customHeight="1" x14ac:dyDescent="0.3">
      <c r="A190" s="129">
        <v>181</v>
      </c>
      <c r="B190" s="1353"/>
      <c r="C190" s="1380"/>
      <c r="D190" s="1380"/>
      <c r="E190" s="1355" t="s">
        <v>1328</v>
      </c>
      <c r="F190" s="315"/>
      <c r="G190" s="315"/>
      <c r="H190" s="315"/>
      <c r="I190" s="1382"/>
      <c r="J190" s="1383">
        <f t="shared" si="44"/>
        <v>61</v>
      </c>
      <c r="K190" s="358"/>
      <c r="L190" s="358"/>
      <c r="M190" s="358">
        <v>61</v>
      </c>
      <c r="N190" s="358"/>
      <c r="O190" s="358"/>
      <c r="P190" s="358"/>
      <c r="Q190" s="358"/>
      <c r="R190" s="359"/>
      <c r="S190" s="154"/>
      <c r="T190" s="154"/>
      <c r="U190" s="154"/>
      <c r="V190" s="154"/>
      <c r="W190" s="154"/>
      <c r="X190" s="154"/>
      <c r="Y190" s="154"/>
      <c r="Z190" s="154"/>
      <c r="AA190" s="154"/>
      <c r="AB190" s="154"/>
      <c r="AC190" s="154"/>
      <c r="AD190" s="154"/>
      <c r="AE190" s="154"/>
    </row>
    <row r="191" spans="1:31" s="58" customFormat="1" ht="18" customHeight="1" x14ac:dyDescent="0.3">
      <c r="A191" s="129">
        <v>182</v>
      </c>
      <c r="B191" s="460"/>
      <c r="C191" s="1384"/>
      <c r="D191" s="1384"/>
      <c r="E191" s="344" t="s">
        <v>1250</v>
      </c>
      <c r="F191" s="1385"/>
      <c r="G191" s="1385"/>
      <c r="H191" s="1385"/>
      <c r="I191" s="1386"/>
      <c r="J191" s="354">
        <f t="shared" si="44"/>
        <v>1449803</v>
      </c>
      <c r="K191" s="1387">
        <f>SUM(K189:K190)</f>
        <v>1159266</v>
      </c>
      <c r="L191" s="1387">
        <f>SUM(L189:L190)</f>
        <v>229193</v>
      </c>
      <c r="M191" s="1387">
        <f>SUM(M189:M190)</f>
        <v>61344</v>
      </c>
      <c r="N191" s="1387"/>
      <c r="O191" s="1387"/>
      <c r="P191" s="1387"/>
      <c r="Q191" s="1387"/>
      <c r="R191" s="1388"/>
      <c r="S191" s="291"/>
      <c r="T191" s="291"/>
      <c r="U191" s="291"/>
      <c r="V191" s="291"/>
      <c r="W191" s="291"/>
      <c r="X191" s="291"/>
      <c r="Y191" s="291"/>
      <c r="Z191" s="291"/>
      <c r="AA191" s="291"/>
      <c r="AB191" s="291"/>
      <c r="AC191" s="291"/>
      <c r="AD191" s="291"/>
      <c r="AE191" s="291"/>
    </row>
    <row r="192" spans="1:31" s="1173" customFormat="1" ht="19.5" customHeight="1" x14ac:dyDescent="0.3">
      <c r="A192" s="129">
        <v>183</v>
      </c>
      <c r="B192" s="1168"/>
      <c r="C192" s="1169"/>
      <c r="D192" s="1167" t="s">
        <v>893</v>
      </c>
      <c r="E192" s="1167"/>
      <c r="F192" s="1170"/>
      <c r="G192" s="157"/>
      <c r="H192" s="157"/>
      <c r="I192" s="1721">
        <v>10996</v>
      </c>
      <c r="J192" s="362"/>
      <c r="K192" s="157"/>
      <c r="L192" s="157"/>
      <c r="M192" s="157"/>
      <c r="N192" s="157"/>
      <c r="O192" s="157"/>
      <c r="P192" s="157"/>
      <c r="Q192" s="157"/>
      <c r="R192" s="1171"/>
      <c r="S192" s="1274"/>
      <c r="T192" s="1172"/>
      <c r="U192" s="1172"/>
      <c r="V192" s="1172"/>
      <c r="W192" s="1172"/>
      <c r="X192" s="1172"/>
      <c r="Y192" s="1172"/>
      <c r="Z192" s="1172"/>
      <c r="AA192" s="1172"/>
      <c r="AB192" s="1172"/>
      <c r="AC192" s="1172"/>
      <c r="AD192" s="1172"/>
      <c r="AE192" s="1172"/>
    </row>
    <row r="193" spans="1:31" s="1182" customFormat="1" ht="18" customHeight="1" x14ac:dyDescent="0.3">
      <c r="A193" s="129">
        <v>184</v>
      </c>
      <c r="B193" s="1174"/>
      <c r="C193" s="1175"/>
      <c r="D193" s="1176"/>
      <c r="E193" s="1177" t="s">
        <v>308</v>
      </c>
      <c r="F193" s="802"/>
      <c r="G193" s="820"/>
      <c r="H193" s="820"/>
      <c r="I193" s="1714"/>
      <c r="J193" s="1178">
        <f>SUM(K193:R193)</f>
        <v>2261</v>
      </c>
      <c r="K193" s="1179">
        <v>1923</v>
      </c>
      <c r="L193" s="1179">
        <v>338</v>
      </c>
      <c r="M193" s="1179"/>
      <c r="N193" s="1179"/>
      <c r="O193" s="1179"/>
      <c r="P193" s="1179"/>
      <c r="Q193" s="1179"/>
      <c r="R193" s="1180"/>
      <c r="S193" s="1181"/>
      <c r="T193" s="1181"/>
      <c r="U193" s="1181"/>
      <c r="V193" s="1181"/>
      <c r="W193" s="1181"/>
      <c r="X193" s="1181"/>
      <c r="Y193" s="1181"/>
      <c r="Z193" s="1181"/>
      <c r="AA193" s="1181"/>
      <c r="AB193" s="1181"/>
      <c r="AC193" s="1181"/>
      <c r="AD193" s="1181"/>
      <c r="AE193" s="1181"/>
    </row>
    <row r="194" spans="1:31" s="1182" customFormat="1" ht="18" customHeight="1" x14ac:dyDescent="0.3">
      <c r="A194" s="129">
        <v>185</v>
      </c>
      <c r="B194" s="1174"/>
      <c r="C194" s="1805"/>
      <c r="D194" s="1176"/>
      <c r="E194" s="1401" t="s">
        <v>1158</v>
      </c>
      <c r="F194" s="802"/>
      <c r="G194" s="820"/>
      <c r="H194" s="820"/>
      <c r="I194" s="1714"/>
      <c r="J194" s="362">
        <f>SUM(K194:R194)</f>
        <v>2261</v>
      </c>
      <c r="K194" s="1403">
        <v>1923</v>
      </c>
      <c r="L194" s="1403">
        <v>338</v>
      </c>
      <c r="M194" s="1179"/>
      <c r="N194" s="1179"/>
      <c r="O194" s="1179"/>
      <c r="P194" s="1179"/>
      <c r="Q194" s="1179"/>
      <c r="R194" s="1180"/>
      <c r="S194" s="1181"/>
      <c r="T194" s="1181"/>
      <c r="U194" s="1181"/>
      <c r="V194" s="1181"/>
      <c r="W194" s="1181"/>
      <c r="X194" s="1181"/>
      <c r="Y194" s="1181"/>
      <c r="Z194" s="1181"/>
      <c r="AA194" s="1181"/>
      <c r="AB194" s="1181"/>
      <c r="AC194" s="1181"/>
      <c r="AD194" s="1181"/>
      <c r="AE194" s="1181"/>
    </row>
    <row r="195" spans="1:31" s="55" customFormat="1" ht="18" customHeight="1" x14ac:dyDescent="0.3">
      <c r="A195" s="129">
        <v>186</v>
      </c>
      <c r="B195" s="1353"/>
      <c r="C195" s="1380"/>
      <c r="D195" s="1380"/>
      <c r="E195" s="1399" t="s">
        <v>969</v>
      </c>
      <c r="F195" s="315"/>
      <c r="G195" s="315"/>
      <c r="H195" s="315"/>
      <c r="I195" s="1382"/>
      <c r="J195" s="1383">
        <f>SUM(K195:R195)</f>
        <v>0</v>
      </c>
      <c r="K195" s="358"/>
      <c r="L195" s="358"/>
      <c r="M195" s="358"/>
      <c r="N195" s="358"/>
      <c r="O195" s="358"/>
      <c r="P195" s="358"/>
      <c r="Q195" s="358"/>
      <c r="R195" s="359"/>
      <c r="S195" s="154"/>
      <c r="T195" s="154"/>
      <c r="U195" s="154"/>
      <c r="V195" s="154"/>
      <c r="W195" s="154"/>
      <c r="X195" s="154"/>
      <c r="Y195" s="154"/>
      <c r="Z195" s="154"/>
      <c r="AA195" s="154"/>
      <c r="AB195" s="154"/>
      <c r="AC195" s="154"/>
      <c r="AD195" s="154"/>
      <c r="AE195" s="154"/>
    </row>
    <row r="196" spans="1:31" s="59" customFormat="1" ht="18" customHeight="1" x14ac:dyDescent="0.3">
      <c r="A196" s="129">
        <v>187</v>
      </c>
      <c r="B196" s="355"/>
      <c r="C196" s="1400"/>
      <c r="D196" s="1400"/>
      <c r="E196" s="1401" t="s">
        <v>1250</v>
      </c>
      <c r="F196" s="1402"/>
      <c r="G196" s="1402"/>
      <c r="H196" s="1402"/>
      <c r="I196" s="1715"/>
      <c r="J196" s="362">
        <f>SUM(K196:R196)</f>
        <v>2261</v>
      </c>
      <c r="K196" s="1403">
        <f>SUM(K194:K195)</f>
        <v>1923</v>
      </c>
      <c r="L196" s="1403">
        <f>SUM(L194:L195)</f>
        <v>338</v>
      </c>
      <c r="M196" s="1403"/>
      <c r="N196" s="1403"/>
      <c r="O196" s="1403"/>
      <c r="P196" s="1403"/>
      <c r="Q196" s="1403"/>
      <c r="R196" s="1404"/>
      <c r="S196" s="356"/>
      <c r="T196" s="356"/>
      <c r="U196" s="356"/>
      <c r="V196" s="356"/>
      <c r="W196" s="356"/>
      <c r="X196" s="356"/>
      <c r="Y196" s="356"/>
      <c r="Z196" s="356"/>
      <c r="AA196" s="356"/>
      <c r="AB196" s="356"/>
      <c r="AC196" s="356"/>
      <c r="AD196" s="356"/>
      <c r="AE196" s="356"/>
    </row>
    <row r="197" spans="1:31" s="1173" customFormat="1" ht="19.5" customHeight="1" x14ac:dyDescent="0.3">
      <c r="A197" s="129">
        <v>188</v>
      </c>
      <c r="B197" s="1168"/>
      <c r="C197" s="1169"/>
      <c r="D197" s="1167" t="s">
        <v>894</v>
      </c>
      <c r="E197" s="1167"/>
      <c r="F197" s="1170"/>
      <c r="G197" s="157"/>
      <c r="H197" s="157"/>
      <c r="I197" s="1721"/>
      <c r="J197" s="362"/>
      <c r="K197" s="157"/>
      <c r="L197" s="157"/>
      <c r="M197" s="157"/>
      <c r="N197" s="157"/>
      <c r="O197" s="157"/>
      <c r="P197" s="157"/>
      <c r="Q197" s="157"/>
      <c r="R197" s="1171"/>
      <c r="S197" s="1274"/>
      <c r="T197" s="1172"/>
      <c r="U197" s="1172"/>
      <c r="V197" s="1172"/>
      <c r="W197" s="1172"/>
      <c r="X197" s="1172"/>
      <c r="Y197" s="1172"/>
      <c r="Z197" s="1172"/>
      <c r="AA197" s="1172"/>
      <c r="AB197" s="1172"/>
      <c r="AC197" s="1172"/>
      <c r="AD197" s="1172"/>
      <c r="AE197" s="1172"/>
    </row>
    <row r="198" spans="1:31" s="1182" customFormat="1" ht="18" customHeight="1" x14ac:dyDescent="0.3">
      <c r="A198" s="129">
        <v>189</v>
      </c>
      <c r="B198" s="1174"/>
      <c r="C198" s="1175"/>
      <c r="D198" s="1176"/>
      <c r="E198" s="1177" t="s">
        <v>308</v>
      </c>
      <c r="F198" s="802"/>
      <c r="G198" s="820"/>
      <c r="H198" s="820"/>
      <c r="I198" s="1714"/>
      <c r="J198" s="1178">
        <f>SUM(K198:R198)</f>
        <v>205560</v>
      </c>
      <c r="K198" s="1179">
        <v>174945</v>
      </c>
      <c r="L198" s="1179">
        <v>30615</v>
      </c>
      <c r="M198" s="1179"/>
      <c r="N198" s="1179"/>
      <c r="O198" s="1179"/>
      <c r="P198" s="1179"/>
      <c r="Q198" s="1179"/>
      <c r="R198" s="1180"/>
      <c r="S198" s="1181"/>
      <c r="T198" s="1181"/>
      <c r="U198" s="1181"/>
      <c r="V198" s="1181"/>
      <c r="W198" s="1181"/>
      <c r="X198" s="1181"/>
      <c r="Y198" s="1181"/>
      <c r="Z198" s="1181"/>
      <c r="AA198" s="1181"/>
      <c r="AB198" s="1181"/>
      <c r="AC198" s="1181"/>
      <c r="AD198" s="1181"/>
      <c r="AE198" s="1181"/>
    </row>
    <row r="199" spans="1:31" s="1182" customFormat="1" ht="18" customHeight="1" x14ac:dyDescent="0.3">
      <c r="A199" s="129">
        <v>190</v>
      </c>
      <c r="B199" s="1174"/>
      <c r="C199" s="1805"/>
      <c r="D199" s="1176"/>
      <c r="E199" s="1401" t="s">
        <v>1158</v>
      </c>
      <c r="F199" s="802"/>
      <c r="G199" s="820"/>
      <c r="H199" s="820"/>
      <c r="I199" s="1714"/>
      <c r="J199" s="362">
        <f>SUM(K199:R199)</f>
        <v>13344</v>
      </c>
      <c r="K199" s="1403">
        <v>11276</v>
      </c>
      <c r="L199" s="1403">
        <v>2068</v>
      </c>
      <c r="M199" s="1179"/>
      <c r="N199" s="1179"/>
      <c r="O199" s="1179"/>
      <c r="P199" s="1179"/>
      <c r="Q199" s="1179"/>
      <c r="R199" s="1180"/>
      <c r="S199" s="1181"/>
      <c r="T199" s="1181"/>
      <c r="U199" s="1181"/>
      <c r="V199" s="1181"/>
      <c r="W199" s="1181"/>
      <c r="X199" s="1181"/>
      <c r="Y199" s="1181"/>
      <c r="Z199" s="1181"/>
      <c r="AA199" s="1181"/>
      <c r="AB199" s="1181"/>
      <c r="AC199" s="1181"/>
      <c r="AD199" s="1181"/>
      <c r="AE199" s="1181"/>
    </row>
    <row r="200" spans="1:31" s="55" customFormat="1" ht="18" customHeight="1" x14ac:dyDescent="0.3">
      <c r="A200" s="129">
        <v>191</v>
      </c>
      <c r="B200" s="1353"/>
      <c r="C200" s="1380"/>
      <c r="D200" s="1380"/>
      <c r="E200" s="1399" t="s">
        <v>1208</v>
      </c>
      <c r="F200" s="315"/>
      <c r="G200" s="315"/>
      <c r="H200" s="315"/>
      <c r="I200" s="1382"/>
      <c r="J200" s="1383">
        <f>SUM(K200:R200)</f>
        <v>0</v>
      </c>
      <c r="K200" s="358"/>
      <c r="L200" s="358"/>
      <c r="M200" s="358"/>
      <c r="N200" s="358"/>
      <c r="O200" s="358"/>
      <c r="P200" s="358"/>
      <c r="Q200" s="358"/>
      <c r="R200" s="359"/>
      <c r="S200" s="154"/>
      <c r="T200" s="154"/>
      <c r="U200" s="154"/>
      <c r="V200" s="154"/>
      <c r="W200" s="154"/>
      <c r="X200" s="154"/>
      <c r="Y200" s="154"/>
      <c r="Z200" s="154"/>
      <c r="AA200" s="154"/>
      <c r="AB200" s="154"/>
      <c r="AC200" s="154"/>
      <c r="AD200" s="154"/>
      <c r="AE200" s="154"/>
    </row>
    <row r="201" spans="1:31" s="59" customFormat="1" ht="18" customHeight="1" x14ac:dyDescent="0.3">
      <c r="A201" s="129">
        <v>192</v>
      </c>
      <c r="B201" s="355"/>
      <c r="C201" s="1400"/>
      <c r="D201" s="1400"/>
      <c r="E201" s="1401" t="s">
        <v>1250</v>
      </c>
      <c r="F201" s="1402"/>
      <c r="G201" s="1402"/>
      <c r="H201" s="1402"/>
      <c r="I201" s="1715"/>
      <c r="J201" s="362">
        <f>SUM(K201:R201)</f>
        <v>13344</v>
      </c>
      <c r="K201" s="1403">
        <f>SUM(K199:K200)</f>
        <v>11276</v>
      </c>
      <c r="L201" s="1403">
        <f>SUM(L199:L200)</f>
        <v>2068</v>
      </c>
      <c r="M201" s="1403"/>
      <c r="N201" s="1403"/>
      <c r="O201" s="1403"/>
      <c r="P201" s="1403"/>
      <c r="Q201" s="1403"/>
      <c r="R201" s="1404"/>
      <c r="S201" s="356"/>
      <c r="T201" s="356"/>
      <c r="U201" s="356"/>
      <c r="V201" s="356"/>
      <c r="W201" s="356"/>
      <c r="X201" s="356"/>
      <c r="Y201" s="356"/>
      <c r="Z201" s="356"/>
      <c r="AA201" s="356"/>
      <c r="AB201" s="356"/>
      <c r="AC201" s="356"/>
      <c r="AD201" s="356"/>
      <c r="AE201" s="356"/>
    </row>
    <row r="202" spans="1:31" s="59" customFormat="1" ht="18" customHeight="1" x14ac:dyDescent="0.3">
      <c r="A202" s="129">
        <v>193</v>
      </c>
      <c r="B202" s="355"/>
      <c r="C202" s="1400"/>
      <c r="D202" s="1167" t="s">
        <v>1207</v>
      </c>
      <c r="E202" s="1167"/>
      <c r="F202" s="1402"/>
      <c r="G202" s="1402"/>
      <c r="H202" s="1402"/>
      <c r="I202" s="1715"/>
      <c r="J202" s="362"/>
      <c r="K202" s="1403"/>
      <c r="L202" s="1403"/>
      <c r="M202" s="1403"/>
      <c r="N202" s="1403"/>
      <c r="O202" s="1403"/>
      <c r="P202" s="1403"/>
      <c r="Q202" s="1403"/>
      <c r="R202" s="1404"/>
      <c r="S202" s="356"/>
      <c r="T202" s="356"/>
      <c r="U202" s="356"/>
      <c r="V202" s="356"/>
      <c r="W202" s="356"/>
      <c r="X202" s="356"/>
      <c r="Y202" s="356"/>
      <c r="Z202" s="356"/>
      <c r="AA202" s="356"/>
      <c r="AB202" s="356"/>
      <c r="AC202" s="356"/>
      <c r="AD202" s="356"/>
      <c r="AE202" s="356"/>
    </row>
    <row r="203" spans="1:31" s="59" customFormat="1" ht="18" customHeight="1" x14ac:dyDescent="0.3">
      <c r="A203" s="129">
        <v>194</v>
      </c>
      <c r="B203" s="355"/>
      <c r="C203" s="1400"/>
      <c r="D203" s="1947"/>
      <c r="E203" s="1401" t="s">
        <v>1158</v>
      </c>
      <c r="F203" s="1402"/>
      <c r="G203" s="1402"/>
      <c r="H203" s="1402"/>
      <c r="I203" s="1715"/>
      <c r="J203" s="362">
        <f>SUM(K203:R203)</f>
        <v>28984</v>
      </c>
      <c r="K203" s="1403">
        <v>25000</v>
      </c>
      <c r="L203" s="1403">
        <v>3984</v>
      </c>
      <c r="M203" s="1403"/>
      <c r="N203" s="1403"/>
      <c r="O203" s="1403"/>
      <c r="P203" s="1403"/>
      <c r="Q203" s="1403"/>
      <c r="R203" s="1404"/>
      <c r="S203" s="356"/>
      <c r="T203" s="356"/>
      <c r="U203" s="356"/>
      <c r="V203" s="356"/>
      <c r="W203" s="356"/>
      <c r="X203" s="356"/>
      <c r="Y203" s="356"/>
      <c r="Z203" s="356"/>
      <c r="AA203" s="356"/>
      <c r="AB203" s="356"/>
      <c r="AC203" s="356"/>
      <c r="AD203" s="356"/>
      <c r="AE203" s="356"/>
    </row>
    <row r="204" spans="1:31" s="59" customFormat="1" ht="18" customHeight="1" x14ac:dyDescent="0.3">
      <c r="A204" s="129">
        <v>195</v>
      </c>
      <c r="B204" s="355"/>
      <c r="C204" s="1400"/>
      <c r="D204" s="1380"/>
      <c r="E204" s="1399" t="s">
        <v>1209</v>
      </c>
      <c r="F204" s="1402"/>
      <c r="G204" s="1402"/>
      <c r="H204" s="1402"/>
      <c r="I204" s="1715"/>
      <c r="J204" s="1383">
        <f>SUM(K204:R204)</f>
        <v>0</v>
      </c>
      <c r="K204" s="358"/>
      <c r="L204" s="358"/>
      <c r="M204" s="1403"/>
      <c r="N204" s="1403"/>
      <c r="O204" s="1403"/>
      <c r="P204" s="1403"/>
      <c r="Q204" s="1403"/>
      <c r="R204" s="1404"/>
      <c r="S204" s="356"/>
      <c r="T204" s="356"/>
      <c r="U204" s="356"/>
      <c r="V204" s="356"/>
      <c r="W204" s="356"/>
      <c r="X204" s="356"/>
      <c r="Y204" s="356"/>
      <c r="Z204" s="356"/>
      <c r="AA204" s="356"/>
      <c r="AB204" s="356"/>
      <c r="AC204" s="356"/>
      <c r="AD204" s="356"/>
      <c r="AE204" s="356"/>
    </row>
    <row r="205" spans="1:31" s="59" customFormat="1" ht="18" customHeight="1" x14ac:dyDescent="0.3">
      <c r="A205" s="129">
        <v>196</v>
      </c>
      <c r="B205" s="355"/>
      <c r="C205" s="1400"/>
      <c r="D205" s="1400"/>
      <c r="E205" s="1401" t="s">
        <v>1250</v>
      </c>
      <c r="F205" s="1402"/>
      <c r="G205" s="1402"/>
      <c r="H205" s="1402"/>
      <c r="I205" s="1715"/>
      <c r="J205" s="362">
        <f>SUM(K205:R205)</f>
        <v>28984</v>
      </c>
      <c r="K205" s="1403">
        <f>SUM(K203:K204)</f>
        <v>25000</v>
      </c>
      <c r="L205" s="1403">
        <f>SUM(L203:L204)</f>
        <v>3984</v>
      </c>
      <c r="M205" s="1403"/>
      <c r="N205" s="1403"/>
      <c r="O205" s="1403"/>
      <c r="P205" s="1403"/>
      <c r="Q205" s="1403"/>
      <c r="R205" s="1404"/>
      <c r="S205" s="356"/>
      <c r="T205" s="356"/>
      <c r="U205" s="356"/>
      <c r="V205" s="356"/>
      <c r="W205" s="356"/>
      <c r="X205" s="356"/>
      <c r="Y205" s="356"/>
      <c r="Z205" s="356"/>
      <c r="AA205" s="356"/>
      <c r="AB205" s="356"/>
      <c r="AC205" s="356"/>
      <c r="AD205" s="356"/>
      <c r="AE205" s="356"/>
    </row>
    <row r="206" spans="1:31" s="58" customFormat="1" ht="20.100000000000001" customHeight="1" x14ac:dyDescent="0.3">
      <c r="A206" s="129">
        <v>197</v>
      </c>
      <c r="B206" s="308"/>
      <c r="C206" s="309">
        <v>2</v>
      </c>
      <c r="D206" s="701" t="s">
        <v>166</v>
      </c>
      <c r="E206" s="701"/>
      <c r="F206" s="453"/>
      <c r="G206" s="120">
        <v>121346</v>
      </c>
      <c r="H206" s="120">
        <v>164570</v>
      </c>
      <c r="I206" s="352">
        <v>129126</v>
      </c>
      <c r="J206" s="362"/>
      <c r="K206" s="120"/>
      <c r="L206" s="120"/>
      <c r="M206" s="120"/>
      <c r="N206" s="120"/>
      <c r="O206" s="120"/>
      <c r="P206" s="120"/>
      <c r="Q206" s="120"/>
      <c r="R206" s="134"/>
      <c r="S206" s="291"/>
      <c r="T206" s="291"/>
      <c r="U206" s="291"/>
      <c r="V206" s="291"/>
      <c r="W206" s="291"/>
      <c r="X206" s="291"/>
      <c r="Y206" s="291"/>
      <c r="Z206" s="291"/>
      <c r="AA206" s="291"/>
      <c r="AB206" s="291"/>
      <c r="AC206" s="291"/>
      <c r="AD206" s="291"/>
      <c r="AE206" s="291"/>
    </row>
    <row r="207" spans="1:31" s="807" customFormat="1" ht="18" customHeight="1" x14ac:dyDescent="0.3">
      <c r="A207" s="129">
        <v>198</v>
      </c>
      <c r="B207" s="797"/>
      <c r="C207" s="798"/>
      <c r="D207" s="841"/>
      <c r="E207" s="868" t="s">
        <v>308</v>
      </c>
      <c r="F207" s="801"/>
      <c r="G207" s="819"/>
      <c r="H207" s="819"/>
      <c r="I207" s="843"/>
      <c r="J207" s="844">
        <f t="shared" ref="J207:J210" si="45">SUM(K207:R207)</f>
        <v>185553</v>
      </c>
      <c r="K207" s="845">
        <v>3200</v>
      </c>
      <c r="L207" s="845">
        <v>1471</v>
      </c>
      <c r="M207" s="845">
        <v>164897</v>
      </c>
      <c r="N207" s="845"/>
      <c r="O207" s="845"/>
      <c r="P207" s="845">
        <v>15985</v>
      </c>
      <c r="Q207" s="845"/>
      <c r="R207" s="846"/>
      <c r="S207" s="858"/>
      <c r="T207" s="858"/>
      <c r="U207" s="858"/>
      <c r="V207" s="858"/>
      <c r="W207" s="858"/>
      <c r="X207" s="858"/>
      <c r="Y207" s="858"/>
      <c r="Z207" s="858"/>
      <c r="AA207" s="858"/>
      <c r="AB207" s="858"/>
      <c r="AC207" s="858"/>
      <c r="AD207" s="858"/>
      <c r="AE207" s="858"/>
    </row>
    <row r="208" spans="1:31" s="807" customFormat="1" ht="18" customHeight="1" x14ac:dyDescent="0.3">
      <c r="A208" s="129">
        <v>199</v>
      </c>
      <c r="B208" s="797"/>
      <c r="C208" s="1804"/>
      <c r="D208" s="841"/>
      <c r="E208" s="683" t="s">
        <v>1158</v>
      </c>
      <c r="F208" s="801"/>
      <c r="G208" s="819"/>
      <c r="H208" s="819"/>
      <c r="I208" s="843"/>
      <c r="J208" s="354">
        <f t="shared" si="45"/>
        <v>281698</v>
      </c>
      <c r="K208" s="1387">
        <v>3311</v>
      </c>
      <c r="L208" s="1387">
        <v>1971</v>
      </c>
      <c r="M208" s="1387">
        <v>267933</v>
      </c>
      <c r="N208" s="1387"/>
      <c r="O208" s="1387"/>
      <c r="P208" s="1387">
        <v>8483</v>
      </c>
      <c r="Q208" s="845"/>
      <c r="R208" s="846"/>
      <c r="S208" s="858"/>
      <c r="T208" s="858"/>
      <c r="U208" s="858"/>
      <c r="V208" s="858"/>
      <c r="W208" s="858"/>
      <c r="X208" s="858"/>
      <c r="Y208" s="858"/>
      <c r="Z208" s="858"/>
      <c r="AA208" s="858"/>
      <c r="AB208" s="858"/>
      <c r="AC208" s="858"/>
      <c r="AD208" s="858"/>
      <c r="AE208" s="858"/>
    </row>
    <row r="209" spans="1:31" s="55" customFormat="1" ht="18" customHeight="1" x14ac:dyDescent="0.3">
      <c r="A209" s="129">
        <v>200</v>
      </c>
      <c r="B209" s="1353"/>
      <c r="C209" s="1380"/>
      <c r="D209" s="1380"/>
      <c r="E209" s="1381" t="s">
        <v>969</v>
      </c>
      <c r="F209" s="315"/>
      <c r="G209" s="315"/>
      <c r="H209" s="315"/>
      <c r="I209" s="1382"/>
      <c r="J209" s="1383">
        <f t="shared" si="45"/>
        <v>0</v>
      </c>
      <c r="K209" s="358"/>
      <c r="L209" s="358"/>
      <c r="M209" s="358"/>
      <c r="N209" s="358"/>
      <c r="O209" s="358"/>
      <c r="P209" s="358"/>
      <c r="Q209" s="358"/>
      <c r="R209" s="359"/>
      <c r="S209" s="154"/>
      <c r="T209" s="154"/>
      <c r="U209" s="154"/>
      <c r="V209" s="154"/>
      <c r="W209" s="154"/>
      <c r="X209" s="154"/>
      <c r="Y209" s="154"/>
      <c r="Z209" s="154"/>
      <c r="AA209" s="154"/>
      <c r="AB209" s="154"/>
      <c r="AC209" s="154"/>
      <c r="AD209" s="154"/>
      <c r="AE209" s="154"/>
    </row>
    <row r="210" spans="1:31" s="58" customFormat="1" ht="18" customHeight="1" x14ac:dyDescent="0.3">
      <c r="A210" s="129">
        <v>201</v>
      </c>
      <c r="B210" s="460"/>
      <c r="C210" s="1384"/>
      <c r="D210" s="1384"/>
      <c r="E210" s="344" t="s">
        <v>1250</v>
      </c>
      <c r="F210" s="1385"/>
      <c r="G210" s="1385"/>
      <c r="H210" s="1385"/>
      <c r="I210" s="1386"/>
      <c r="J210" s="354">
        <f t="shared" si="45"/>
        <v>281698</v>
      </c>
      <c r="K210" s="1387">
        <f>SUM(K208:K209)</f>
        <v>3311</v>
      </c>
      <c r="L210" s="1387">
        <f>SUM(L208:L209)</f>
        <v>1971</v>
      </c>
      <c r="M210" s="1387">
        <f>SUM(M208:M209)</f>
        <v>267933</v>
      </c>
      <c r="N210" s="1387"/>
      <c r="O210" s="1387"/>
      <c r="P210" s="1387">
        <f>SUM(P208:P209)</f>
        <v>8483</v>
      </c>
      <c r="Q210" s="1387"/>
      <c r="R210" s="1388"/>
      <c r="S210" s="291"/>
      <c r="T210" s="291"/>
      <c r="U210" s="291"/>
      <c r="V210" s="291"/>
      <c r="W210" s="291"/>
      <c r="X210" s="291"/>
      <c r="Y210" s="291"/>
      <c r="Z210" s="291"/>
      <c r="AA210" s="291"/>
      <c r="AB210" s="291"/>
      <c r="AC210" s="291"/>
      <c r="AD210" s="291"/>
      <c r="AE210" s="291"/>
    </row>
    <row r="211" spans="1:31" s="58" customFormat="1" ht="20.100000000000001" customHeight="1" x14ac:dyDescent="0.3">
      <c r="A211" s="129">
        <v>202</v>
      </c>
      <c r="B211" s="308"/>
      <c r="C211" s="309">
        <v>3</v>
      </c>
      <c r="D211" s="701" t="s">
        <v>35</v>
      </c>
      <c r="E211" s="701"/>
      <c r="F211" s="453"/>
      <c r="G211" s="120">
        <v>81896</v>
      </c>
      <c r="H211" s="120">
        <v>96571</v>
      </c>
      <c r="I211" s="352">
        <v>96889</v>
      </c>
      <c r="J211" s="362"/>
      <c r="K211" s="120"/>
      <c r="L211" s="120"/>
      <c r="M211" s="120"/>
      <c r="N211" s="120"/>
      <c r="O211" s="120"/>
      <c r="P211" s="120"/>
      <c r="Q211" s="120"/>
      <c r="R211" s="134"/>
      <c r="S211" s="291"/>
      <c r="T211" s="291"/>
      <c r="U211" s="291"/>
      <c r="V211" s="291"/>
      <c r="W211" s="291"/>
      <c r="X211" s="291"/>
      <c r="Y211" s="291"/>
      <c r="Z211" s="291"/>
      <c r="AA211" s="291"/>
      <c r="AB211" s="291"/>
      <c r="AC211" s="291"/>
      <c r="AD211" s="291"/>
      <c r="AE211" s="291"/>
    </row>
    <row r="212" spans="1:31" s="807" customFormat="1" ht="18" customHeight="1" x14ac:dyDescent="0.3">
      <c r="A212" s="129">
        <v>203</v>
      </c>
      <c r="B212" s="797"/>
      <c r="C212" s="798"/>
      <c r="D212" s="841"/>
      <c r="E212" s="868" t="s">
        <v>308</v>
      </c>
      <c r="F212" s="801"/>
      <c r="G212" s="819"/>
      <c r="H212" s="819"/>
      <c r="I212" s="843"/>
      <c r="J212" s="844">
        <f>SUM(K212:R212)</f>
        <v>91571</v>
      </c>
      <c r="K212" s="845"/>
      <c r="L212" s="845"/>
      <c r="M212" s="845">
        <v>73191</v>
      </c>
      <c r="N212" s="845"/>
      <c r="O212" s="845"/>
      <c r="P212" s="845">
        <v>18380</v>
      </c>
      <c r="Q212" s="845"/>
      <c r="R212" s="846"/>
      <c r="S212" s="858"/>
      <c r="T212" s="858"/>
      <c r="U212" s="858"/>
      <c r="V212" s="858"/>
      <c r="W212" s="858"/>
      <c r="X212" s="858"/>
      <c r="Y212" s="858"/>
      <c r="Z212" s="858"/>
      <c r="AA212" s="858"/>
      <c r="AB212" s="858"/>
      <c r="AC212" s="858"/>
      <c r="AD212" s="858"/>
      <c r="AE212" s="858"/>
    </row>
    <row r="213" spans="1:31" s="807" customFormat="1" ht="18" customHeight="1" x14ac:dyDescent="0.3">
      <c r="A213" s="129">
        <v>204</v>
      </c>
      <c r="B213" s="797"/>
      <c r="C213" s="1804"/>
      <c r="D213" s="841"/>
      <c r="E213" s="683" t="s">
        <v>1158</v>
      </c>
      <c r="F213" s="801"/>
      <c r="G213" s="819"/>
      <c r="H213" s="819"/>
      <c r="I213" s="843"/>
      <c r="J213" s="354">
        <f>SUM(K213:R213)</f>
        <v>117796</v>
      </c>
      <c r="K213" s="845"/>
      <c r="L213" s="845"/>
      <c r="M213" s="1387">
        <v>93722</v>
      </c>
      <c r="N213" s="1387"/>
      <c r="O213" s="1387"/>
      <c r="P213" s="1387">
        <v>24074</v>
      </c>
      <c r="Q213" s="845"/>
      <c r="R213" s="846"/>
      <c r="S213" s="858"/>
      <c r="T213" s="858"/>
      <c r="U213" s="858"/>
      <c r="V213" s="858"/>
      <c r="W213" s="858"/>
      <c r="X213" s="858"/>
      <c r="Y213" s="858"/>
      <c r="Z213" s="858"/>
      <c r="AA213" s="858"/>
      <c r="AB213" s="858"/>
      <c r="AC213" s="858"/>
      <c r="AD213" s="858"/>
      <c r="AE213" s="858"/>
    </row>
    <row r="214" spans="1:31" s="55" customFormat="1" ht="18" customHeight="1" x14ac:dyDescent="0.3">
      <c r="A214" s="129">
        <v>205</v>
      </c>
      <c r="B214" s="1353"/>
      <c r="C214" s="1380"/>
      <c r="D214" s="1380"/>
      <c r="E214" s="1381" t="s">
        <v>947</v>
      </c>
      <c r="F214" s="315"/>
      <c r="G214" s="315"/>
      <c r="H214" s="315"/>
      <c r="I214" s="1382"/>
      <c r="J214" s="1383">
        <f>SUM(K214:R214)</f>
        <v>0</v>
      </c>
      <c r="K214" s="358"/>
      <c r="L214" s="358"/>
      <c r="M214" s="358"/>
      <c r="N214" s="358"/>
      <c r="O214" s="358"/>
      <c r="P214" s="358"/>
      <c r="Q214" s="358"/>
      <c r="R214" s="359"/>
      <c r="S214" s="154"/>
      <c r="T214" s="154"/>
      <c r="U214" s="154"/>
      <c r="V214" s="154"/>
      <c r="W214" s="154"/>
      <c r="X214" s="154"/>
      <c r="Y214" s="154"/>
      <c r="Z214" s="154"/>
      <c r="AA214" s="154"/>
      <c r="AB214" s="154"/>
      <c r="AC214" s="154"/>
      <c r="AD214" s="154"/>
      <c r="AE214" s="154"/>
    </row>
    <row r="215" spans="1:31" s="58" customFormat="1" ht="18" customHeight="1" x14ac:dyDescent="0.3">
      <c r="A215" s="129">
        <v>206</v>
      </c>
      <c r="B215" s="460"/>
      <c r="C215" s="1384"/>
      <c r="D215" s="1384"/>
      <c r="E215" s="344" t="s">
        <v>1250</v>
      </c>
      <c r="F215" s="1385"/>
      <c r="G215" s="1385"/>
      <c r="H215" s="1385"/>
      <c r="I215" s="1386"/>
      <c r="J215" s="354">
        <f>SUM(K215:R215)</f>
        <v>117796</v>
      </c>
      <c r="K215" s="1387"/>
      <c r="L215" s="1387"/>
      <c r="M215" s="1387">
        <f>SUM(M213:M214)</f>
        <v>93722</v>
      </c>
      <c r="N215" s="1387"/>
      <c r="O215" s="1387"/>
      <c r="P215" s="1387">
        <f t="shared" ref="P215" si="46">SUM(P213:P214)</f>
        <v>24074</v>
      </c>
      <c r="Q215" s="1387"/>
      <c r="R215" s="1388"/>
      <c r="S215" s="291"/>
      <c r="T215" s="291"/>
      <c r="U215" s="291"/>
      <c r="V215" s="291"/>
      <c r="W215" s="291"/>
      <c r="X215" s="291"/>
      <c r="Y215" s="291"/>
      <c r="Z215" s="291"/>
      <c r="AA215" s="291"/>
      <c r="AB215" s="291"/>
      <c r="AC215" s="291"/>
      <c r="AD215" s="291"/>
      <c r="AE215" s="291"/>
    </row>
    <row r="216" spans="1:31" s="58" customFormat="1" ht="20.100000000000001" customHeight="1" x14ac:dyDescent="0.3">
      <c r="A216" s="129">
        <v>207</v>
      </c>
      <c r="B216" s="308"/>
      <c r="C216" s="309">
        <v>4</v>
      </c>
      <c r="D216" s="701" t="s">
        <v>167</v>
      </c>
      <c r="E216" s="701"/>
      <c r="F216" s="453"/>
      <c r="G216" s="120">
        <v>2690</v>
      </c>
      <c r="H216" s="120">
        <v>6350</v>
      </c>
      <c r="I216" s="352">
        <v>2385</v>
      </c>
      <c r="J216" s="362"/>
      <c r="K216" s="120"/>
      <c r="L216" s="120"/>
      <c r="M216" s="120"/>
      <c r="N216" s="120"/>
      <c r="O216" s="120"/>
      <c r="P216" s="120"/>
      <c r="Q216" s="120"/>
      <c r="R216" s="134"/>
      <c r="S216" s="291"/>
      <c r="T216" s="291"/>
      <c r="U216" s="291"/>
      <c r="V216" s="291"/>
      <c r="W216" s="291"/>
      <c r="X216" s="291"/>
      <c r="Y216" s="291"/>
      <c r="Z216" s="291"/>
      <c r="AA216" s="291"/>
      <c r="AB216" s="291"/>
      <c r="AC216" s="291"/>
      <c r="AD216" s="291"/>
      <c r="AE216" s="291"/>
    </row>
    <row r="217" spans="1:31" s="807" customFormat="1" ht="18" customHeight="1" x14ac:dyDescent="0.3">
      <c r="A217" s="129">
        <v>208</v>
      </c>
      <c r="B217" s="797"/>
      <c r="C217" s="798"/>
      <c r="D217" s="841"/>
      <c r="E217" s="868" t="s">
        <v>308</v>
      </c>
      <c r="F217" s="801"/>
      <c r="G217" s="819"/>
      <c r="H217" s="819"/>
      <c r="I217" s="843"/>
      <c r="J217" s="844">
        <f>SUM(K217:R217)</f>
        <v>7800</v>
      </c>
      <c r="K217" s="845"/>
      <c r="L217" s="845"/>
      <c r="M217" s="845">
        <v>7800</v>
      </c>
      <c r="N217" s="845"/>
      <c r="O217" s="845"/>
      <c r="P217" s="845"/>
      <c r="Q217" s="845"/>
      <c r="R217" s="846"/>
      <c r="S217" s="858"/>
      <c r="T217" s="858"/>
      <c r="U217" s="858"/>
      <c r="V217" s="858"/>
      <c r="W217" s="858"/>
      <c r="X217" s="858"/>
      <c r="Y217" s="858"/>
      <c r="Z217" s="858"/>
      <c r="AA217" s="858"/>
      <c r="AB217" s="858"/>
      <c r="AC217" s="858"/>
      <c r="AD217" s="858"/>
      <c r="AE217" s="858"/>
    </row>
    <row r="218" spans="1:31" s="807" customFormat="1" ht="18" customHeight="1" x14ac:dyDescent="0.3">
      <c r="A218" s="129">
        <v>209</v>
      </c>
      <c r="B218" s="797"/>
      <c r="C218" s="1804"/>
      <c r="D218" s="841"/>
      <c r="E218" s="683" t="s">
        <v>1158</v>
      </c>
      <c r="F218" s="801"/>
      <c r="G218" s="819"/>
      <c r="H218" s="819"/>
      <c r="I218" s="843"/>
      <c r="J218" s="354">
        <f>SUM(K218:R218)</f>
        <v>13972</v>
      </c>
      <c r="K218" s="845"/>
      <c r="L218" s="845"/>
      <c r="M218" s="1387">
        <v>13972</v>
      </c>
      <c r="N218" s="845"/>
      <c r="O218" s="845"/>
      <c r="P218" s="845"/>
      <c r="Q218" s="845"/>
      <c r="R218" s="846"/>
      <c r="S218" s="858"/>
      <c r="T218" s="858"/>
      <c r="U218" s="858"/>
      <c r="V218" s="858"/>
      <c r="W218" s="858"/>
      <c r="X218" s="858"/>
      <c r="Y218" s="858"/>
      <c r="Z218" s="858"/>
      <c r="AA218" s="858"/>
      <c r="AB218" s="858"/>
      <c r="AC218" s="858"/>
      <c r="AD218" s="858"/>
      <c r="AE218" s="858"/>
    </row>
    <row r="219" spans="1:31" s="55" customFormat="1" ht="18" customHeight="1" x14ac:dyDescent="0.3">
      <c r="A219" s="129">
        <v>210</v>
      </c>
      <c r="B219" s="1353"/>
      <c r="C219" s="1380"/>
      <c r="D219" s="1380"/>
      <c r="E219" s="1381" t="s">
        <v>969</v>
      </c>
      <c r="F219" s="315"/>
      <c r="G219" s="315"/>
      <c r="H219" s="315"/>
      <c r="I219" s="1382"/>
      <c r="J219" s="1383">
        <f>SUM(K219:R219)</f>
        <v>0</v>
      </c>
      <c r="K219" s="358"/>
      <c r="L219" s="358"/>
      <c r="M219" s="358"/>
      <c r="N219" s="358"/>
      <c r="O219" s="358"/>
      <c r="P219" s="358"/>
      <c r="Q219" s="358"/>
      <c r="R219" s="359"/>
      <c r="S219" s="154"/>
      <c r="T219" s="154"/>
      <c r="U219" s="154"/>
      <c r="V219" s="154"/>
      <c r="W219" s="154"/>
      <c r="X219" s="154"/>
      <c r="Y219" s="154"/>
      <c r="Z219" s="154"/>
      <c r="AA219" s="154"/>
      <c r="AB219" s="154"/>
      <c r="AC219" s="154"/>
      <c r="AD219" s="154"/>
      <c r="AE219" s="154"/>
    </row>
    <row r="220" spans="1:31" s="58" customFormat="1" ht="18" customHeight="1" x14ac:dyDescent="0.3">
      <c r="A220" s="129">
        <v>211</v>
      </c>
      <c r="B220" s="460"/>
      <c r="C220" s="1384"/>
      <c r="D220" s="1384"/>
      <c r="E220" s="344" t="s">
        <v>1250</v>
      </c>
      <c r="F220" s="1385"/>
      <c r="G220" s="1385"/>
      <c r="H220" s="1385"/>
      <c r="I220" s="1386"/>
      <c r="J220" s="354">
        <f>SUM(K220:R220)</f>
        <v>13972</v>
      </c>
      <c r="K220" s="1387"/>
      <c r="L220" s="1387"/>
      <c r="M220" s="1387">
        <f>SUM(M218:M219)</f>
        <v>13972</v>
      </c>
      <c r="N220" s="1387"/>
      <c r="O220" s="1387"/>
      <c r="P220" s="1387"/>
      <c r="Q220" s="1387"/>
      <c r="R220" s="1388"/>
      <c r="S220" s="291"/>
      <c r="T220" s="291"/>
      <c r="U220" s="291"/>
      <c r="V220" s="291"/>
      <c r="W220" s="291"/>
      <c r="X220" s="291"/>
      <c r="Y220" s="291"/>
      <c r="Z220" s="291"/>
      <c r="AA220" s="291"/>
      <c r="AB220" s="291"/>
      <c r="AC220" s="291"/>
      <c r="AD220" s="291"/>
      <c r="AE220" s="291"/>
    </row>
    <row r="221" spans="1:31" s="58" customFormat="1" ht="30" customHeight="1" x14ac:dyDescent="0.3">
      <c r="A221" s="129">
        <v>212</v>
      </c>
      <c r="B221" s="460"/>
      <c r="C221" s="313">
        <v>5</v>
      </c>
      <c r="D221" s="2225" t="s">
        <v>392</v>
      </c>
      <c r="E221" s="2226"/>
      <c r="F221" s="702"/>
      <c r="G221" s="314">
        <v>1577</v>
      </c>
      <c r="H221" s="314"/>
      <c r="I221" s="1722"/>
      <c r="J221" s="354"/>
      <c r="K221" s="363"/>
      <c r="L221" s="363"/>
      <c r="M221" s="363"/>
      <c r="N221" s="363"/>
      <c r="O221" s="363"/>
      <c r="P221" s="363"/>
      <c r="Q221" s="363"/>
      <c r="R221" s="364"/>
      <c r="S221" s="291"/>
      <c r="T221" s="291"/>
      <c r="U221" s="291"/>
      <c r="V221" s="291"/>
      <c r="W221" s="291"/>
      <c r="X221" s="291"/>
      <c r="Y221" s="291"/>
      <c r="Z221" s="291"/>
      <c r="AA221" s="291"/>
      <c r="AB221" s="291"/>
      <c r="AC221" s="291"/>
      <c r="AD221" s="291"/>
      <c r="AE221" s="291"/>
    </row>
    <row r="222" spans="1:31" s="58" customFormat="1" ht="20.100000000000001" customHeight="1" x14ac:dyDescent="0.3">
      <c r="A222" s="129">
        <v>213</v>
      </c>
      <c r="B222" s="460"/>
      <c r="C222" s="309">
        <v>6</v>
      </c>
      <c r="D222" s="701" t="s">
        <v>389</v>
      </c>
      <c r="E222" s="701"/>
      <c r="F222" s="453"/>
      <c r="G222" s="314">
        <v>4167</v>
      </c>
      <c r="H222" s="314">
        <v>2495</v>
      </c>
      <c r="I222" s="1722"/>
      <c r="J222" s="354"/>
      <c r="K222" s="363"/>
      <c r="L222" s="363"/>
      <c r="M222" s="363"/>
      <c r="N222" s="363"/>
      <c r="O222" s="363"/>
      <c r="P222" s="363"/>
      <c r="Q222" s="363"/>
      <c r="R222" s="364"/>
      <c r="S222" s="291"/>
      <c r="T222" s="291"/>
      <c r="U222" s="291"/>
      <c r="V222" s="291"/>
      <c r="W222" s="291"/>
      <c r="X222" s="291"/>
      <c r="Y222" s="291"/>
      <c r="Z222" s="291"/>
      <c r="AA222" s="291"/>
      <c r="AB222" s="291"/>
      <c r="AC222" s="291"/>
      <c r="AD222" s="291"/>
      <c r="AE222" s="291"/>
    </row>
    <row r="223" spans="1:31" s="58" customFormat="1" ht="30" customHeight="1" x14ac:dyDescent="0.3">
      <c r="A223" s="129">
        <v>214</v>
      </c>
      <c r="B223" s="460"/>
      <c r="C223" s="313">
        <v>7</v>
      </c>
      <c r="D223" s="2176" t="s">
        <v>612</v>
      </c>
      <c r="E223" s="2177"/>
      <c r="F223" s="453"/>
      <c r="G223" s="314"/>
      <c r="H223" s="314">
        <v>8475</v>
      </c>
      <c r="I223" s="1722"/>
      <c r="J223" s="354"/>
      <c r="K223" s="351"/>
      <c r="L223" s="351"/>
      <c r="M223" s="363"/>
      <c r="N223" s="363"/>
      <c r="O223" s="363"/>
      <c r="P223" s="363"/>
      <c r="Q223" s="363"/>
      <c r="R223" s="364"/>
      <c r="S223" s="291"/>
      <c r="T223" s="291"/>
      <c r="U223" s="291"/>
      <c r="V223" s="291"/>
      <c r="W223" s="291"/>
      <c r="X223" s="291"/>
      <c r="Y223" s="291"/>
      <c r="Z223" s="291"/>
      <c r="AA223" s="291"/>
      <c r="AB223" s="291"/>
      <c r="AC223" s="291"/>
      <c r="AD223" s="291"/>
      <c r="AE223" s="291"/>
    </row>
    <row r="224" spans="1:31" s="848" customFormat="1" ht="18" customHeight="1" x14ac:dyDescent="0.3">
      <c r="A224" s="129">
        <v>215</v>
      </c>
      <c r="B224" s="797"/>
      <c r="C224" s="798"/>
      <c r="D224" s="841"/>
      <c r="E224" s="868" t="s">
        <v>308</v>
      </c>
      <c r="F224" s="869"/>
      <c r="G224" s="819"/>
      <c r="H224" s="819"/>
      <c r="I224" s="843"/>
      <c r="J224" s="844">
        <f t="shared" ref="J224:J229" si="47">SUM(K224:R224)</f>
        <v>13852</v>
      </c>
      <c r="K224" s="866">
        <v>11592</v>
      </c>
      <c r="L224" s="866">
        <v>2260</v>
      </c>
      <c r="M224" s="866"/>
      <c r="N224" s="866"/>
      <c r="O224" s="866"/>
      <c r="P224" s="866"/>
      <c r="Q224" s="866"/>
      <c r="R224" s="867"/>
      <c r="S224" s="847"/>
      <c r="T224" s="847"/>
      <c r="U224" s="847"/>
      <c r="V224" s="847"/>
      <c r="W224" s="847"/>
      <c r="X224" s="847"/>
      <c r="Y224" s="847"/>
      <c r="Z224" s="847"/>
      <c r="AA224" s="847"/>
      <c r="AB224" s="847"/>
      <c r="AC224" s="847"/>
      <c r="AD224" s="847"/>
      <c r="AE224" s="847"/>
    </row>
    <row r="225" spans="1:31" s="848" customFormat="1" ht="18" customHeight="1" x14ac:dyDescent="0.3">
      <c r="A225" s="129">
        <v>216</v>
      </c>
      <c r="B225" s="797"/>
      <c r="C225" s="1804"/>
      <c r="D225" s="841"/>
      <c r="E225" s="683" t="s">
        <v>1158</v>
      </c>
      <c r="F225" s="869"/>
      <c r="G225" s="819"/>
      <c r="H225" s="819"/>
      <c r="I225" s="843"/>
      <c r="J225" s="354">
        <f>SUM(K225:R225)</f>
        <v>0</v>
      </c>
      <c r="K225" s="363">
        <v>0</v>
      </c>
      <c r="L225" s="363">
        <v>0</v>
      </c>
      <c r="M225" s="866"/>
      <c r="N225" s="866"/>
      <c r="O225" s="866"/>
      <c r="P225" s="866"/>
      <c r="Q225" s="866"/>
      <c r="R225" s="867"/>
      <c r="S225" s="847"/>
      <c r="T225" s="847"/>
      <c r="U225" s="847"/>
      <c r="V225" s="847"/>
      <c r="W225" s="847"/>
      <c r="X225" s="847"/>
      <c r="Y225" s="847"/>
      <c r="Z225" s="847"/>
      <c r="AA225" s="847"/>
      <c r="AB225" s="847"/>
      <c r="AC225" s="847"/>
      <c r="AD225" s="847"/>
      <c r="AE225" s="847"/>
    </row>
    <row r="226" spans="1:31" s="55" customFormat="1" ht="18" customHeight="1" x14ac:dyDescent="0.3">
      <c r="A226" s="129">
        <v>217</v>
      </c>
      <c r="B226" s="1353"/>
      <c r="C226" s="1380"/>
      <c r="D226" s="1380"/>
      <c r="E226" s="1381" t="s">
        <v>969</v>
      </c>
      <c r="F226" s="315"/>
      <c r="G226" s="315"/>
      <c r="H226" s="315"/>
      <c r="I226" s="1382"/>
      <c r="J226" s="1383">
        <f>SUM(K226:R226)</f>
        <v>0</v>
      </c>
      <c r="K226" s="358"/>
      <c r="L226" s="358"/>
      <c r="M226" s="358"/>
      <c r="N226" s="358"/>
      <c r="O226" s="358"/>
      <c r="P226" s="358"/>
      <c r="Q226" s="358"/>
      <c r="R226" s="359"/>
      <c r="S226" s="154"/>
      <c r="T226" s="154"/>
      <c r="U226" s="154"/>
      <c r="V226" s="154"/>
      <c r="W226" s="154"/>
      <c r="X226" s="154"/>
      <c r="Y226" s="154"/>
      <c r="Z226" s="154"/>
      <c r="AA226" s="154"/>
      <c r="AB226" s="154"/>
      <c r="AC226" s="154"/>
      <c r="AD226" s="154"/>
      <c r="AE226" s="154"/>
    </row>
    <row r="227" spans="1:31" s="58" customFormat="1" ht="18" customHeight="1" x14ac:dyDescent="0.3">
      <c r="A227" s="129">
        <v>218</v>
      </c>
      <c r="B227" s="460"/>
      <c r="C227" s="1384"/>
      <c r="D227" s="1384"/>
      <c r="E227" s="344" t="s">
        <v>1250</v>
      </c>
      <c r="F227" s="1385"/>
      <c r="G227" s="1385"/>
      <c r="H227" s="1385"/>
      <c r="I227" s="1386"/>
      <c r="J227" s="354">
        <f>SUM(K227:R227)</f>
        <v>0</v>
      </c>
      <c r="K227" s="1387">
        <f>SUM(K225:K226)</f>
        <v>0</v>
      </c>
      <c r="L227" s="1387">
        <f>SUM(L225:L226)</f>
        <v>0</v>
      </c>
      <c r="M227" s="1387"/>
      <c r="N227" s="1387"/>
      <c r="O227" s="1387"/>
      <c r="P227" s="1387"/>
      <c r="Q227" s="1387"/>
      <c r="R227" s="1388"/>
      <c r="S227" s="291"/>
      <c r="T227" s="291"/>
      <c r="U227" s="291"/>
      <c r="V227" s="291"/>
      <c r="W227" s="291"/>
      <c r="X227" s="291"/>
      <c r="Y227" s="291"/>
      <c r="Z227" s="291"/>
      <c r="AA227" s="291"/>
      <c r="AB227" s="291"/>
      <c r="AC227" s="291"/>
      <c r="AD227" s="291"/>
      <c r="AE227" s="291"/>
    </row>
    <row r="228" spans="1:31" s="58" customFormat="1" ht="30" customHeight="1" x14ac:dyDescent="0.3">
      <c r="A228" s="129">
        <v>219</v>
      </c>
      <c r="B228" s="460"/>
      <c r="C228" s="313">
        <v>8</v>
      </c>
      <c r="D228" s="2176" t="s">
        <v>613</v>
      </c>
      <c r="E228" s="2177"/>
      <c r="F228" s="453"/>
      <c r="G228" s="314"/>
      <c r="H228" s="314">
        <v>3250</v>
      </c>
      <c r="I228" s="1722"/>
      <c r="J228" s="354"/>
      <c r="K228" s="351"/>
      <c r="L228" s="351"/>
      <c r="M228" s="363"/>
      <c r="N228" s="363"/>
      <c r="O228" s="363"/>
      <c r="P228" s="363"/>
      <c r="Q228" s="363"/>
      <c r="R228" s="364"/>
      <c r="S228" s="291"/>
      <c r="T228" s="291"/>
      <c r="U228" s="291"/>
      <c r="V228" s="291"/>
      <c r="W228" s="291"/>
      <c r="X228" s="291"/>
      <c r="Y228" s="291"/>
      <c r="Z228" s="291"/>
      <c r="AA228" s="291"/>
      <c r="AB228" s="291"/>
      <c r="AC228" s="291"/>
      <c r="AD228" s="291"/>
      <c r="AE228" s="291"/>
    </row>
    <row r="229" spans="1:31" s="848" customFormat="1" ht="18" customHeight="1" x14ac:dyDescent="0.3">
      <c r="A229" s="129">
        <v>220</v>
      </c>
      <c r="B229" s="797"/>
      <c r="C229" s="798"/>
      <c r="D229" s="841"/>
      <c r="E229" s="868" t="s">
        <v>308</v>
      </c>
      <c r="F229" s="869"/>
      <c r="G229" s="819"/>
      <c r="H229" s="819"/>
      <c r="I229" s="843"/>
      <c r="J229" s="844">
        <f t="shared" si="47"/>
        <v>3250</v>
      </c>
      <c r="K229" s="866">
        <v>2720</v>
      </c>
      <c r="L229" s="866">
        <v>530</v>
      </c>
      <c r="M229" s="866"/>
      <c r="N229" s="866"/>
      <c r="O229" s="866"/>
      <c r="P229" s="866"/>
      <c r="Q229" s="866"/>
      <c r="R229" s="867"/>
      <c r="S229" s="847"/>
      <c r="T229" s="847"/>
      <c r="U229" s="847"/>
      <c r="V229" s="847"/>
      <c r="W229" s="847"/>
      <c r="X229" s="847"/>
      <c r="Y229" s="847"/>
      <c r="Z229" s="847"/>
      <c r="AA229" s="847"/>
      <c r="AB229" s="847"/>
      <c r="AC229" s="847"/>
      <c r="AD229" s="847"/>
      <c r="AE229" s="847"/>
    </row>
    <row r="230" spans="1:31" s="848" customFormat="1" ht="18" customHeight="1" x14ac:dyDescent="0.3">
      <c r="A230" s="129">
        <v>221</v>
      </c>
      <c r="B230" s="797"/>
      <c r="C230" s="1804"/>
      <c r="D230" s="841"/>
      <c r="E230" s="683" t="s">
        <v>1158</v>
      </c>
      <c r="F230" s="869"/>
      <c r="G230" s="819"/>
      <c r="H230" s="819"/>
      <c r="I230" s="843"/>
      <c r="J230" s="354">
        <f>SUM(K230:R230)</f>
        <v>3250</v>
      </c>
      <c r="K230" s="363">
        <v>2720</v>
      </c>
      <c r="L230" s="363">
        <v>530</v>
      </c>
      <c r="M230" s="866"/>
      <c r="N230" s="866"/>
      <c r="O230" s="866"/>
      <c r="P230" s="866"/>
      <c r="Q230" s="866"/>
      <c r="R230" s="867"/>
      <c r="S230" s="847"/>
      <c r="T230" s="847"/>
      <c r="U230" s="847"/>
      <c r="V230" s="847"/>
      <c r="W230" s="847"/>
      <c r="X230" s="847"/>
      <c r="Y230" s="847"/>
      <c r="Z230" s="847"/>
      <c r="AA230" s="847"/>
      <c r="AB230" s="847"/>
      <c r="AC230" s="847"/>
      <c r="AD230" s="847"/>
      <c r="AE230" s="847"/>
    </row>
    <row r="231" spans="1:31" s="55" customFormat="1" ht="18" customHeight="1" x14ac:dyDescent="0.3">
      <c r="A231" s="129">
        <v>222</v>
      </c>
      <c r="B231" s="1353"/>
      <c r="C231" s="1380"/>
      <c r="D231" s="1380"/>
      <c r="E231" s="1381" t="s">
        <v>947</v>
      </c>
      <c r="F231" s="315"/>
      <c r="G231" s="315"/>
      <c r="H231" s="315"/>
      <c r="I231" s="1382"/>
      <c r="J231" s="1383">
        <f>SUM(K231:R231)</f>
        <v>0</v>
      </c>
      <c r="K231" s="358"/>
      <c r="L231" s="358"/>
      <c r="M231" s="358"/>
      <c r="N231" s="358"/>
      <c r="O231" s="358"/>
      <c r="P231" s="358"/>
      <c r="Q231" s="358"/>
      <c r="R231" s="359"/>
      <c r="S231" s="154"/>
      <c r="T231" s="154"/>
      <c r="U231" s="154"/>
      <c r="V231" s="154"/>
      <c r="W231" s="154"/>
      <c r="X231" s="154"/>
      <c r="Y231" s="154"/>
      <c r="Z231" s="154"/>
      <c r="AA231" s="154"/>
      <c r="AB231" s="154"/>
      <c r="AC231" s="154"/>
      <c r="AD231" s="154"/>
      <c r="AE231" s="154"/>
    </row>
    <row r="232" spans="1:31" s="58" customFormat="1" ht="18" customHeight="1" x14ac:dyDescent="0.3">
      <c r="A232" s="129">
        <v>223</v>
      </c>
      <c r="B232" s="460"/>
      <c r="C232" s="1384"/>
      <c r="D232" s="1384"/>
      <c r="E232" s="344" t="s">
        <v>1250</v>
      </c>
      <c r="F232" s="1385"/>
      <c r="G232" s="1385"/>
      <c r="H232" s="1385"/>
      <c r="I232" s="1386"/>
      <c r="J232" s="354">
        <f>SUM(K232:R232)</f>
        <v>3250</v>
      </c>
      <c r="K232" s="1387">
        <f>SUM(K230:K231)</f>
        <v>2720</v>
      </c>
      <c r="L232" s="1387">
        <f>SUM(L230:L231)</f>
        <v>530</v>
      </c>
      <c r="M232" s="1387"/>
      <c r="N232" s="1387"/>
      <c r="O232" s="1387"/>
      <c r="P232" s="1387"/>
      <c r="Q232" s="1387"/>
      <c r="R232" s="1388"/>
      <c r="S232" s="291"/>
      <c r="T232" s="291"/>
      <c r="U232" s="291"/>
      <c r="V232" s="291"/>
      <c r="W232" s="291"/>
      <c r="X232" s="291"/>
      <c r="Y232" s="291"/>
      <c r="Z232" s="291"/>
      <c r="AA232" s="291"/>
      <c r="AB232" s="291"/>
      <c r="AC232" s="291"/>
      <c r="AD232" s="291"/>
      <c r="AE232" s="291"/>
    </row>
    <row r="233" spans="1:31" s="58" customFormat="1" ht="33" customHeight="1" x14ac:dyDescent="0.3">
      <c r="A233" s="129">
        <v>224</v>
      </c>
      <c r="B233" s="460"/>
      <c r="C233" s="309">
        <v>9</v>
      </c>
      <c r="D233" s="2228" t="s">
        <v>1021</v>
      </c>
      <c r="E233" s="2229"/>
      <c r="F233" s="2229"/>
      <c r="G233" s="2230"/>
      <c r="H233" s="314"/>
      <c r="I233" s="1722"/>
      <c r="J233" s="354"/>
      <c r="K233" s="363"/>
      <c r="L233" s="363"/>
      <c r="M233" s="363"/>
      <c r="N233" s="363"/>
      <c r="O233" s="363"/>
      <c r="P233" s="363"/>
      <c r="Q233" s="363"/>
      <c r="R233" s="364"/>
      <c r="S233" s="291"/>
      <c r="T233" s="291"/>
      <c r="U233" s="291"/>
      <c r="V233" s="291"/>
      <c r="W233" s="291"/>
      <c r="X233" s="291"/>
      <c r="Y233" s="291"/>
      <c r="Z233" s="291"/>
      <c r="AA233" s="291"/>
      <c r="AB233" s="291"/>
      <c r="AC233" s="291"/>
      <c r="AD233" s="291"/>
      <c r="AE233" s="291"/>
    </row>
    <row r="234" spans="1:31" s="848" customFormat="1" ht="18" customHeight="1" x14ac:dyDescent="0.3">
      <c r="A234" s="129">
        <v>225</v>
      </c>
      <c r="B234" s="797"/>
      <c r="C234" s="798"/>
      <c r="D234" s="841"/>
      <c r="E234" s="868" t="s">
        <v>308</v>
      </c>
      <c r="F234" s="869"/>
      <c r="G234" s="819"/>
      <c r="H234" s="819"/>
      <c r="I234" s="843"/>
      <c r="J234" s="844">
        <f>SUM(K234:R234)</f>
        <v>6000</v>
      </c>
      <c r="K234" s="866">
        <v>4918</v>
      </c>
      <c r="L234" s="866">
        <v>1082</v>
      </c>
      <c r="M234" s="866"/>
      <c r="N234" s="866"/>
      <c r="O234" s="866"/>
      <c r="P234" s="866"/>
      <c r="Q234" s="866"/>
      <c r="R234" s="867"/>
      <c r="S234" s="847"/>
      <c r="T234" s="847"/>
      <c r="U234" s="847"/>
      <c r="V234" s="847"/>
      <c r="W234" s="847"/>
      <c r="X234" s="847"/>
      <c r="Y234" s="847"/>
      <c r="Z234" s="847"/>
      <c r="AA234" s="847"/>
      <c r="AB234" s="847"/>
      <c r="AC234" s="847"/>
      <c r="AD234" s="847"/>
      <c r="AE234" s="847"/>
    </row>
    <row r="235" spans="1:31" s="848" customFormat="1" ht="18" customHeight="1" x14ac:dyDescent="0.3">
      <c r="A235" s="129">
        <v>226</v>
      </c>
      <c r="B235" s="797"/>
      <c r="C235" s="1804"/>
      <c r="D235" s="841"/>
      <c r="E235" s="683" t="s">
        <v>1158</v>
      </c>
      <c r="F235" s="869"/>
      <c r="G235" s="819"/>
      <c r="H235" s="819"/>
      <c r="I235" s="843"/>
      <c r="J235" s="354">
        <f>SUM(K235:R235)</f>
        <v>6000</v>
      </c>
      <c r="K235" s="363">
        <v>4918</v>
      </c>
      <c r="L235" s="363">
        <v>1082</v>
      </c>
      <c r="M235" s="866"/>
      <c r="N235" s="866"/>
      <c r="O235" s="866"/>
      <c r="P235" s="866"/>
      <c r="Q235" s="866"/>
      <c r="R235" s="867"/>
      <c r="S235" s="847"/>
      <c r="T235" s="847"/>
      <c r="U235" s="847"/>
      <c r="V235" s="847"/>
      <c r="W235" s="847"/>
      <c r="X235" s="847"/>
      <c r="Y235" s="847"/>
      <c r="Z235" s="847"/>
      <c r="AA235" s="847"/>
      <c r="AB235" s="847"/>
      <c r="AC235" s="847"/>
      <c r="AD235" s="847"/>
      <c r="AE235" s="847"/>
    </row>
    <row r="236" spans="1:31" s="55" customFormat="1" ht="18" customHeight="1" x14ac:dyDescent="0.3">
      <c r="A236" s="129">
        <v>227</v>
      </c>
      <c r="B236" s="1353"/>
      <c r="C236" s="1380"/>
      <c r="D236" s="1380"/>
      <c r="E236" s="1381" t="s">
        <v>947</v>
      </c>
      <c r="F236" s="315"/>
      <c r="G236" s="315"/>
      <c r="H236" s="315"/>
      <c r="I236" s="1382"/>
      <c r="J236" s="1383">
        <f>SUM(K236:R236)</f>
        <v>0</v>
      </c>
      <c r="K236" s="358"/>
      <c r="L236" s="358"/>
      <c r="M236" s="358"/>
      <c r="N236" s="358"/>
      <c r="O236" s="358"/>
      <c r="P236" s="358"/>
      <c r="Q236" s="358"/>
      <c r="R236" s="359"/>
      <c r="S236" s="154"/>
      <c r="T236" s="154"/>
      <c r="U236" s="154"/>
      <c r="V236" s="154"/>
      <c r="W236" s="154"/>
      <c r="X236" s="154"/>
      <c r="Y236" s="154"/>
      <c r="Z236" s="154"/>
      <c r="AA236" s="154"/>
      <c r="AB236" s="154"/>
      <c r="AC236" s="154"/>
      <c r="AD236" s="154"/>
      <c r="AE236" s="154"/>
    </row>
    <row r="237" spans="1:31" s="58" customFormat="1" ht="18" customHeight="1" x14ac:dyDescent="0.3">
      <c r="A237" s="129">
        <v>228</v>
      </c>
      <c r="B237" s="460"/>
      <c r="C237" s="1384"/>
      <c r="D237" s="1384"/>
      <c r="E237" s="344" t="s">
        <v>1250</v>
      </c>
      <c r="F237" s="1385"/>
      <c r="G237" s="1385"/>
      <c r="H237" s="1385"/>
      <c r="I237" s="1386"/>
      <c r="J237" s="354">
        <f>SUM(K237:R237)</f>
        <v>6000</v>
      </c>
      <c r="K237" s="1387">
        <f>SUM(K235:K236)</f>
        <v>4918</v>
      </c>
      <c r="L237" s="1387">
        <f>SUM(L235:L236)</f>
        <v>1082</v>
      </c>
      <c r="M237" s="1387"/>
      <c r="N237" s="1387"/>
      <c r="O237" s="1387"/>
      <c r="P237" s="1387"/>
      <c r="Q237" s="1387"/>
      <c r="R237" s="1388"/>
      <c r="S237" s="291"/>
      <c r="T237" s="291"/>
      <c r="U237" s="291"/>
      <c r="V237" s="291"/>
      <c r="W237" s="291"/>
      <c r="X237" s="291"/>
      <c r="Y237" s="291"/>
      <c r="Z237" s="291"/>
      <c r="AA237" s="291"/>
      <c r="AB237" s="291"/>
      <c r="AC237" s="291"/>
      <c r="AD237" s="291"/>
      <c r="AE237" s="291"/>
    </row>
    <row r="238" spans="1:31" s="48" customFormat="1" ht="19.5" customHeight="1" x14ac:dyDescent="0.3">
      <c r="A238" s="129">
        <v>229</v>
      </c>
      <c r="B238" s="460"/>
      <c r="C238" s="309">
        <v>10</v>
      </c>
      <c r="D238" s="701" t="s">
        <v>463</v>
      </c>
      <c r="E238" s="701"/>
      <c r="F238" s="453"/>
      <c r="G238" s="314">
        <v>7483</v>
      </c>
      <c r="H238" s="314"/>
      <c r="I238" s="1722">
        <v>3536</v>
      </c>
      <c r="J238" s="354"/>
      <c r="K238" s="363"/>
      <c r="L238" s="363"/>
      <c r="M238" s="363"/>
      <c r="N238" s="363"/>
      <c r="O238" s="363"/>
      <c r="P238" s="363"/>
      <c r="Q238" s="363"/>
      <c r="R238" s="364"/>
      <c r="S238" s="236"/>
      <c r="T238" s="236"/>
      <c r="U238" s="236"/>
      <c r="V238" s="236"/>
      <c r="W238" s="236"/>
      <c r="X238" s="236"/>
      <c r="Y238" s="236"/>
      <c r="Z238" s="236"/>
      <c r="AA238" s="236"/>
      <c r="AB238" s="236"/>
      <c r="AC238" s="236"/>
      <c r="AD238" s="236"/>
      <c r="AE238" s="236"/>
    </row>
    <row r="239" spans="1:31" s="48" customFormat="1" ht="30" customHeight="1" x14ac:dyDescent="0.3">
      <c r="A239" s="129">
        <v>230</v>
      </c>
      <c r="B239" s="460"/>
      <c r="C239" s="313">
        <v>11</v>
      </c>
      <c r="D239" s="2225" t="s">
        <v>465</v>
      </c>
      <c r="E239" s="2226"/>
      <c r="F239" s="702"/>
      <c r="G239" s="314"/>
      <c r="H239" s="314"/>
      <c r="I239" s="1722">
        <v>2506</v>
      </c>
      <c r="J239" s="354"/>
      <c r="K239" s="363"/>
      <c r="L239" s="363"/>
      <c r="M239" s="363"/>
      <c r="N239" s="363"/>
      <c r="O239" s="363"/>
      <c r="P239" s="363"/>
      <c r="Q239" s="363"/>
      <c r="R239" s="364"/>
      <c r="S239" s="236"/>
      <c r="T239" s="236"/>
      <c r="U239" s="236"/>
      <c r="V239" s="236"/>
      <c r="W239" s="236"/>
      <c r="X239" s="236"/>
      <c r="Y239" s="236"/>
      <c r="Z239" s="236"/>
      <c r="AA239" s="236"/>
      <c r="AB239" s="236"/>
      <c r="AC239" s="236"/>
      <c r="AD239" s="236"/>
      <c r="AE239" s="236"/>
    </row>
    <row r="240" spans="1:31" s="48" customFormat="1" ht="19.5" customHeight="1" x14ac:dyDescent="0.3">
      <c r="A240" s="129">
        <v>231</v>
      </c>
      <c r="B240" s="460"/>
      <c r="C240" s="309">
        <v>12</v>
      </c>
      <c r="D240" s="2128" t="s">
        <v>501</v>
      </c>
      <c r="E240" s="882"/>
      <c r="F240" s="329"/>
      <c r="G240" s="314">
        <v>1622</v>
      </c>
      <c r="H240" s="314"/>
      <c r="I240" s="1722"/>
      <c r="J240" s="354"/>
      <c r="K240" s="363"/>
      <c r="L240" s="363"/>
      <c r="M240" s="363"/>
      <c r="N240" s="363"/>
      <c r="O240" s="363"/>
      <c r="P240" s="363"/>
      <c r="Q240" s="363"/>
      <c r="R240" s="364"/>
      <c r="S240" s="236"/>
      <c r="T240" s="236"/>
      <c r="U240" s="236"/>
      <c r="V240" s="236"/>
      <c r="W240" s="236"/>
      <c r="X240" s="236"/>
      <c r="Y240" s="236"/>
      <c r="Z240" s="236"/>
      <c r="AA240" s="236"/>
      <c r="AB240" s="236"/>
      <c r="AC240" s="236"/>
      <c r="AD240" s="236"/>
      <c r="AE240" s="236"/>
    </row>
    <row r="241" spans="1:31" s="48" customFormat="1" ht="30" customHeight="1" x14ac:dyDescent="0.3">
      <c r="A241" s="129">
        <v>232</v>
      </c>
      <c r="B241" s="460"/>
      <c r="C241" s="313">
        <v>13</v>
      </c>
      <c r="D241" s="2225" t="s">
        <v>500</v>
      </c>
      <c r="E241" s="2226"/>
      <c r="F241" s="702"/>
      <c r="G241" s="314"/>
      <c r="H241" s="314"/>
      <c r="I241" s="1722"/>
      <c r="J241" s="354"/>
      <c r="K241" s="363"/>
      <c r="L241" s="363"/>
      <c r="M241" s="363"/>
      <c r="N241" s="363"/>
      <c r="O241" s="363"/>
      <c r="P241" s="363"/>
      <c r="Q241" s="363"/>
      <c r="R241" s="364"/>
      <c r="S241" s="236"/>
      <c r="T241" s="236"/>
      <c r="U241" s="236"/>
      <c r="V241" s="236"/>
      <c r="W241" s="236"/>
      <c r="X241" s="236"/>
      <c r="Y241" s="236"/>
      <c r="Z241" s="236"/>
      <c r="AA241" s="236"/>
      <c r="AB241" s="236"/>
      <c r="AC241" s="236"/>
      <c r="AD241" s="236"/>
      <c r="AE241" s="236"/>
    </row>
    <row r="242" spans="1:31" s="804" customFormat="1" ht="18" customHeight="1" x14ac:dyDescent="0.3">
      <c r="A242" s="129">
        <v>233</v>
      </c>
      <c r="B242" s="797"/>
      <c r="C242" s="798"/>
      <c r="D242" s="841"/>
      <c r="E242" s="868" t="s">
        <v>308</v>
      </c>
      <c r="F242" s="869"/>
      <c r="G242" s="819"/>
      <c r="H242" s="819"/>
      <c r="I242" s="843"/>
      <c r="J242" s="844">
        <f>SUM(K242:R242)</f>
        <v>5962</v>
      </c>
      <c r="K242" s="866">
        <v>4887</v>
      </c>
      <c r="L242" s="866">
        <v>1075</v>
      </c>
      <c r="M242" s="866"/>
      <c r="N242" s="866"/>
      <c r="O242" s="866"/>
      <c r="P242" s="866"/>
      <c r="Q242" s="866"/>
      <c r="R242" s="867"/>
      <c r="S242" s="870"/>
      <c r="T242" s="870"/>
      <c r="U242" s="870"/>
      <c r="V242" s="870"/>
      <c r="W242" s="870"/>
      <c r="X242" s="870"/>
      <c r="Y242" s="870"/>
      <c r="Z242" s="870"/>
      <c r="AA242" s="870"/>
      <c r="AB242" s="870"/>
      <c r="AC242" s="870"/>
      <c r="AD242" s="870"/>
      <c r="AE242" s="870"/>
    </row>
    <row r="243" spans="1:31" s="804" customFormat="1" ht="18" customHeight="1" x14ac:dyDescent="0.3">
      <c r="A243" s="129">
        <v>234</v>
      </c>
      <c r="B243" s="797"/>
      <c r="C243" s="1804"/>
      <c r="D243" s="841"/>
      <c r="E243" s="683" t="s">
        <v>1158</v>
      </c>
      <c r="F243" s="869"/>
      <c r="G243" s="819"/>
      <c r="H243" s="819"/>
      <c r="I243" s="843"/>
      <c r="J243" s="354">
        <f>SUM(K243:R243)</f>
        <v>5962</v>
      </c>
      <c r="K243" s="363">
        <v>4887</v>
      </c>
      <c r="L243" s="363">
        <v>1075</v>
      </c>
      <c r="M243" s="866"/>
      <c r="N243" s="866"/>
      <c r="O243" s="866"/>
      <c r="P243" s="866"/>
      <c r="Q243" s="866"/>
      <c r="R243" s="867"/>
      <c r="S243" s="870"/>
      <c r="T243" s="870"/>
      <c r="U243" s="870"/>
      <c r="V243" s="870"/>
      <c r="W243" s="870"/>
      <c r="X243" s="870"/>
      <c r="Y243" s="870"/>
      <c r="Z243" s="870"/>
      <c r="AA243" s="870"/>
      <c r="AB243" s="870"/>
      <c r="AC243" s="870"/>
      <c r="AD243" s="870"/>
      <c r="AE243" s="870"/>
    </row>
    <row r="244" spans="1:31" s="55" customFormat="1" ht="18" customHeight="1" x14ac:dyDescent="0.3">
      <c r="A244" s="129">
        <v>235</v>
      </c>
      <c r="B244" s="1353"/>
      <c r="C244" s="1380"/>
      <c r="D244" s="1380"/>
      <c r="E244" s="1381" t="s">
        <v>947</v>
      </c>
      <c r="F244" s="315"/>
      <c r="G244" s="315"/>
      <c r="H244" s="315"/>
      <c r="I244" s="1382"/>
      <c r="J244" s="1383">
        <f>SUM(K244:R244)</f>
        <v>0</v>
      </c>
      <c r="K244" s="358"/>
      <c r="L244" s="358"/>
      <c r="M244" s="358"/>
      <c r="N244" s="358"/>
      <c r="O244" s="358"/>
      <c r="P244" s="358"/>
      <c r="Q244" s="358"/>
      <c r="R244" s="359"/>
      <c r="S244" s="154"/>
      <c r="T244" s="154"/>
      <c r="U244" s="154"/>
      <c r="V244" s="154"/>
      <c r="W244" s="154"/>
      <c r="X244" s="154"/>
      <c r="Y244" s="154"/>
      <c r="Z244" s="154"/>
      <c r="AA244" s="154"/>
      <c r="AB244" s="154"/>
      <c r="AC244" s="154"/>
      <c r="AD244" s="154"/>
      <c r="AE244" s="154"/>
    </row>
    <row r="245" spans="1:31" s="58" customFormat="1" ht="18" customHeight="1" x14ac:dyDescent="0.3">
      <c r="A245" s="129">
        <v>236</v>
      </c>
      <c r="B245" s="460"/>
      <c r="C245" s="1384"/>
      <c r="D245" s="1384"/>
      <c r="E245" s="344" t="s">
        <v>1250</v>
      </c>
      <c r="F245" s="1385"/>
      <c r="G245" s="1385"/>
      <c r="H245" s="1385"/>
      <c r="I245" s="1386"/>
      <c r="J245" s="354">
        <f>SUM(K245:R245)</f>
        <v>5962</v>
      </c>
      <c r="K245" s="1387">
        <f>SUM(K243:K244)</f>
        <v>4887</v>
      </c>
      <c r="L245" s="1387">
        <f>SUM(L243:L244)</f>
        <v>1075</v>
      </c>
      <c r="M245" s="1387"/>
      <c r="N245" s="1387"/>
      <c r="O245" s="1387"/>
      <c r="P245" s="1387"/>
      <c r="Q245" s="1387"/>
      <c r="R245" s="1388"/>
      <c r="S245" s="291"/>
      <c r="T245" s="291"/>
      <c r="U245" s="291"/>
      <c r="V245" s="291"/>
      <c r="W245" s="291"/>
      <c r="X245" s="291"/>
      <c r="Y245" s="291"/>
      <c r="Z245" s="291"/>
      <c r="AA245" s="291"/>
      <c r="AB245" s="291"/>
      <c r="AC245" s="291"/>
      <c r="AD245" s="291"/>
      <c r="AE245" s="291"/>
    </row>
    <row r="246" spans="1:31" s="48" customFormat="1" ht="19.5" customHeight="1" x14ac:dyDescent="0.3">
      <c r="A246" s="129">
        <v>237</v>
      </c>
      <c r="B246" s="460"/>
      <c r="C246" s="309">
        <v>14</v>
      </c>
      <c r="D246" s="701" t="s">
        <v>503</v>
      </c>
      <c r="E246" s="2128"/>
      <c r="F246" s="329"/>
      <c r="G246" s="314"/>
      <c r="H246" s="314"/>
      <c r="I246" s="1722"/>
      <c r="J246" s="354"/>
      <c r="K246" s="363"/>
      <c r="L246" s="363"/>
      <c r="M246" s="363"/>
      <c r="N246" s="363"/>
      <c r="O246" s="363"/>
      <c r="P246" s="363"/>
      <c r="Q246" s="363"/>
      <c r="R246" s="364"/>
      <c r="S246" s="236"/>
      <c r="T246" s="236"/>
      <c r="U246" s="236"/>
      <c r="V246" s="236"/>
      <c r="W246" s="236"/>
      <c r="X246" s="236"/>
      <c r="Y246" s="236"/>
      <c r="Z246" s="236"/>
      <c r="AA246" s="236"/>
      <c r="AB246" s="236"/>
      <c r="AC246" s="236"/>
      <c r="AD246" s="236"/>
      <c r="AE246" s="236"/>
    </row>
    <row r="247" spans="1:31" s="804" customFormat="1" ht="18" customHeight="1" x14ac:dyDescent="0.3">
      <c r="A247" s="129">
        <v>238</v>
      </c>
      <c r="B247" s="797"/>
      <c r="C247" s="798"/>
      <c r="D247" s="841"/>
      <c r="E247" s="868" t="s">
        <v>308</v>
      </c>
      <c r="F247" s="869"/>
      <c r="G247" s="819"/>
      <c r="H247" s="819"/>
      <c r="I247" s="843"/>
      <c r="J247" s="844">
        <f>SUM(K247:R247)</f>
        <v>482</v>
      </c>
      <c r="K247" s="866">
        <v>395</v>
      </c>
      <c r="L247" s="866">
        <v>87</v>
      </c>
      <c r="M247" s="866"/>
      <c r="N247" s="866"/>
      <c r="O247" s="866"/>
      <c r="P247" s="866"/>
      <c r="Q247" s="866"/>
      <c r="R247" s="867"/>
      <c r="S247" s="870"/>
      <c r="T247" s="870"/>
      <c r="U247" s="870"/>
      <c r="V247" s="870"/>
      <c r="W247" s="870"/>
      <c r="X247" s="870"/>
      <c r="Y247" s="870"/>
      <c r="Z247" s="870"/>
      <c r="AA247" s="870"/>
      <c r="AB247" s="870"/>
      <c r="AC247" s="870"/>
      <c r="AD247" s="870"/>
      <c r="AE247" s="870"/>
    </row>
    <row r="248" spans="1:31" s="804" customFormat="1" ht="18" customHeight="1" x14ac:dyDescent="0.3">
      <c r="A248" s="129">
        <v>239</v>
      </c>
      <c r="B248" s="797"/>
      <c r="C248" s="1804"/>
      <c r="D248" s="841"/>
      <c r="E248" s="683" t="s">
        <v>1158</v>
      </c>
      <c r="F248" s="869"/>
      <c r="G248" s="819"/>
      <c r="H248" s="819"/>
      <c r="I248" s="843"/>
      <c r="J248" s="354">
        <f>SUM(K248:R248)</f>
        <v>0</v>
      </c>
      <c r="K248" s="363">
        <v>0</v>
      </c>
      <c r="L248" s="363">
        <v>0</v>
      </c>
      <c r="M248" s="866"/>
      <c r="N248" s="866"/>
      <c r="O248" s="866"/>
      <c r="P248" s="866"/>
      <c r="Q248" s="866"/>
      <c r="R248" s="867"/>
      <c r="S248" s="870"/>
      <c r="T248" s="870"/>
      <c r="U248" s="870"/>
      <c r="V248" s="870"/>
      <c r="W248" s="870"/>
      <c r="X248" s="870"/>
      <c r="Y248" s="870"/>
      <c r="Z248" s="870"/>
      <c r="AA248" s="870"/>
      <c r="AB248" s="870"/>
      <c r="AC248" s="870"/>
      <c r="AD248" s="870"/>
      <c r="AE248" s="870"/>
    </row>
    <row r="249" spans="1:31" s="55" customFormat="1" ht="18" customHeight="1" x14ac:dyDescent="0.3">
      <c r="A249" s="129">
        <v>240</v>
      </c>
      <c r="B249" s="1353"/>
      <c r="C249" s="1380"/>
      <c r="D249" s="1380"/>
      <c r="E249" s="1381" t="s">
        <v>969</v>
      </c>
      <c r="F249" s="315"/>
      <c r="G249" s="315"/>
      <c r="H249" s="315"/>
      <c r="I249" s="1382"/>
      <c r="J249" s="1383">
        <f>SUM(K249:R249)</f>
        <v>0</v>
      </c>
      <c r="K249" s="358"/>
      <c r="L249" s="358"/>
      <c r="M249" s="358"/>
      <c r="N249" s="358"/>
      <c r="O249" s="358"/>
      <c r="P249" s="358"/>
      <c r="Q249" s="358"/>
      <c r="R249" s="359"/>
      <c r="S249" s="154"/>
      <c r="T249" s="154"/>
      <c r="U249" s="154"/>
      <c r="V249" s="154"/>
      <c r="W249" s="154"/>
      <c r="X249" s="154"/>
      <c r="Y249" s="154"/>
      <c r="Z249" s="154"/>
      <c r="AA249" s="154"/>
      <c r="AB249" s="154"/>
      <c r="AC249" s="154"/>
      <c r="AD249" s="154"/>
      <c r="AE249" s="154"/>
    </row>
    <row r="250" spans="1:31" s="58" customFormat="1" ht="18" customHeight="1" x14ac:dyDescent="0.3">
      <c r="A250" s="129">
        <v>241</v>
      </c>
      <c r="B250" s="460"/>
      <c r="C250" s="1384"/>
      <c r="D250" s="1384"/>
      <c r="E250" s="344" t="s">
        <v>1250</v>
      </c>
      <c r="F250" s="1385"/>
      <c r="G250" s="1385"/>
      <c r="H250" s="1385"/>
      <c r="I250" s="1386"/>
      <c r="J250" s="354">
        <f>SUM(K250:R250)</f>
        <v>0</v>
      </c>
      <c r="K250" s="1387">
        <f>SUM(K248:K249)</f>
        <v>0</v>
      </c>
      <c r="L250" s="1387">
        <f>SUM(L248:L249)</f>
        <v>0</v>
      </c>
      <c r="M250" s="1387"/>
      <c r="N250" s="1387"/>
      <c r="O250" s="1387"/>
      <c r="P250" s="1387"/>
      <c r="Q250" s="1387"/>
      <c r="R250" s="1388"/>
      <c r="S250" s="291"/>
      <c r="T250" s="291"/>
      <c r="U250" s="291"/>
      <c r="V250" s="291"/>
      <c r="W250" s="291"/>
      <c r="X250" s="291"/>
      <c r="Y250" s="291"/>
      <c r="Z250" s="291"/>
      <c r="AA250" s="291"/>
      <c r="AB250" s="291"/>
      <c r="AC250" s="291"/>
      <c r="AD250" s="291"/>
      <c r="AE250" s="291"/>
    </row>
    <row r="251" spans="1:31" s="48" customFormat="1" ht="19.5" customHeight="1" x14ac:dyDescent="0.3">
      <c r="A251" s="129">
        <v>242</v>
      </c>
      <c r="B251" s="460"/>
      <c r="C251" s="309">
        <v>15</v>
      </c>
      <c r="D251" s="701" t="s">
        <v>536</v>
      </c>
      <c r="E251" s="882"/>
      <c r="F251" s="329"/>
      <c r="G251" s="314"/>
      <c r="H251" s="314"/>
      <c r="I251" s="1722">
        <v>1541</v>
      </c>
      <c r="J251" s="354"/>
      <c r="K251" s="363"/>
      <c r="L251" s="363"/>
      <c r="M251" s="363"/>
      <c r="N251" s="363"/>
      <c r="O251" s="363"/>
      <c r="P251" s="363"/>
      <c r="Q251" s="363"/>
      <c r="R251" s="364"/>
      <c r="S251" s="236"/>
      <c r="T251" s="236"/>
      <c r="U251" s="236"/>
      <c r="V251" s="236"/>
      <c r="W251" s="236"/>
      <c r="X251" s="236"/>
      <c r="Y251" s="236"/>
      <c r="Z251" s="236"/>
      <c r="AA251" s="236"/>
      <c r="AB251" s="236"/>
      <c r="AC251" s="236"/>
      <c r="AD251" s="236"/>
      <c r="AE251" s="236"/>
    </row>
    <row r="252" spans="1:31" s="48" customFormat="1" ht="30" customHeight="1" x14ac:dyDescent="0.3">
      <c r="A252" s="129">
        <v>243</v>
      </c>
      <c r="B252" s="460"/>
      <c r="C252" s="313">
        <v>16</v>
      </c>
      <c r="D252" s="2225" t="s">
        <v>537</v>
      </c>
      <c r="E252" s="2226"/>
      <c r="F252" s="329"/>
      <c r="G252" s="314"/>
      <c r="H252" s="314"/>
      <c r="I252" s="1722">
        <v>13</v>
      </c>
      <c r="J252" s="354"/>
      <c r="K252" s="363"/>
      <c r="L252" s="363"/>
      <c r="M252" s="363"/>
      <c r="N252" s="363"/>
      <c r="O252" s="363"/>
      <c r="P252" s="363"/>
      <c r="Q252" s="363"/>
      <c r="R252" s="364"/>
      <c r="S252" s="236"/>
      <c r="T252" s="236"/>
      <c r="U252" s="236"/>
      <c r="V252" s="236"/>
      <c r="W252" s="236"/>
      <c r="X252" s="236"/>
      <c r="Y252" s="236"/>
      <c r="Z252" s="236"/>
      <c r="AA252" s="236"/>
      <c r="AB252" s="236"/>
      <c r="AC252" s="236"/>
      <c r="AD252" s="236"/>
      <c r="AE252" s="236"/>
    </row>
    <row r="253" spans="1:31" s="804" customFormat="1" ht="18" customHeight="1" x14ac:dyDescent="0.3">
      <c r="A253" s="129">
        <v>244</v>
      </c>
      <c r="B253" s="797"/>
      <c r="C253" s="798"/>
      <c r="D253" s="841"/>
      <c r="E253" s="868" t="s">
        <v>308</v>
      </c>
      <c r="F253" s="869"/>
      <c r="G253" s="819"/>
      <c r="H253" s="819"/>
      <c r="I253" s="843"/>
      <c r="J253" s="844">
        <f>SUM(K253:R253)</f>
        <v>62</v>
      </c>
      <c r="K253" s="866">
        <v>52</v>
      </c>
      <c r="L253" s="866">
        <v>10</v>
      </c>
      <c r="M253" s="866"/>
      <c r="N253" s="866"/>
      <c r="O253" s="866"/>
      <c r="P253" s="866"/>
      <c r="Q253" s="866"/>
      <c r="R253" s="867"/>
      <c r="S253" s="870"/>
      <c r="T253" s="870"/>
      <c r="U253" s="870"/>
      <c r="V253" s="870"/>
      <c r="W253" s="870"/>
      <c r="X253" s="870"/>
      <c r="Y253" s="870"/>
      <c r="Z253" s="870"/>
      <c r="AA253" s="870"/>
      <c r="AB253" s="870"/>
      <c r="AC253" s="870"/>
      <c r="AD253" s="870"/>
      <c r="AE253" s="870"/>
    </row>
    <row r="254" spans="1:31" s="804" customFormat="1" ht="18" customHeight="1" x14ac:dyDescent="0.3">
      <c r="A254" s="129">
        <v>245</v>
      </c>
      <c r="B254" s="797"/>
      <c r="C254" s="1804"/>
      <c r="D254" s="841"/>
      <c r="E254" s="683" t="s">
        <v>1158</v>
      </c>
      <c r="F254" s="869"/>
      <c r="G254" s="819"/>
      <c r="H254" s="819"/>
      <c r="I254" s="843"/>
      <c r="J254" s="354">
        <f>SUM(K254:R254)</f>
        <v>0</v>
      </c>
      <c r="K254" s="363">
        <v>0</v>
      </c>
      <c r="L254" s="363">
        <v>0</v>
      </c>
      <c r="M254" s="866"/>
      <c r="N254" s="866"/>
      <c r="O254" s="866"/>
      <c r="P254" s="866"/>
      <c r="Q254" s="866"/>
      <c r="R254" s="867"/>
      <c r="S254" s="870"/>
      <c r="T254" s="870"/>
      <c r="U254" s="870"/>
      <c r="V254" s="870"/>
      <c r="W254" s="870"/>
      <c r="X254" s="870"/>
      <c r="Y254" s="870"/>
      <c r="Z254" s="870"/>
      <c r="AA254" s="870"/>
      <c r="AB254" s="870"/>
      <c r="AC254" s="870"/>
      <c r="AD254" s="870"/>
      <c r="AE254" s="870"/>
    </row>
    <row r="255" spans="1:31" s="55" customFormat="1" ht="18" customHeight="1" x14ac:dyDescent="0.3">
      <c r="A255" s="129">
        <v>246</v>
      </c>
      <c r="B255" s="1353"/>
      <c r="C255" s="1380"/>
      <c r="D255" s="1380"/>
      <c r="E255" s="1381" t="s">
        <v>969</v>
      </c>
      <c r="F255" s="315"/>
      <c r="G255" s="315"/>
      <c r="H255" s="315"/>
      <c r="I255" s="1382"/>
      <c r="J255" s="1383">
        <f>SUM(K255:R255)</f>
        <v>0</v>
      </c>
      <c r="K255" s="358"/>
      <c r="L255" s="358"/>
      <c r="M255" s="358"/>
      <c r="N255" s="358"/>
      <c r="O255" s="358"/>
      <c r="P255" s="358"/>
      <c r="Q255" s="358"/>
      <c r="R255" s="359"/>
      <c r="S255" s="154"/>
      <c r="T255" s="154"/>
      <c r="U255" s="154"/>
      <c r="V255" s="154"/>
      <c r="W255" s="154"/>
      <c r="X255" s="154"/>
      <c r="Y255" s="154"/>
      <c r="Z255" s="154"/>
      <c r="AA255" s="154"/>
      <c r="AB255" s="154"/>
      <c r="AC255" s="154"/>
      <c r="AD255" s="154"/>
      <c r="AE255" s="154"/>
    </row>
    <row r="256" spans="1:31" s="58" customFormat="1" ht="18" customHeight="1" x14ac:dyDescent="0.3">
      <c r="A256" s="129">
        <v>247</v>
      </c>
      <c r="B256" s="460"/>
      <c r="C256" s="1384"/>
      <c r="D256" s="1384"/>
      <c r="E256" s="344" t="s">
        <v>1250</v>
      </c>
      <c r="F256" s="1385"/>
      <c r="G256" s="1385"/>
      <c r="H256" s="1385"/>
      <c r="I256" s="1386"/>
      <c r="J256" s="354">
        <f>SUM(K256:R256)</f>
        <v>0</v>
      </c>
      <c r="K256" s="1387">
        <f>SUM(K254:K255)</f>
        <v>0</v>
      </c>
      <c r="L256" s="1387">
        <f>SUM(L254:L255)</f>
        <v>0</v>
      </c>
      <c r="M256" s="1387"/>
      <c r="N256" s="1387"/>
      <c r="O256" s="1387"/>
      <c r="P256" s="1387"/>
      <c r="Q256" s="1387"/>
      <c r="R256" s="1388"/>
      <c r="S256" s="291"/>
      <c r="T256" s="291"/>
      <c r="U256" s="291"/>
      <c r="V256" s="291"/>
      <c r="W256" s="291"/>
      <c r="X256" s="291"/>
      <c r="Y256" s="291"/>
      <c r="Z256" s="291"/>
      <c r="AA256" s="291"/>
      <c r="AB256" s="291"/>
      <c r="AC256" s="291"/>
      <c r="AD256" s="291"/>
      <c r="AE256" s="291"/>
    </row>
    <row r="257" spans="1:31" s="48" customFormat="1" ht="19.5" customHeight="1" x14ac:dyDescent="0.3">
      <c r="A257" s="129">
        <v>248</v>
      </c>
      <c r="B257" s="460"/>
      <c r="C257" s="309">
        <v>17</v>
      </c>
      <c r="D257" s="701" t="s">
        <v>549</v>
      </c>
      <c r="E257" s="882"/>
      <c r="F257" s="329"/>
      <c r="G257" s="314"/>
      <c r="H257" s="314"/>
      <c r="I257" s="1722"/>
      <c r="J257" s="354"/>
      <c r="K257" s="363"/>
      <c r="L257" s="363"/>
      <c r="M257" s="363"/>
      <c r="N257" s="363"/>
      <c r="O257" s="363"/>
      <c r="P257" s="363"/>
      <c r="Q257" s="363"/>
      <c r="R257" s="364"/>
      <c r="S257" s="236"/>
      <c r="T257" s="236"/>
      <c r="U257" s="236"/>
      <c r="V257" s="236"/>
      <c r="W257" s="236"/>
      <c r="X257" s="236"/>
      <c r="Y257" s="236"/>
      <c r="Z257" s="236"/>
      <c r="AA257" s="236"/>
      <c r="AB257" s="236"/>
      <c r="AC257" s="236"/>
      <c r="AD257" s="236"/>
      <c r="AE257" s="236"/>
    </row>
    <row r="258" spans="1:31" s="804" customFormat="1" ht="18" customHeight="1" x14ac:dyDescent="0.3">
      <c r="A258" s="129">
        <v>249</v>
      </c>
      <c r="B258" s="797"/>
      <c r="C258" s="798"/>
      <c r="D258" s="841"/>
      <c r="E258" s="868" t="s">
        <v>308</v>
      </c>
      <c r="F258" s="869"/>
      <c r="G258" s="819"/>
      <c r="H258" s="819"/>
      <c r="I258" s="843"/>
      <c r="J258" s="844">
        <f>SUM(K258:R258)</f>
        <v>12000</v>
      </c>
      <c r="K258" s="866">
        <v>10042</v>
      </c>
      <c r="L258" s="866">
        <v>1958</v>
      </c>
      <c r="M258" s="866"/>
      <c r="N258" s="866"/>
      <c r="O258" s="866"/>
      <c r="P258" s="866"/>
      <c r="Q258" s="866"/>
      <c r="R258" s="867"/>
      <c r="S258" s="870"/>
      <c r="T258" s="870"/>
      <c r="U258" s="870"/>
      <c r="V258" s="870"/>
      <c r="W258" s="870"/>
      <c r="X258" s="870"/>
      <c r="Y258" s="870"/>
      <c r="Z258" s="870"/>
      <c r="AA258" s="870"/>
      <c r="AB258" s="870"/>
      <c r="AC258" s="870"/>
      <c r="AD258" s="870"/>
      <c r="AE258" s="870"/>
    </row>
    <row r="259" spans="1:31" s="804" customFormat="1" ht="18" customHeight="1" x14ac:dyDescent="0.3">
      <c r="A259" s="129">
        <v>250</v>
      </c>
      <c r="B259" s="797"/>
      <c r="C259" s="1804"/>
      <c r="D259" s="841"/>
      <c r="E259" s="683" t="s">
        <v>1158</v>
      </c>
      <c r="F259" s="869"/>
      <c r="G259" s="819"/>
      <c r="H259" s="819"/>
      <c r="I259" s="843"/>
      <c r="J259" s="354">
        <f>SUM(K259:R259)</f>
        <v>12000</v>
      </c>
      <c r="K259" s="363">
        <v>10042</v>
      </c>
      <c r="L259" s="363">
        <v>1958</v>
      </c>
      <c r="M259" s="866"/>
      <c r="N259" s="866"/>
      <c r="O259" s="866"/>
      <c r="P259" s="866"/>
      <c r="Q259" s="866"/>
      <c r="R259" s="867"/>
      <c r="S259" s="870"/>
      <c r="T259" s="870"/>
      <c r="U259" s="870"/>
      <c r="V259" s="870"/>
      <c r="W259" s="870"/>
      <c r="X259" s="870"/>
      <c r="Y259" s="870"/>
      <c r="Z259" s="870"/>
      <c r="AA259" s="870"/>
      <c r="AB259" s="870"/>
      <c r="AC259" s="870"/>
      <c r="AD259" s="870"/>
      <c r="AE259" s="870"/>
    </row>
    <row r="260" spans="1:31" s="55" customFormat="1" ht="18" customHeight="1" x14ac:dyDescent="0.3">
      <c r="A260" s="129">
        <v>251</v>
      </c>
      <c r="B260" s="1353"/>
      <c r="C260" s="1380"/>
      <c r="D260" s="1380"/>
      <c r="E260" s="1381" t="s">
        <v>947</v>
      </c>
      <c r="F260" s="315"/>
      <c r="G260" s="315"/>
      <c r="H260" s="315"/>
      <c r="I260" s="1382"/>
      <c r="J260" s="1383">
        <f>SUM(K260:R260)</f>
        <v>0</v>
      </c>
      <c r="K260" s="358"/>
      <c r="L260" s="358"/>
      <c r="M260" s="358"/>
      <c r="N260" s="358"/>
      <c r="O260" s="358"/>
      <c r="P260" s="358"/>
      <c r="Q260" s="358"/>
      <c r="R260" s="359"/>
      <c r="S260" s="154"/>
      <c r="T260" s="154"/>
      <c r="U260" s="154"/>
      <c r="V260" s="154"/>
      <c r="W260" s="154"/>
      <c r="X260" s="154"/>
      <c r="Y260" s="154"/>
      <c r="Z260" s="154"/>
      <c r="AA260" s="154"/>
      <c r="AB260" s="154"/>
      <c r="AC260" s="154"/>
      <c r="AD260" s="154"/>
      <c r="AE260" s="154"/>
    </row>
    <row r="261" spans="1:31" s="58" customFormat="1" ht="18" customHeight="1" x14ac:dyDescent="0.3">
      <c r="A261" s="129">
        <v>252</v>
      </c>
      <c r="B261" s="460"/>
      <c r="C261" s="1384"/>
      <c r="D261" s="1384"/>
      <c r="E261" s="344" t="s">
        <v>1250</v>
      </c>
      <c r="F261" s="1385"/>
      <c r="G261" s="1385"/>
      <c r="H261" s="1385"/>
      <c r="I261" s="1386"/>
      <c r="J261" s="354">
        <f>SUM(K261:R261)</f>
        <v>12000</v>
      </c>
      <c r="K261" s="1387">
        <f>SUM(K259:K260)</f>
        <v>10042</v>
      </c>
      <c r="L261" s="1387">
        <f>SUM(L259:L260)</f>
        <v>1958</v>
      </c>
      <c r="M261" s="1387"/>
      <c r="N261" s="1387"/>
      <c r="O261" s="1387"/>
      <c r="P261" s="1387"/>
      <c r="Q261" s="1387"/>
      <c r="R261" s="1388"/>
      <c r="S261" s="291"/>
      <c r="T261" s="291"/>
      <c r="U261" s="291"/>
      <c r="V261" s="291"/>
      <c r="W261" s="291"/>
      <c r="X261" s="291"/>
      <c r="Y261" s="291"/>
      <c r="Z261" s="291"/>
      <c r="AA261" s="291"/>
      <c r="AB261" s="291"/>
      <c r="AC261" s="291"/>
      <c r="AD261" s="291"/>
      <c r="AE261" s="291"/>
    </row>
    <row r="262" spans="1:31" s="48" customFormat="1" ht="19.5" customHeight="1" x14ac:dyDescent="0.3">
      <c r="A262" s="129">
        <v>253</v>
      </c>
      <c r="B262" s="460"/>
      <c r="C262" s="309">
        <v>18</v>
      </c>
      <c r="D262" s="701" t="s">
        <v>648</v>
      </c>
      <c r="E262" s="882"/>
      <c r="F262" s="329"/>
      <c r="G262" s="314"/>
      <c r="H262" s="314"/>
      <c r="I262" s="1722">
        <v>14715</v>
      </c>
      <c r="J262" s="354"/>
      <c r="K262" s="363"/>
      <c r="L262" s="363"/>
      <c r="M262" s="363"/>
      <c r="N262" s="363"/>
      <c r="O262" s="363"/>
      <c r="P262" s="363"/>
      <c r="Q262" s="363"/>
      <c r="R262" s="364"/>
      <c r="S262" s="236"/>
      <c r="T262" s="236"/>
      <c r="U262" s="236"/>
      <c r="V262" s="236"/>
      <c r="W262" s="236"/>
      <c r="X262" s="236"/>
      <c r="Y262" s="236"/>
      <c r="Z262" s="236"/>
      <c r="AA262" s="236"/>
      <c r="AB262" s="236"/>
      <c r="AC262" s="236"/>
      <c r="AD262" s="236"/>
      <c r="AE262" s="236"/>
    </row>
    <row r="263" spans="1:31" s="48" customFormat="1" ht="19.5" customHeight="1" x14ac:dyDescent="0.3">
      <c r="A263" s="129">
        <v>254</v>
      </c>
      <c r="B263" s="460"/>
      <c r="C263" s="309">
        <v>19</v>
      </c>
      <c r="D263" s="701" t="s">
        <v>642</v>
      </c>
      <c r="E263" s="882"/>
      <c r="F263" s="329"/>
      <c r="G263" s="314"/>
      <c r="H263" s="314"/>
      <c r="I263" s="1722">
        <v>16537</v>
      </c>
      <c r="J263" s="354"/>
      <c r="K263" s="363"/>
      <c r="L263" s="363"/>
      <c r="M263" s="363"/>
      <c r="N263" s="363"/>
      <c r="O263" s="363"/>
      <c r="P263" s="363"/>
      <c r="Q263" s="363"/>
      <c r="R263" s="364"/>
      <c r="S263" s="236"/>
      <c r="T263" s="236"/>
      <c r="U263" s="236"/>
      <c r="V263" s="236"/>
      <c r="W263" s="236"/>
      <c r="X263" s="236"/>
      <c r="Y263" s="236"/>
      <c r="Z263" s="236"/>
      <c r="AA263" s="236"/>
      <c r="AB263" s="236"/>
      <c r="AC263" s="236"/>
      <c r="AD263" s="236"/>
      <c r="AE263" s="236"/>
    </row>
    <row r="264" spans="1:31" s="804" customFormat="1" ht="18" customHeight="1" x14ac:dyDescent="0.3">
      <c r="A264" s="129">
        <v>255</v>
      </c>
      <c r="B264" s="797"/>
      <c r="C264" s="798"/>
      <c r="D264" s="841"/>
      <c r="E264" s="868" t="s">
        <v>308</v>
      </c>
      <c r="F264" s="869"/>
      <c r="G264" s="819"/>
      <c r="H264" s="819"/>
      <c r="I264" s="843"/>
      <c r="J264" s="844">
        <f>SUM(K264:R264)</f>
        <v>22278</v>
      </c>
      <c r="K264" s="866">
        <v>18966</v>
      </c>
      <c r="L264" s="866">
        <v>3312</v>
      </c>
      <c r="M264" s="866"/>
      <c r="N264" s="866"/>
      <c r="O264" s="866"/>
      <c r="P264" s="866"/>
      <c r="Q264" s="866"/>
      <c r="R264" s="867"/>
      <c r="S264" s="870"/>
      <c r="T264" s="870"/>
      <c r="U264" s="870"/>
      <c r="V264" s="870"/>
      <c r="W264" s="870"/>
      <c r="X264" s="870"/>
      <c r="Y264" s="870"/>
      <c r="Z264" s="870"/>
      <c r="AA264" s="870"/>
      <c r="AB264" s="870"/>
      <c r="AC264" s="870"/>
      <c r="AD264" s="870"/>
      <c r="AE264" s="870"/>
    </row>
    <row r="265" spans="1:31" s="804" customFormat="1" ht="18" customHeight="1" x14ac:dyDescent="0.3">
      <c r="A265" s="129">
        <v>256</v>
      </c>
      <c r="B265" s="797"/>
      <c r="C265" s="1804"/>
      <c r="D265" s="841"/>
      <c r="E265" s="683" t="s">
        <v>1158</v>
      </c>
      <c r="F265" s="869"/>
      <c r="G265" s="819"/>
      <c r="H265" s="819"/>
      <c r="I265" s="843"/>
      <c r="J265" s="354">
        <f>SUM(K265:R265)</f>
        <v>0</v>
      </c>
      <c r="K265" s="363">
        <v>0</v>
      </c>
      <c r="L265" s="363">
        <v>0</v>
      </c>
      <c r="M265" s="866"/>
      <c r="N265" s="866"/>
      <c r="O265" s="866"/>
      <c r="P265" s="866"/>
      <c r="Q265" s="866"/>
      <c r="R265" s="867"/>
      <c r="S265" s="870"/>
      <c r="T265" s="870"/>
      <c r="U265" s="870"/>
      <c r="V265" s="870"/>
      <c r="W265" s="870"/>
      <c r="X265" s="870"/>
      <c r="Y265" s="870"/>
      <c r="Z265" s="870"/>
      <c r="AA265" s="870"/>
      <c r="AB265" s="870"/>
      <c r="AC265" s="870"/>
      <c r="AD265" s="870"/>
      <c r="AE265" s="870"/>
    </row>
    <row r="266" spans="1:31" s="55" customFormat="1" ht="18" customHeight="1" x14ac:dyDescent="0.3">
      <c r="A266" s="129">
        <v>257</v>
      </c>
      <c r="B266" s="1353"/>
      <c r="C266" s="1380"/>
      <c r="D266" s="1380"/>
      <c r="E266" s="1381" t="s">
        <v>969</v>
      </c>
      <c r="F266" s="315"/>
      <c r="G266" s="315"/>
      <c r="H266" s="315"/>
      <c r="I266" s="1382"/>
      <c r="J266" s="1383">
        <f>SUM(K266:R266)</f>
        <v>0</v>
      </c>
      <c r="K266" s="358"/>
      <c r="L266" s="358"/>
      <c r="M266" s="358"/>
      <c r="N266" s="358"/>
      <c r="O266" s="358"/>
      <c r="P266" s="358"/>
      <c r="Q266" s="358"/>
      <c r="R266" s="359"/>
      <c r="S266" s="154"/>
      <c r="T266" s="154"/>
      <c r="U266" s="154"/>
      <c r="V266" s="154"/>
      <c r="W266" s="154"/>
      <c r="X266" s="154"/>
      <c r="Y266" s="154"/>
      <c r="Z266" s="154"/>
      <c r="AA266" s="154"/>
      <c r="AB266" s="154"/>
      <c r="AC266" s="154"/>
      <c r="AD266" s="154"/>
      <c r="AE266" s="154"/>
    </row>
    <row r="267" spans="1:31" s="58" customFormat="1" ht="18" customHeight="1" x14ac:dyDescent="0.3">
      <c r="A267" s="129">
        <v>258</v>
      </c>
      <c r="B267" s="460"/>
      <c r="C267" s="1384"/>
      <c r="D267" s="1384"/>
      <c r="E267" s="344" t="s">
        <v>1250</v>
      </c>
      <c r="F267" s="1385"/>
      <c r="G267" s="1385"/>
      <c r="H267" s="1385"/>
      <c r="I267" s="1386"/>
      <c r="J267" s="354">
        <f>SUM(K267:R267)</f>
        <v>0</v>
      </c>
      <c r="K267" s="1387">
        <f>SUM(K265:K266)</f>
        <v>0</v>
      </c>
      <c r="L267" s="1387">
        <f>SUM(L265:L266)</f>
        <v>0</v>
      </c>
      <c r="M267" s="1387"/>
      <c r="N267" s="1387"/>
      <c r="O267" s="1387"/>
      <c r="P267" s="1387"/>
      <c r="Q267" s="1387"/>
      <c r="R267" s="1388"/>
      <c r="S267" s="291"/>
      <c r="T267" s="291"/>
      <c r="U267" s="291"/>
      <c r="V267" s="291"/>
      <c r="W267" s="291"/>
      <c r="X267" s="291"/>
      <c r="Y267" s="291"/>
      <c r="Z267" s="291"/>
      <c r="AA267" s="291"/>
      <c r="AB267" s="291"/>
      <c r="AC267" s="291"/>
      <c r="AD267" s="291"/>
      <c r="AE267" s="291"/>
    </row>
    <row r="268" spans="1:31" s="48" customFormat="1" ht="19.5" customHeight="1" x14ac:dyDescent="0.3">
      <c r="A268" s="129">
        <v>259</v>
      </c>
      <c r="B268" s="460"/>
      <c r="C268" s="309">
        <v>20</v>
      </c>
      <c r="D268" s="701" t="s">
        <v>607</v>
      </c>
      <c r="E268" s="1047"/>
      <c r="F268" s="702"/>
      <c r="G268" s="314"/>
      <c r="H268" s="314"/>
      <c r="I268" s="1722">
        <v>1684</v>
      </c>
      <c r="J268" s="354"/>
      <c r="K268" s="363"/>
      <c r="L268" s="363"/>
      <c r="M268" s="363"/>
      <c r="N268" s="363"/>
      <c r="O268" s="363"/>
      <c r="P268" s="363"/>
      <c r="Q268" s="363"/>
      <c r="R268" s="364"/>
      <c r="S268" s="236"/>
      <c r="T268" s="236"/>
      <c r="U268" s="236"/>
      <c r="V268" s="236"/>
      <c r="W268" s="236"/>
      <c r="X268" s="236"/>
      <c r="Y268" s="236"/>
      <c r="Z268" s="236"/>
      <c r="AA268" s="236"/>
      <c r="AB268" s="236"/>
      <c r="AC268" s="236"/>
      <c r="AD268" s="236"/>
      <c r="AE268" s="236"/>
    </row>
    <row r="269" spans="1:31" s="804" customFormat="1" ht="18" customHeight="1" x14ac:dyDescent="0.3">
      <c r="A269" s="129">
        <v>260</v>
      </c>
      <c r="B269" s="797"/>
      <c r="C269" s="798"/>
      <c r="D269" s="841"/>
      <c r="E269" s="868" t="s">
        <v>308</v>
      </c>
      <c r="F269" s="869"/>
      <c r="G269" s="819"/>
      <c r="H269" s="819"/>
      <c r="I269" s="843"/>
      <c r="J269" s="844">
        <f>SUM(K269:R269)</f>
        <v>327</v>
      </c>
      <c r="K269" s="866">
        <v>211</v>
      </c>
      <c r="L269" s="866">
        <v>63</v>
      </c>
      <c r="M269" s="866">
        <v>53</v>
      </c>
      <c r="N269" s="866"/>
      <c r="O269" s="866"/>
      <c r="P269" s="866"/>
      <c r="Q269" s="866"/>
      <c r="R269" s="867"/>
      <c r="S269" s="870"/>
      <c r="T269" s="870"/>
      <c r="U269" s="870"/>
      <c r="V269" s="870"/>
      <c r="W269" s="870"/>
      <c r="X269" s="870"/>
      <c r="Y269" s="870"/>
      <c r="Z269" s="870"/>
      <c r="AA269" s="870"/>
      <c r="AB269" s="870"/>
      <c r="AC269" s="870"/>
      <c r="AD269" s="870"/>
      <c r="AE269" s="870"/>
    </row>
    <row r="270" spans="1:31" s="804" customFormat="1" ht="18" customHeight="1" x14ac:dyDescent="0.3">
      <c r="A270" s="129">
        <v>261</v>
      </c>
      <c r="B270" s="797"/>
      <c r="C270" s="1804"/>
      <c r="D270" s="841"/>
      <c r="E270" s="683" t="s">
        <v>1158</v>
      </c>
      <c r="F270" s="869"/>
      <c r="G270" s="819"/>
      <c r="H270" s="819"/>
      <c r="I270" s="843"/>
      <c r="J270" s="354">
        <f>SUM(K270:R270)</f>
        <v>2313</v>
      </c>
      <c r="K270" s="363">
        <v>1901</v>
      </c>
      <c r="L270" s="363">
        <v>359</v>
      </c>
      <c r="M270" s="363">
        <v>53</v>
      </c>
      <c r="N270" s="866"/>
      <c r="O270" s="866"/>
      <c r="P270" s="866"/>
      <c r="Q270" s="866"/>
      <c r="R270" s="867"/>
      <c r="S270" s="870"/>
      <c r="T270" s="870"/>
      <c r="U270" s="870"/>
      <c r="V270" s="870"/>
      <c r="W270" s="870"/>
      <c r="X270" s="870"/>
      <c r="Y270" s="870"/>
      <c r="Z270" s="870"/>
      <c r="AA270" s="870"/>
      <c r="AB270" s="870"/>
      <c r="AC270" s="870"/>
      <c r="AD270" s="870"/>
      <c r="AE270" s="870"/>
    </row>
    <row r="271" spans="1:31" s="55" customFormat="1" ht="18" customHeight="1" x14ac:dyDescent="0.3">
      <c r="A271" s="129">
        <v>262</v>
      </c>
      <c r="B271" s="1353"/>
      <c r="C271" s="1380"/>
      <c r="D271" s="1380"/>
      <c r="E271" s="1381" t="s">
        <v>969</v>
      </c>
      <c r="F271" s="315"/>
      <c r="G271" s="315"/>
      <c r="H271" s="315"/>
      <c r="I271" s="1382"/>
      <c r="J271" s="1383">
        <f>SUM(K271:R271)</f>
        <v>0</v>
      </c>
      <c r="K271" s="358"/>
      <c r="L271" s="358"/>
      <c r="M271" s="358"/>
      <c r="N271" s="358"/>
      <c r="O271" s="358"/>
      <c r="P271" s="358"/>
      <c r="Q271" s="358"/>
      <c r="R271" s="359"/>
      <c r="S271" s="154"/>
      <c r="T271" s="154"/>
      <c r="U271" s="154"/>
      <c r="V271" s="154"/>
      <c r="W271" s="154"/>
      <c r="X271" s="154"/>
      <c r="Y271" s="154"/>
      <c r="Z271" s="154"/>
      <c r="AA271" s="154"/>
      <c r="AB271" s="154"/>
      <c r="AC271" s="154"/>
      <c r="AD271" s="154"/>
      <c r="AE271" s="154"/>
    </row>
    <row r="272" spans="1:31" s="58" customFormat="1" ht="18" customHeight="1" x14ac:dyDescent="0.3">
      <c r="A272" s="129">
        <v>263</v>
      </c>
      <c r="B272" s="460"/>
      <c r="C272" s="1384"/>
      <c r="D272" s="1384"/>
      <c r="E272" s="344" t="s">
        <v>1250</v>
      </c>
      <c r="F272" s="1385"/>
      <c r="G272" s="1385"/>
      <c r="H272" s="1385"/>
      <c r="I272" s="1386"/>
      <c r="J272" s="354">
        <f>SUM(K272:R272)</f>
        <v>2313</v>
      </c>
      <c r="K272" s="1387">
        <f>SUM(K270:K271)</f>
        <v>1901</v>
      </c>
      <c r="L272" s="1387">
        <f t="shared" ref="L272:M272" si="48">SUM(L270:L271)</f>
        <v>359</v>
      </c>
      <c r="M272" s="1387">
        <f t="shared" si="48"/>
        <v>53</v>
      </c>
      <c r="N272" s="1387"/>
      <c r="O272" s="1387"/>
      <c r="P272" s="1387"/>
      <c r="Q272" s="1387"/>
      <c r="R272" s="1388"/>
      <c r="S272" s="291"/>
      <c r="T272" s="291"/>
      <c r="U272" s="291"/>
      <c r="V272" s="291"/>
      <c r="W272" s="291"/>
      <c r="X272" s="291"/>
      <c r="Y272" s="291"/>
      <c r="Z272" s="291"/>
      <c r="AA272" s="291"/>
      <c r="AB272" s="291"/>
      <c r="AC272" s="291"/>
      <c r="AD272" s="291"/>
      <c r="AE272" s="291"/>
    </row>
    <row r="273" spans="1:31" s="48" customFormat="1" ht="18" customHeight="1" x14ac:dyDescent="0.3">
      <c r="A273" s="129">
        <v>264</v>
      </c>
      <c r="B273" s="460"/>
      <c r="C273" s="309">
        <v>21</v>
      </c>
      <c r="D273" s="701" t="s">
        <v>659</v>
      </c>
      <c r="E273" s="701"/>
      <c r="F273" s="453"/>
      <c r="G273" s="314"/>
      <c r="H273" s="314"/>
      <c r="I273" s="1722">
        <v>329</v>
      </c>
      <c r="J273" s="354"/>
      <c r="K273" s="363"/>
      <c r="L273" s="363"/>
      <c r="M273" s="363"/>
      <c r="N273" s="363"/>
      <c r="O273" s="363"/>
      <c r="P273" s="363"/>
      <c r="Q273" s="363"/>
      <c r="R273" s="364"/>
      <c r="S273" s="236"/>
      <c r="T273" s="236"/>
      <c r="U273" s="236"/>
      <c r="V273" s="236"/>
      <c r="W273" s="236"/>
      <c r="X273" s="236"/>
      <c r="Y273" s="236"/>
      <c r="Z273" s="236"/>
      <c r="AA273" s="236"/>
      <c r="AB273" s="236"/>
      <c r="AC273" s="236"/>
      <c r="AD273" s="236"/>
      <c r="AE273" s="236"/>
    </row>
    <row r="274" spans="1:31" s="48" customFormat="1" ht="30" customHeight="1" x14ac:dyDescent="0.3">
      <c r="A274" s="129">
        <v>265</v>
      </c>
      <c r="B274" s="460"/>
      <c r="C274" s="313">
        <v>22</v>
      </c>
      <c r="D274" s="2176" t="s">
        <v>539</v>
      </c>
      <c r="E274" s="2177"/>
      <c r="F274" s="453"/>
      <c r="G274" s="314"/>
      <c r="H274" s="314"/>
      <c r="I274" s="1722">
        <v>11</v>
      </c>
      <c r="J274" s="354"/>
      <c r="K274" s="363"/>
      <c r="L274" s="363"/>
      <c r="M274" s="363"/>
      <c r="N274" s="363"/>
      <c r="O274" s="363"/>
      <c r="P274" s="363"/>
      <c r="Q274" s="363"/>
      <c r="R274" s="364"/>
      <c r="S274" s="236"/>
      <c r="T274" s="236"/>
      <c r="U274" s="236"/>
      <c r="V274" s="236"/>
      <c r="W274" s="236"/>
      <c r="X274" s="236"/>
      <c r="Y274" s="236"/>
      <c r="Z274" s="236"/>
      <c r="AA274" s="236"/>
      <c r="AB274" s="236"/>
      <c r="AC274" s="236"/>
      <c r="AD274" s="236"/>
      <c r="AE274" s="236"/>
    </row>
    <row r="275" spans="1:31" s="48" customFormat="1" ht="18" customHeight="1" x14ac:dyDescent="0.3">
      <c r="A275" s="129">
        <v>266</v>
      </c>
      <c r="B275" s="460"/>
      <c r="C275" s="309">
        <v>23</v>
      </c>
      <c r="D275" s="701" t="s">
        <v>649</v>
      </c>
      <c r="E275" s="701"/>
      <c r="F275" s="453"/>
      <c r="G275" s="314"/>
      <c r="H275" s="314"/>
      <c r="I275" s="1722">
        <v>14897</v>
      </c>
      <c r="J275" s="354"/>
      <c r="K275" s="363"/>
      <c r="L275" s="363"/>
      <c r="M275" s="363"/>
      <c r="N275" s="363"/>
      <c r="O275" s="363"/>
      <c r="P275" s="363"/>
      <c r="Q275" s="363"/>
      <c r="R275" s="364"/>
      <c r="S275" s="236"/>
      <c r="T275" s="236"/>
      <c r="U275" s="236"/>
      <c r="V275" s="236"/>
      <c r="W275" s="236"/>
      <c r="X275" s="236"/>
      <c r="Y275" s="236"/>
      <c r="Z275" s="236"/>
      <c r="AA275" s="236"/>
      <c r="AB275" s="236"/>
      <c r="AC275" s="236"/>
      <c r="AD275" s="236"/>
      <c r="AE275" s="236"/>
    </row>
    <row r="276" spans="1:31" s="48" customFormat="1" ht="18" customHeight="1" x14ac:dyDescent="0.3">
      <c r="A276" s="129">
        <v>267</v>
      </c>
      <c r="B276" s="460"/>
      <c r="C276" s="696"/>
      <c r="D276" s="1806"/>
      <c r="E276" s="683" t="s">
        <v>1158</v>
      </c>
      <c r="F276" s="453"/>
      <c r="G276" s="314"/>
      <c r="H276" s="314"/>
      <c r="I276" s="1722"/>
      <c r="J276" s="354">
        <f>SUM(K276:R276)</f>
        <v>16</v>
      </c>
      <c r="K276" s="363"/>
      <c r="L276" s="363"/>
      <c r="M276" s="363">
        <v>16</v>
      </c>
      <c r="N276" s="363"/>
      <c r="O276" s="363"/>
      <c r="P276" s="363"/>
      <c r="Q276" s="363"/>
      <c r="R276" s="364"/>
      <c r="S276" s="236"/>
      <c r="T276" s="236"/>
      <c r="U276" s="236"/>
      <c r="V276" s="236"/>
      <c r="W276" s="236"/>
      <c r="X276" s="236"/>
      <c r="Y276" s="236"/>
      <c r="Z276" s="236"/>
      <c r="AA276" s="236"/>
      <c r="AB276" s="236"/>
      <c r="AC276" s="236"/>
      <c r="AD276" s="236"/>
      <c r="AE276" s="236"/>
    </row>
    <row r="277" spans="1:31" s="55" customFormat="1" ht="18" customHeight="1" x14ac:dyDescent="0.3">
      <c r="A277" s="129">
        <v>268</v>
      </c>
      <c r="B277" s="1353"/>
      <c r="C277" s="1380"/>
      <c r="D277" s="1380"/>
      <c r="E277" s="1381" t="s">
        <v>969</v>
      </c>
      <c r="F277" s="315"/>
      <c r="G277" s="315"/>
      <c r="H277" s="315"/>
      <c r="I277" s="1382"/>
      <c r="J277" s="1383">
        <f>SUM(K277:R277)</f>
        <v>0</v>
      </c>
      <c r="K277" s="358"/>
      <c r="L277" s="358"/>
      <c r="M277" s="358"/>
      <c r="N277" s="358"/>
      <c r="O277" s="358"/>
      <c r="P277" s="358"/>
      <c r="Q277" s="358"/>
      <c r="R277" s="359"/>
      <c r="S277" s="154"/>
      <c r="T277" s="154"/>
      <c r="U277" s="154"/>
      <c r="V277" s="154"/>
      <c r="W277" s="154"/>
      <c r="X277" s="154"/>
      <c r="Y277" s="154"/>
      <c r="Z277" s="154"/>
      <c r="AA277" s="154"/>
      <c r="AB277" s="154"/>
      <c r="AC277" s="154"/>
      <c r="AD277" s="154"/>
      <c r="AE277" s="154"/>
    </row>
    <row r="278" spans="1:31" s="58" customFormat="1" ht="18" customHeight="1" x14ac:dyDescent="0.3">
      <c r="A278" s="129">
        <v>269</v>
      </c>
      <c r="B278" s="460"/>
      <c r="C278" s="1384"/>
      <c r="D278" s="1384"/>
      <c r="E278" s="344" t="s">
        <v>1250</v>
      </c>
      <c r="F278" s="1385"/>
      <c r="G278" s="1385"/>
      <c r="H278" s="1385"/>
      <c r="I278" s="1386"/>
      <c r="J278" s="354">
        <f>SUM(K278:R278)</f>
        <v>16</v>
      </c>
      <c r="K278" s="1387"/>
      <c r="L278" s="1387"/>
      <c r="M278" s="1387">
        <f>SUM(M276:M277)</f>
        <v>16</v>
      </c>
      <c r="N278" s="1387"/>
      <c r="O278" s="1387"/>
      <c r="P278" s="1387"/>
      <c r="Q278" s="1387"/>
      <c r="R278" s="1388"/>
      <c r="S278" s="291"/>
      <c r="T278" s="291"/>
      <c r="U278" s="291"/>
      <c r="V278" s="291"/>
      <c r="W278" s="291"/>
      <c r="X278" s="291"/>
      <c r="Y278" s="291"/>
      <c r="Z278" s="291"/>
      <c r="AA278" s="291"/>
      <c r="AB278" s="291"/>
      <c r="AC278" s="291"/>
      <c r="AD278" s="291"/>
      <c r="AE278" s="291"/>
    </row>
    <row r="279" spans="1:31" s="58" customFormat="1" ht="18" customHeight="1" x14ac:dyDescent="0.3">
      <c r="A279" s="129">
        <v>270</v>
      </c>
      <c r="B279" s="460"/>
      <c r="C279" s="1723">
        <v>24</v>
      </c>
      <c r="D279" s="701" t="s">
        <v>679</v>
      </c>
      <c r="E279" s="701"/>
      <c r="F279" s="1385"/>
      <c r="G279" s="1385"/>
      <c r="H279" s="1385"/>
      <c r="I279" s="1386"/>
      <c r="J279" s="354"/>
      <c r="K279" s="1387"/>
      <c r="L279" s="1387"/>
      <c r="M279" s="1387"/>
      <c r="N279" s="1387"/>
      <c r="O279" s="1387"/>
      <c r="P279" s="1387"/>
      <c r="Q279" s="1387"/>
      <c r="R279" s="1388"/>
      <c r="S279" s="291"/>
      <c r="T279" s="291"/>
      <c r="U279" s="291"/>
      <c r="V279" s="291"/>
      <c r="W279" s="291"/>
      <c r="X279" s="291"/>
      <c r="Y279" s="291"/>
      <c r="Z279" s="291"/>
      <c r="AA279" s="291"/>
      <c r="AB279" s="291"/>
      <c r="AC279" s="291"/>
      <c r="AD279" s="291"/>
      <c r="AE279" s="291"/>
    </row>
    <row r="280" spans="1:31" s="58" customFormat="1" ht="18" customHeight="1" x14ac:dyDescent="0.3">
      <c r="A280" s="129">
        <v>271</v>
      </c>
      <c r="B280" s="460"/>
      <c r="C280" s="1723"/>
      <c r="D280" s="1806"/>
      <c r="E280" s="683" t="s">
        <v>1158</v>
      </c>
      <c r="F280" s="1385"/>
      <c r="G280" s="1385"/>
      <c r="H280" s="1385"/>
      <c r="I280" s="1386"/>
      <c r="J280" s="354">
        <f>SUM(K280:R280)</f>
        <v>250</v>
      </c>
      <c r="K280" s="1387">
        <v>212</v>
      </c>
      <c r="L280" s="1387">
        <v>38</v>
      </c>
      <c r="M280" s="1387"/>
      <c r="N280" s="1387"/>
      <c r="O280" s="1387"/>
      <c r="P280" s="1387"/>
      <c r="Q280" s="1387"/>
      <c r="R280" s="1388"/>
      <c r="S280" s="291"/>
      <c r="T280" s="291"/>
      <c r="U280" s="291"/>
      <c r="V280" s="291"/>
      <c r="W280" s="291"/>
      <c r="X280" s="291"/>
      <c r="Y280" s="291"/>
      <c r="Z280" s="291"/>
      <c r="AA280" s="291"/>
      <c r="AB280" s="291"/>
      <c r="AC280" s="291"/>
      <c r="AD280" s="291"/>
      <c r="AE280" s="291"/>
    </row>
    <row r="281" spans="1:31" s="58" customFormat="1" ht="18" customHeight="1" x14ac:dyDescent="0.3">
      <c r="A281" s="129">
        <v>272</v>
      </c>
      <c r="B281" s="460"/>
      <c r="C281" s="1384"/>
      <c r="D281" s="1664"/>
      <c r="E281" s="1381" t="s">
        <v>947</v>
      </c>
      <c r="F281" s="1385"/>
      <c r="G281" s="1385"/>
      <c r="H281" s="1385"/>
      <c r="I281" s="1386"/>
      <c r="J281" s="1383">
        <f>SUM(K281:R281)</f>
        <v>0</v>
      </c>
      <c r="K281" s="358"/>
      <c r="L281" s="358"/>
      <c r="M281" s="1387"/>
      <c r="N281" s="1387"/>
      <c r="O281" s="1387"/>
      <c r="P281" s="1387"/>
      <c r="Q281" s="1387"/>
      <c r="R281" s="1388"/>
      <c r="S281" s="291"/>
      <c r="T281" s="291"/>
      <c r="U281" s="291"/>
      <c r="V281" s="291"/>
      <c r="W281" s="291"/>
      <c r="X281" s="291"/>
      <c r="Y281" s="291"/>
      <c r="Z281" s="291"/>
      <c r="AA281" s="291"/>
      <c r="AB281" s="291"/>
      <c r="AC281" s="291"/>
      <c r="AD281" s="291"/>
      <c r="AE281" s="291"/>
    </row>
    <row r="282" spans="1:31" s="58" customFormat="1" ht="18" customHeight="1" x14ac:dyDescent="0.3">
      <c r="A282" s="129">
        <v>273</v>
      </c>
      <c r="B282" s="460"/>
      <c r="C282" s="1384"/>
      <c r="D282" s="1664"/>
      <c r="E282" s="344" t="s">
        <v>1250</v>
      </c>
      <c r="F282" s="1385"/>
      <c r="G282" s="1385"/>
      <c r="H282" s="1385"/>
      <c r="I282" s="1386"/>
      <c r="J282" s="354">
        <f>SUM(K282:R282)</f>
        <v>250</v>
      </c>
      <c r="K282" s="1387">
        <f>SUM(K280:K281)</f>
        <v>212</v>
      </c>
      <c r="L282" s="1387">
        <f>SUM(L280:L281)</f>
        <v>38</v>
      </c>
      <c r="M282" s="1387"/>
      <c r="N282" s="1387"/>
      <c r="O282" s="1387"/>
      <c r="P282" s="1387"/>
      <c r="Q282" s="1387"/>
      <c r="R282" s="1388"/>
      <c r="S282" s="291"/>
      <c r="T282" s="291"/>
      <c r="U282" s="291"/>
      <c r="V282" s="291"/>
      <c r="W282" s="291"/>
      <c r="X282" s="291"/>
      <c r="Y282" s="291"/>
      <c r="Z282" s="291"/>
      <c r="AA282" s="291"/>
      <c r="AB282" s="291"/>
      <c r="AC282" s="291"/>
      <c r="AD282" s="291"/>
      <c r="AE282" s="291"/>
    </row>
    <row r="283" spans="1:31" s="58" customFormat="1" ht="18" customHeight="1" x14ac:dyDescent="0.3">
      <c r="A283" s="129">
        <v>274</v>
      </c>
      <c r="B283" s="460"/>
      <c r="C283" s="1723">
        <v>25</v>
      </c>
      <c r="D283" s="701" t="s">
        <v>995</v>
      </c>
      <c r="E283" s="701"/>
      <c r="F283" s="1385"/>
      <c r="G283" s="1385"/>
      <c r="H283" s="1385"/>
      <c r="I283" s="1386"/>
      <c r="J283" s="354"/>
      <c r="K283" s="1387"/>
      <c r="L283" s="1387"/>
      <c r="M283" s="1387"/>
      <c r="N283" s="1387"/>
      <c r="O283" s="1387"/>
      <c r="P283" s="1387"/>
      <c r="Q283" s="1387"/>
      <c r="R283" s="1388"/>
      <c r="S283" s="291"/>
      <c r="T283" s="291"/>
      <c r="U283" s="291"/>
      <c r="V283" s="291"/>
      <c r="W283" s="291"/>
      <c r="X283" s="291"/>
      <c r="Y283" s="291"/>
      <c r="Z283" s="291"/>
      <c r="AA283" s="291"/>
      <c r="AB283" s="291"/>
      <c r="AC283" s="291"/>
      <c r="AD283" s="291"/>
      <c r="AE283" s="291"/>
    </row>
    <row r="284" spans="1:31" s="58" customFormat="1" ht="18" customHeight="1" x14ac:dyDescent="0.3">
      <c r="A284" s="129">
        <v>275</v>
      </c>
      <c r="B284" s="460"/>
      <c r="C284" s="1723"/>
      <c r="D284" s="1806"/>
      <c r="E284" s="683" t="s">
        <v>1158</v>
      </c>
      <c r="F284" s="1385"/>
      <c r="G284" s="1385"/>
      <c r="H284" s="1385"/>
      <c r="I284" s="1386"/>
      <c r="J284" s="354">
        <f>SUM(K284:R284)</f>
        <v>2500</v>
      </c>
      <c r="K284" s="1387"/>
      <c r="L284" s="1387"/>
      <c r="M284" s="1387">
        <v>2170</v>
      </c>
      <c r="N284" s="1387"/>
      <c r="O284" s="1387"/>
      <c r="P284" s="1387">
        <v>330</v>
      </c>
      <c r="Q284" s="1387"/>
      <c r="R284" s="1388"/>
      <c r="S284" s="291"/>
      <c r="T284" s="291"/>
      <c r="U284" s="291"/>
      <c r="V284" s="291"/>
      <c r="W284" s="291"/>
      <c r="X284" s="291"/>
      <c r="Y284" s="291"/>
      <c r="Z284" s="291"/>
      <c r="AA284" s="291"/>
      <c r="AB284" s="291"/>
      <c r="AC284" s="291"/>
      <c r="AD284" s="291"/>
      <c r="AE284" s="291"/>
    </row>
    <row r="285" spans="1:31" s="58" customFormat="1" ht="18" customHeight="1" x14ac:dyDescent="0.3">
      <c r="A285" s="129">
        <v>276</v>
      </c>
      <c r="B285" s="460"/>
      <c r="C285" s="1384"/>
      <c r="D285" s="1664"/>
      <c r="E285" s="1381" t="s">
        <v>970</v>
      </c>
      <c r="F285" s="1385"/>
      <c r="G285" s="1385"/>
      <c r="H285" s="1385"/>
      <c r="I285" s="1386"/>
      <c r="J285" s="1383">
        <f>SUM(K285:R285)</f>
        <v>0</v>
      </c>
      <c r="K285" s="1387"/>
      <c r="L285" s="1387"/>
      <c r="M285" s="358"/>
      <c r="N285" s="358"/>
      <c r="O285" s="358"/>
      <c r="P285" s="358"/>
      <c r="Q285" s="1387"/>
      <c r="R285" s="1388"/>
      <c r="S285" s="291"/>
      <c r="T285" s="291"/>
      <c r="U285" s="291"/>
      <c r="V285" s="291"/>
      <c r="W285" s="291"/>
      <c r="X285" s="291"/>
      <c r="Y285" s="291"/>
      <c r="Z285" s="291"/>
      <c r="AA285" s="291"/>
      <c r="AB285" s="291"/>
      <c r="AC285" s="291"/>
      <c r="AD285" s="291"/>
      <c r="AE285" s="291"/>
    </row>
    <row r="286" spans="1:31" s="58" customFormat="1" ht="18" customHeight="1" x14ac:dyDescent="0.3">
      <c r="A286" s="129">
        <v>277</v>
      </c>
      <c r="B286" s="460"/>
      <c r="C286" s="1384"/>
      <c r="D286" s="1664"/>
      <c r="E286" s="344" t="s">
        <v>1250</v>
      </c>
      <c r="F286" s="1385"/>
      <c r="G286" s="1385"/>
      <c r="H286" s="1385"/>
      <c r="I286" s="1386"/>
      <c r="J286" s="354">
        <f>SUM(K286:R286)</f>
        <v>2500</v>
      </c>
      <c r="K286" s="1387"/>
      <c r="L286" s="1387"/>
      <c r="M286" s="1387">
        <f>SUM(M284:M285)</f>
        <v>2170</v>
      </c>
      <c r="N286" s="1387"/>
      <c r="O286" s="1387"/>
      <c r="P286" s="1387">
        <f t="shared" ref="P286" si="49">SUM(P284:P285)</f>
        <v>330</v>
      </c>
      <c r="Q286" s="1387"/>
      <c r="R286" s="1388"/>
      <c r="S286" s="291"/>
      <c r="T286" s="291"/>
      <c r="U286" s="291"/>
      <c r="V286" s="291"/>
      <c r="W286" s="291"/>
      <c r="X286" s="291"/>
      <c r="Y286" s="291"/>
      <c r="Z286" s="291"/>
      <c r="AA286" s="291"/>
      <c r="AB286" s="291"/>
      <c r="AC286" s="291"/>
      <c r="AD286" s="291"/>
      <c r="AE286" s="291"/>
    </row>
    <row r="287" spans="1:31" s="58" customFormat="1" ht="18" customHeight="1" x14ac:dyDescent="0.3">
      <c r="A287" s="129">
        <v>278</v>
      </c>
      <c r="B287" s="460"/>
      <c r="C287" s="1723">
        <v>26</v>
      </c>
      <c r="D287" s="701" t="s">
        <v>46</v>
      </c>
      <c r="E287" s="701"/>
      <c r="F287" s="1385"/>
      <c r="G287" s="1385"/>
      <c r="H287" s="1385"/>
      <c r="I287" s="1386"/>
      <c r="J287" s="354"/>
      <c r="K287" s="1387"/>
      <c r="L287" s="1387"/>
      <c r="M287" s="1387"/>
      <c r="N287" s="1387"/>
      <c r="O287" s="1387"/>
      <c r="P287" s="1387"/>
      <c r="Q287" s="1387"/>
      <c r="R287" s="1388"/>
      <c r="S287" s="291"/>
      <c r="T287" s="291"/>
      <c r="U287" s="291"/>
      <c r="V287" s="291"/>
      <c r="W287" s="291"/>
      <c r="X287" s="291"/>
      <c r="Y287" s="291"/>
      <c r="Z287" s="291"/>
      <c r="AA287" s="291"/>
      <c r="AB287" s="291"/>
      <c r="AC287" s="291"/>
      <c r="AD287" s="291"/>
      <c r="AE287" s="291"/>
    </row>
    <row r="288" spans="1:31" s="58" customFormat="1" ht="18" customHeight="1" x14ac:dyDescent="0.3">
      <c r="A288" s="129">
        <v>279</v>
      </c>
      <c r="B288" s="460"/>
      <c r="C288" s="1723"/>
      <c r="D288" s="1806"/>
      <c r="E288" s="683" t="s">
        <v>1158</v>
      </c>
      <c r="F288" s="1385"/>
      <c r="G288" s="1385"/>
      <c r="H288" s="1385"/>
      <c r="I288" s="1386"/>
      <c r="J288" s="354">
        <f>SUM(K288:R288)</f>
        <v>32</v>
      </c>
      <c r="K288" s="1387">
        <v>2</v>
      </c>
      <c r="L288" s="1387">
        <v>1</v>
      </c>
      <c r="M288" s="1387">
        <v>29</v>
      </c>
      <c r="N288" s="1387"/>
      <c r="O288" s="1387"/>
      <c r="P288" s="1387"/>
      <c r="Q288" s="1387"/>
      <c r="R288" s="1388"/>
      <c r="S288" s="291"/>
      <c r="T288" s="291"/>
      <c r="U288" s="291"/>
      <c r="V288" s="291"/>
      <c r="W288" s="291"/>
      <c r="X288" s="291"/>
      <c r="Y288" s="291"/>
      <c r="Z288" s="291"/>
      <c r="AA288" s="291"/>
      <c r="AB288" s="291"/>
      <c r="AC288" s="291"/>
      <c r="AD288" s="291"/>
      <c r="AE288" s="291"/>
    </row>
    <row r="289" spans="1:31" s="58" customFormat="1" ht="18" customHeight="1" x14ac:dyDescent="0.3">
      <c r="A289" s="129">
        <v>280</v>
      </c>
      <c r="B289" s="460"/>
      <c r="C289" s="1384"/>
      <c r="D289" s="1664"/>
      <c r="E289" s="1381" t="s">
        <v>947</v>
      </c>
      <c r="F289" s="1385"/>
      <c r="G289" s="1385"/>
      <c r="H289" s="1385"/>
      <c r="I289" s="1386"/>
      <c r="J289" s="1383">
        <f>SUM(K289:R289)</f>
        <v>0</v>
      </c>
      <c r="K289" s="358"/>
      <c r="L289" s="358"/>
      <c r="M289" s="358"/>
      <c r="N289" s="1387"/>
      <c r="O289" s="1387"/>
      <c r="P289" s="1387"/>
      <c r="Q289" s="1387"/>
      <c r="R289" s="1388"/>
      <c r="S289" s="291"/>
      <c r="T289" s="291"/>
      <c r="U289" s="291"/>
      <c r="V289" s="291"/>
      <c r="W289" s="291"/>
      <c r="X289" s="291"/>
      <c r="Y289" s="291"/>
      <c r="Z289" s="291"/>
      <c r="AA289" s="291"/>
      <c r="AB289" s="291"/>
      <c r="AC289" s="291"/>
      <c r="AD289" s="291"/>
      <c r="AE289" s="291"/>
    </row>
    <row r="290" spans="1:31" s="58" customFormat="1" ht="18" customHeight="1" x14ac:dyDescent="0.3">
      <c r="A290" s="129">
        <v>281</v>
      </c>
      <c r="B290" s="460"/>
      <c r="C290" s="1384"/>
      <c r="D290" s="1664"/>
      <c r="E290" s="344" t="s">
        <v>1250</v>
      </c>
      <c r="F290" s="1385"/>
      <c r="G290" s="1385"/>
      <c r="H290" s="1385"/>
      <c r="I290" s="1386"/>
      <c r="J290" s="354">
        <f>SUM(K290:R290)</f>
        <v>32</v>
      </c>
      <c r="K290" s="1387">
        <f>SUM(K288:K289)</f>
        <v>2</v>
      </c>
      <c r="L290" s="1387">
        <f t="shared" ref="L290:M290" si="50">SUM(L288:L289)</f>
        <v>1</v>
      </c>
      <c r="M290" s="1387">
        <f t="shared" si="50"/>
        <v>29</v>
      </c>
      <c r="N290" s="1387"/>
      <c r="O290" s="1387"/>
      <c r="P290" s="1387"/>
      <c r="Q290" s="1387"/>
      <c r="R290" s="1388"/>
      <c r="S290" s="291"/>
      <c r="T290" s="291"/>
      <c r="U290" s="291"/>
      <c r="V290" s="291"/>
      <c r="W290" s="291"/>
      <c r="X290" s="291"/>
      <c r="Y290" s="291"/>
      <c r="Z290" s="291"/>
      <c r="AA290" s="291"/>
      <c r="AB290" s="291"/>
      <c r="AC290" s="291"/>
      <c r="AD290" s="291"/>
      <c r="AE290" s="291"/>
    </row>
    <row r="291" spans="1:31" s="58" customFormat="1" ht="18" customHeight="1" x14ac:dyDescent="0.3">
      <c r="A291" s="129">
        <v>282</v>
      </c>
      <c r="B291" s="460"/>
      <c r="C291" s="1723">
        <v>27</v>
      </c>
      <c r="D291" s="701" t="s">
        <v>684</v>
      </c>
      <c r="E291" s="701"/>
      <c r="F291" s="1385"/>
      <c r="G291" s="1385"/>
      <c r="H291" s="1385"/>
      <c r="I291" s="1386"/>
      <c r="J291" s="354"/>
      <c r="K291" s="1387"/>
      <c r="L291" s="1387"/>
      <c r="M291" s="1387"/>
      <c r="N291" s="1387"/>
      <c r="O291" s="1387"/>
      <c r="P291" s="1387"/>
      <c r="Q291" s="1387"/>
      <c r="R291" s="1388"/>
      <c r="S291" s="291"/>
      <c r="T291" s="291"/>
      <c r="U291" s="291"/>
      <c r="V291" s="291"/>
      <c r="W291" s="291"/>
      <c r="X291" s="291"/>
      <c r="Y291" s="291"/>
      <c r="Z291" s="291"/>
      <c r="AA291" s="291"/>
      <c r="AB291" s="291"/>
      <c r="AC291" s="291"/>
      <c r="AD291" s="291"/>
      <c r="AE291" s="291"/>
    </row>
    <row r="292" spans="1:31" s="58" customFormat="1" ht="18" customHeight="1" x14ac:dyDescent="0.3">
      <c r="A292" s="129">
        <v>283</v>
      </c>
      <c r="B292" s="460"/>
      <c r="C292" s="1723"/>
      <c r="D292" s="1947"/>
      <c r="E292" s="683" t="s">
        <v>1158</v>
      </c>
      <c r="F292" s="1385"/>
      <c r="G292" s="1385"/>
      <c r="H292" s="1385"/>
      <c r="I292" s="1386"/>
      <c r="J292" s="354">
        <f>SUM(K292:R292)</f>
        <v>3100</v>
      </c>
      <c r="K292" s="1387">
        <v>2684</v>
      </c>
      <c r="L292" s="1387">
        <v>416</v>
      </c>
      <c r="M292" s="1387"/>
      <c r="N292" s="1387"/>
      <c r="O292" s="1387"/>
      <c r="P292" s="1387"/>
      <c r="Q292" s="1387"/>
      <c r="R292" s="1388"/>
      <c r="S292" s="291"/>
      <c r="T292" s="291"/>
      <c r="U292" s="291"/>
      <c r="V292" s="291"/>
      <c r="W292" s="291"/>
      <c r="X292" s="291"/>
      <c r="Y292" s="291"/>
      <c r="Z292" s="291"/>
      <c r="AA292" s="291"/>
      <c r="AB292" s="291"/>
      <c r="AC292" s="291"/>
      <c r="AD292" s="291"/>
      <c r="AE292" s="291"/>
    </row>
    <row r="293" spans="1:31" s="58" customFormat="1" ht="18" customHeight="1" x14ac:dyDescent="0.3">
      <c r="A293" s="129">
        <v>284</v>
      </c>
      <c r="B293" s="460"/>
      <c r="C293" s="1384"/>
      <c r="D293" s="1664"/>
      <c r="E293" s="1381" t="s">
        <v>947</v>
      </c>
      <c r="F293" s="1385"/>
      <c r="G293" s="1385"/>
      <c r="H293" s="1385"/>
      <c r="I293" s="1386"/>
      <c r="J293" s="1383">
        <f>SUM(K293:R293)</f>
        <v>0</v>
      </c>
      <c r="K293" s="358"/>
      <c r="L293" s="358"/>
      <c r="M293" s="1387"/>
      <c r="N293" s="1387"/>
      <c r="O293" s="1387"/>
      <c r="P293" s="1387"/>
      <c r="Q293" s="1387"/>
      <c r="R293" s="1388"/>
      <c r="S293" s="291"/>
      <c r="T293" s="291"/>
      <c r="U293" s="291"/>
      <c r="V293" s="291"/>
      <c r="W293" s="291"/>
      <c r="X293" s="291"/>
      <c r="Y293" s="291"/>
      <c r="Z293" s="291"/>
      <c r="AA293" s="291"/>
      <c r="AB293" s="291"/>
      <c r="AC293" s="291"/>
      <c r="AD293" s="291"/>
      <c r="AE293" s="291"/>
    </row>
    <row r="294" spans="1:31" s="58" customFormat="1" ht="18" customHeight="1" x14ac:dyDescent="0.3">
      <c r="A294" s="129">
        <v>285</v>
      </c>
      <c r="B294" s="460"/>
      <c r="C294" s="1384"/>
      <c r="D294" s="1664"/>
      <c r="E294" s="344" t="s">
        <v>1250</v>
      </c>
      <c r="F294" s="1385"/>
      <c r="G294" s="1385"/>
      <c r="H294" s="1385"/>
      <c r="I294" s="1386"/>
      <c r="J294" s="354">
        <f>SUM(K294:R294)</f>
        <v>3100</v>
      </c>
      <c r="K294" s="1387">
        <f>SUM(K292:K293)</f>
        <v>2684</v>
      </c>
      <c r="L294" s="1387">
        <f>SUM(L292:L293)</f>
        <v>416</v>
      </c>
      <c r="M294" s="1387"/>
      <c r="N294" s="1387"/>
      <c r="O294" s="1387"/>
      <c r="P294" s="1387"/>
      <c r="Q294" s="1387"/>
      <c r="R294" s="1388"/>
      <c r="S294" s="291"/>
      <c r="T294" s="291"/>
      <c r="U294" s="291"/>
      <c r="V294" s="291"/>
      <c r="W294" s="291"/>
      <c r="X294" s="291"/>
      <c r="Y294" s="291"/>
      <c r="Z294" s="291"/>
      <c r="AA294" s="291"/>
      <c r="AB294" s="291"/>
      <c r="AC294" s="291"/>
      <c r="AD294" s="291"/>
      <c r="AE294" s="291"/>
    </row>
    <row r="295" spans="1:31" s="58" customFormat="1" ht="18" customHeight="1" x14ac:dyDescent="0.3">
      <c r="A295" s="129">
        <v>286</v>
      </c>
      <c r="B295" s="460"/>
      <c r="C295" s="1723">
        <v>28</v>
      </c>
      <c r="D295" s="701" t="s">
        <v>1244</v>
      </c>
      <c r="E295" s="701"/>
      <c r="F295" s="1385"/>
      <c r="G295" s="1385"/>
      <c r="H295" s="1385"/>
      <c r="I295" s="1386"/>
      <c r="J295" s="354"/>
      <c r="K295" s="1387"/>
      <c r="L295" s="1387"/>
      <c r="M295" s="1387"/>
      <c r="N295" s="1387"/>
      <c r="O295" s="1387"/>
      <c r="P295" s="1387"/>
      <c r="Q295" s="1387"/>
      <c r="R295" s="1388"/>
      <c r="S295" s="291"/>
      <c r="T295" s="291"/>
      <c r="U295" s="291"/>
      <c r="V295" s="291"/>
      <c r="W295" s="291"/>
      <c r="X295" s="291"/>
      <c r="Y295" s="291"/>
      <c r="Z295" s="291"/>
      <c r="AA295" s="291"/>
      <c r="AB295" s="291"/>
      <c r="AC295" s="291"/>
      <c r="AD295" s="291"/>
      <c r="AE295" s="291"/>
    </row>
    <row r="296" spans="1:31" s="58" customFormat="1" ht="18" customHeight="1" x14ac:dyDescent="0.3">
      <c r="A296" s="129">
        <v>287</v>
      </c>
      <c r="B296" s="460"/>
      <c r="C296" s="1723"/>
      <c r="D296" s="2072"/>
      <c r="E296" s="683" t="s">
        <v>1158</v>
      </c>
      <c r="F296" s="1385"/>
      <c r="G296" s="1385"/>
      <c r="H296" s="1385"/>
      <c r="I296" s="1386"/>
      <c r="J296" s="354">
        <f>SUM(K296:R296)</f>
        <v>47060</v>
      </c>
      <c r="K296" s="1387">
        <v>39706</v>
      </c>
      <c r="L296" s="1387">
        <v>6154</v>
      </c>
      <c r="M296" s="1387">
        <v>1200</v>
      </c>
      <c r="N296" s="1387"/>
      <c r="O296" s="1387"/>
      <c r="P296" s="1387"/>
      <c r="Q296" s="1387"/>
      <c r="R296" s="1388"/>
      <c r="S296" s="291"/>
      <c r="T296" s="291"/>
      <c r="U296" s="291"/>
      <c r="V296" s="291"/>
      <c r="W296" s="291"/>
      <c r="X296" s="291"/>
      <c r="Y296" s="291"/>
      <c r="Z296" s="291"/>
      <c r="AA296" s="291"/>
      <c r="AB296" s="291"/>
      <c r="AC296" s="291"/>
      <c r="AD296" s="291"/>
      <c r="AE296" s="291"/>
    </row>
    <row r="297" spans="1:31" s="58" customFormat="1" ht="18" customHeight="1" x14ac:dyDescent="0.3">
      <c r="A297" s="129">
        <v>288</v>
      </c>
      <c r="B297" s="460"/>
      <c r="C297" s="1384"/>
      <c r="D297" s="1664"/>
      <c r="E297" s="1381" t="s">
        <v>947</v>
      </c>
      <c r="F297" s="1385"/>
      <c r="G297" s="1385"/>
      <c r="H297" s="1385"/>
      <c r="I297" s="1386"/>
      <c r="J297" s="1383">
        <f>SUM(K297:R297)</f>
        <v>0</v>
      </c>
      <c r="K297" s="358"/>
      <c r="L297" s="358"/>
      <c r="M297" s="358"/>
      <c r="N297" s="1387"/>
      <c r="O297" s="1387"/>
      <c r="P297" s="1387"/>
      <c r="Q297" s="1387"/>
      <c r="R297" s="1388"/>
      <c r="S297" s="291"/>
      <c r="T297" s="291"/>
      <c r="U297" s="291"/>
      <c r="V297" s="291"/>
      <c r="W297" s="291"/>
      <c r="X297" s="291"/>
      <c r="Y297" s="291"/>
      <c r="Z297" s="291"/>
      <c r="AA297" s="291"/>
      <c r="AB297" s="291"/>
      <c r="AC297" s="291"/>
      <c r="AD297" s="291"/>
      <c r="AE297" s="291"/>
    </row>
    <row r="298" spans="1:31" s="58" customFormat="1" ht="18" customHeight="1" x14ac:dyDescent="0.3">
      <c r="A298" s="129">
        <v>289</v>
      </c>
      <c r="B298" s="460"/>
      <c r="C298" s="1384"/>
      <c r="D298" s="1664"/>
      <c r="E298" s="344" t="s">
        <v>1250</v>
      </c>
      <c r="F298" s="1385"/>
      <c r="G298" s="1385"/>
      <c r="H298" s="1385"/>
      <c r="I298" s="1386"/>
      <c r="J298" s="354">
        <f>SUM(K298:R298)</f>
        <v>47060</v>
      </c>
      <c r="K298" s="1387">
        <f>SUM(K296:K297)</f>
        <v>39706</v>
      </c>
      <c r="L298" s="1387">
        <f t="shared" ref="L298:M298" si="51">SUM(L296:L297)</f>
        <v>6154</v>
      </c>
      <c r="M298" s="1387">
        <f t="shared" si="51"/>
        <v>1200</v>
      </c>
      <c r="N298" s="1387"/>
      <c r="O298" s="1387"/>
      <c r="P298" s="1387"/>
      <c r="Q298" s="1387"/>
      <c r="R298" s="1388"/>
      <c r="S298" s="291"/>
      <c r="T298" s="291"/>
      <c r="U298" s="291"/>
      <c r="V298" s="291"/>
      <c r="W298" s="291"/>
      <c r="X298" s="291"/>
      <c r="Y298" s="291"/>
      <c r="Z298" s="291"/>
      <c r="AA298" s="291"/>
      <c r="AB298" s="291"/>
      <c r="AC298" s="291"/>
      <c r="AD298" s="291"/>
      <c r="AE298" s="291"/>
    </row>
    <row r="299" spans="1:31" s="48" customFormat="1" ht="18" customHeight="1" x14ac:dyDescent="0.3">
      <c r="A299" s="129">
        <v>290</v>
      </c>
      <c r="B299" s="460"/>
      <c r="C299" s="309">
        <v>29</v>
      </c>
      <c r="D299" s="701" t="s">
        <v>464</v>
      </c>
      <c r="E299" s="701"/>
      <c r="F299" s="453"/>
      <c r="G299" s="314">
        <v>15790</v>
      </c>
      <c r="H299" s="314"/>
      <c r="I299" s="1722"/>
      <c r="J299" s="354"/>
      <c r="K299" s="363"/>
      <c r="L299" s="363"/>
      <c r="M299" s="363"/>
      <c r="N299" s="363"/>
      <c r="O299" s="363"/>
      <c r="P299" s="363"/>
      <c r="Q299" s="363"/>
      <c r="R299" s="364"/>
      <c r="S299" s="236"/>
      <c r="T299" s="236"/>
      <c r="U299" s="236"/>
      <c r="V299" s="236"/>
      <c r="W299" s="236"/>
      <c r="X299" s="236"/>
      <c r="Y299" s="236"/>
      <c r="Z299" s="236"/>
      <c r="AA299" s="236"/>
      <c r="AB299" s="236"/>
      <c r="AC299" s="236"/>
      <c r="AD299" s="236"/>
      <c r="AE299" s="236"/>
    </row>
    <row r="300" spans="1:31" s="48" customFormat="1" ht="18" customHeight="1" x14ac:dyDescent="0.3">
      <c r="A300" s="129">
        <v>291</v>
      </c>
      <c r="B300" s="460"/>
      <c r="C300" s="309">
        <v>30</v>
      </c>
      <c r="D300" s="701" t="s">
        <v>534</v>
      </c>
      <c r="E300" s="701"/>
      <c r="F300" s="453"/>
      <c r="G300" s="314">
        <v>956</v>
      </c>
      <c r="H300" s="314"/>
      <c r="I300" s="1722"/>
      <c r="J300" s="354"/>
      <c r="K300" s="363"/>
      <c r="L300" s="363"/>
      <c r="M300" s="363"/>
      <c r="N300" s="363"/>
      <c r="O300" s="363"/>
      <c r="P300" s="363"/>
      <c r="Q300" s="363"/>
      <c r="R300" s="364"/>
      <c r="S300" s="236"/>
      <c r="T300" s="236"/>
      <c r="U300" s="236"/>
      <c r="V300" s="236"/>
      <c r="W300" s="236"/>
      <c r="X300" s="236"/>
      <c r="Y300" s="236"/>
      <c r="Z300" s="236"/>
      <c r="AA300" s="236"/>
      <c r="AB300" s="236"/>
      <c r="AC300" s="236"/>
      <c r="AD300" s="236"/>
      <c r="AE300" s="236"/>
    </row>
    <row r="301" spans="1:31" s="48" customFormat="1" ht="18" customHeight="1" x14ac:dyDescent="0.3">
      <c r="A301" s="129">
        <v>292</v>
      </c>
      <c r="B301" s="460"/>
      <c r="C301" s="309">
        <v>31</v>
      </c>
      <c r="D301" s="701" t="s">
        <v>535</v>
      </c>
      <c r="E301" s="701"/>
      <c r="F301" s="453"/>
      <c r="G301" s="314">
        <v>1063</v>
      </c>
      <c r="H301" s="314"/>
      <c r="I301" s="1722"/>
      <c r="J301" s="354"/>
      <c r="K301" s="363"/>
      <c r="L301" s="363"/>
      <c r="M301" s="363"/>
      <c r="N301" s="363"/>
      <c r="O301" s="363"/>
      <c r="P301" s="363"/>
      <c r="Q301" s="363"/>
      <c r="R301" s="364"/>
      <c r="S301" s="236"/>
      <c r="T301" s="236"/>
      <c r="U301" s="236"/>
      <c r="V301" s="236"/>
      <c r="W301" s="236"/>
      <c r="X301" s="236"/>
      <c r="Y301" s="236"/>
      <c r="Z301" s="236"/>
      <c r="AA301" s="236"/>
      <c r="AB301" s="236"/>
      <c r="AC301" s="236"/>
      <c r="AD301" s="236"/>
      <c r="AE301" s="236"/>
    </row>
    <row r="302" spans="1:31" s="48" customFormat="1" ht="30" customHeight="1" thickBot="1" x14ac:dyDescent="0.35">
      <c r="A302" s="129">
        <v>293</v>
      </c>
      <c r="B302" s="460"/>
      <c r="C302" s="313">
        <v>32</v>
      </c>
      <c r="D302" s="2240" t="s">
        <v>533</v>
      </c>
      <c r="E302" s="2241"/>
      <c r="F302" s="453"/>
      <c r="G302" s="314">
        <v>252</v>
      </c>
      <c r="H302" s="314"/>
      <c r="I302" s="1722"/>
      <c r="J302" s="354"/>
      <c r="K302" s="363"/>
      <c r="L302" s="363"/>
      <c r="M302" s="363"/>
      <c r="N302" s="363"/>
      <c r="O302" s="363"/>
      <c r="P302" s="363"/>
      <c r="Q302" s="363"/>
      <c r="R302" s="364"/>
      <c r="S302" s="236"/>
      <c r="T302" s="236"/>
      <c r="U302" s="236"/>
      <c r="V302" s="236"/>
      <c r="W302" s="236"/>
      <c r="X302" s="236"/>
      <c r="Y302" s="236"/>
      <c r="Z302" s="236"/>
      <c r="AA302" s="236"/>
      <c r="AB302" s="236"/>
      <c r="AC302" s="236"/>
      <c r="AD302" s="236"/>
      <c r="AE302" s="236"/>
    </row>
    <row r="303" spans="1:31" s="57" customFormat="1" ht="22.5" customHeight="1" thickTop="1" x14ac:dyDescent="0.3">
      <c r="A303" s="129">
        <v>294</v>
      </c>
      <c r="B303" s="438"/>
      <c r="C303" s="2231" t="s">
        <v>634</v>
      </c>
      <c r="D303" s="2232"/>
      <c r="E303" s="2233"/>
      <c r="F303" s="862"/>
      <c r="G303" s="723">
        <f>SUM(G186:G302)</f>
        <v>1459238</v>
      </c>
      <c r="H303" s="723">
        <f>SUM(H186:H302)</f>
        <v>1572895</v>
      </c>
      <c r="I303" s="725">
        <f>SUM(I186:I302)</f>
        <v>1582989</v>
      </c>
      <c r="J303" s="726"/>
      <c r="K303" s="728"/>
      <c r="L303" s="728"/>
      <c r="M303" s="728"/>
      <c r="N303" s="728"/>
      <c r="O303" s="728"/>
      <c r="P303" s="728"/>
      <c r="Q303" s="728"/>
      <c r="R303" s="729"/>
      <c r="S303" s="287"/>
      <c r="T303" s="287"/>
      <c r="U303" s="287"/>
      <c r="V303" s="287"/>
      <c r="W303" s="287"/>
      <c r="X303" s="287"/>
      <c r="Y303" s="287"/>
      <c r="Z303" s="287"/>
      <c r="AA303" s="287"/>
      <c r="AB303" s="287"/>
      <c r="AC303" s="287"/>
      <c r="AD303" s="287"/>
      <c r="AE303" s="287"/>
    </row>
    <row r="304" spans="1:31" s="804" customFormat="1" ht="18" customHeight="1" x14ac:dyDescent="0.3">
      <c r="A304" s="129">
        <v>295</v>
      </c>
      <c r="B304" s="797"/>
      <c r="C304" s="810"/>
      <c r="D304" s="851"/>
      <c r="E304" s="1415" t="s">
        <v>308</v>
      </c>
      <c r="F304" s="1416"/>
      <c r="G304" s="827"/>
      <c r="H304" s="827"/>
      <c r="I304" s="852"/>
      <c r="J304" s="853">
        <f>SUM(K304:R304)</f>
        <v>1675561</v>
      </c>
      <c r="K304" s="1417">
        <f t="shared" ref="K304:R304" si="52">SUM(K188,K207,K212,K217,K224,K229,K234,K242,K247,K253,K258,K264,K269)</f>
        <v>1137523</v>
      </c>
      <c r="L304" s="1417">
        <f t="shared" si="52"/>
        <v>205853</v>
      </c>
      <c r="M304" s="1417">
        <f t="shared" si="52"/>
        <v>297820</v>
      </c>
      <c r="N304" s="1417">
        <f t="shared" si="52"/>
        <v>0</v>
      </c>
      <c r="O304" s="1417">
        <f t="shared" si="52"/>
        <v>0</v>
      </c>
      <c r="P304" s="1417">
        <f t="shared" si="52"/>
        <v>34365</v>
      </c>
      <c r="Q304" s="1417">
        <f t="shared" si="52"/>
        <v>0</v>
      </c>
      <c r="R304" s="1418">
        <f t="shared" si="52"/>
        <v>0</v>
      </c>
      <c r="S304" s="870"/>
      <c r="T304" s="870"/>
      <c r="U304" s="870"/>
      <c r="V304" s="870"/>
      <c r="W304" s="870"/>
      <c r="X304" s="870"/>
      <c r="Y304" s="870"/>
      <c r="Z304" s="870"/>
      <c r="AA304" s="870"/>
      <c r="AB304" s="870"/>
      <c r="AC304" s="870"/>
      <c r="AD304" s="870"/>
      <c r="AE304" s="870"/>
    </row>
    <row r="305" spans="1:31" s="804" customFormat="1" ht="18" customHeight="1" x14ac:dyDescent="0.3">
      <c r="A305" s="129">
        <v>296</v>
      </c>
      <c r="B305" s="797"/>
      <c r="C305" s="810"/>
      <c r="D305" s="851"/>
      <c r="E305" s="683" t="s">
        <v>1158</v>
      </c>
      <c r="F305" s="1416"/>
      <c r="G305" s="827"/>
      <c r="H305" s="827"/>
      <c r="I305" s="852"/>
      <c r="J305" s="354">
        <f>SUM(K305:R305)</f>
        <v>1945691</v>
      </c>
      <c r="K305" s="1808">
        <f t="shared" ref="K305:R305" si="53">SUM(K189,K208,K213,K218,K225,K230,K235,K243,K248,K254,K259,K265,K270)+K276+K280+K284+K288+K292+K296</f>
        <v>1229649</v>
      </c>
      <c r="L305" s="1808">
        <f t="shared" si="53"/>
        <v>242777</v>
      </c>
      <c r="M305" s="1808">
        <f t="shared" si="53"/>
        <v>440378</v>
      </c>
      <c r="N305" s="1808">
        <f t="shared" si="53"/>
        <v>0</v>
      </c>
      <c r="O305" s="1808">
        <f t="shared" si="53"/>
        <v>0</v>
      </c>
      <c r="P305" s="1808">
        <f t="shared" si="53"/>
        <v>32887</v>
      </c>
      <c r="Q305" s="1808">
        <f t="shared" si="53"/>
        <v>0</v>
      </c>
      <c r="R305" s="1809">
        <f t="shared" si="53"/>
        <v>0</v>
      </c>
      <c r="S305" s="870"/>
      <c r="T305" s="870"/>
      <c r="U305" s="870"/>
      <c r="V305" s="870"/>
      <c r="W305" s="870"/>
      <c r="X305" s="870"/>
      <c r="Y305" s="870"/>
      <c r="Z305" s="870"/>
      <c r="AA305" s="870"/>
      <c r="AB305" s="870"/>
      <c r="AC305" s="870"/>
      <c r="AD305" s="870"/>
      <c r="AE305" s="870"/>
    </row>
    <row r="306" spans="1:31" s="55" customFormat="1" ht="18" customHeight="1" x14ac:dyDescent="0.3">
      <c r="A306" s="129">
        <v>297</v>
      </c>
      <c r="B306" s="1353"/>
      <c r="C306" s="1390"/>
      <c r="D306" s="1380"/>
      <c r="E306" s="1381" t="s">
        <v>947</v>
      </c>
      <c r="F306" s="315"/>
      <c r="G306" s="315"/>
      <c r="H306" s="315"/>
      <c r="I306" s="1382"/>
      <c r="J306" s="1807">
        <f>SUM(K306:R306)</f>
        <v>61</v>
      </c>
      <c r="K306" s="358">
        <f t="shared" ref="K306:R306" si="54">SUM(K190:K190,K209:K209,K214:K214,K219:K219,K226:K226,K231:K231,K236:K236,K244:K244,K249:K249,K255:K255,K260:K260,K266:K266,K271:K271,K277:K277,)+K281+K285+K289+K293+K297</f>
        <v>0</v>
      </c>
      <c r="L306" s="358">
        <f t="shared" si="54"/>
        <v>0</v>
      </c>
      <c r="M306" s="358">
        <f t="shared" si="54"/>
        <v>61</v>
      </c>
      <c r="N306" s="358">
        <f t="shared" si="54"/>
        <v>0</v>
      </c>
      <c r="O306" s="358">
        <f t="shared" si="54"/>
        <v>0</v>
      </c>
      <c r="P306" s="358">
        <f t="shared" si="54"/>
        <v>0</v>
      </c>
      <c r="Q306" s="358">
        <f t="shared" si="54"/>
        <v>0</v>
      </c>
      <c r="R306" s="359">
        <f t="shared" si="54"/>
        <v>0</v>
      </c>
      <c r="S306" s="154"/>
      <c r="T306" s="154"/>
      <c r="U306" s="154"/>
      <c r="V306" s="154"/>
      <c r="W306" s="154"/>
      <c r="X306" s="154"/>
      <c r="Y306" s="154"/>
      <c r="Z306" s="154"/>
      <c r="AA306" s="154"/>
      <c r="AB306" s="154"/>
      <c r="AC306" s="154"/>
      <c r="AD306" s="154"/>
      <c r="AE306" s="154"/>
    </row>
    <row r="307" spans="1:31" s="58" customFormat="1" ht="18" customHeight="1" thickBot="1" x14ac:dyDescent="0.35">
      <c r="A307" s="129">
        <v>298</v>
      </c>
      <c r="B307" s="1365"/>
      <c r="C307" s="1405"/>
      <c r="D307" s="1406"/>
      <c r="E307" s="1407" t="s">
        <v>1250</v>
      </c>
      <c r="F307" s="1408"/>
      <c r="G307" s="1408"/>
      <c r="H307" s="1408"/>
      <c r="I307" s="1719"/>
      <c r="J307" s="1409">
        <f>SUM(K307:R307)</f>
        <v>1945752</v>
      </c>
      <c r="K307" s="1410">
        <f>SUM(K305:K306)</f>
        <v>1229649</v>
      </c>
      <c r="L307" s="1410">
        <f t="shared" ref="L307:R307" si="55">SUM(L305:L306)</f>
        <v>242777</v>
      </c>
      <c r="M307" s="1410">
        <f t="shared" si="55"/>
        <v>440439</v>
      </c>
      <c r="N307" s="1410">
        <f t="shared" si="55"/>
        <v>0</v>
      </c>
      <c r="O307" s="1410">
        <f t="shared" si="55"/>
        <v>0</v>
      </c>
      <c r="P307" s="1410">
        <f t="shared" si="55"/>
        <v>32887</v>
      </c>
      <c r="Q307" s="1410">
        <f t="shared" si="55"/>
        <v>0</v>
      </c>
      <c r="R307" s="1894">
        <f t="shared" si="55"/>
        <v>0</v>
      </c>
      <c r="S307" s="291"/>
      <c r="T307" s="291"/>
      <c r="U307" s="291"/>
      <c r="V307" s="291"/>
      <c r="W307" s="291"/>
      <c r="X307" s="291"/>
      <c r="Y307" s="291"/>
      <c r="Z307" s="291"/>
      <c r="AA307" s="291"/>
      <c r="AB307" s="291"/>
      <c r="AC307" s="291"/>
      <c r="AD307" s="291"/>
      <c r="AE307" s="291"/>
    </row>
    <row r="308" spans="1:31" s="57" customFormat="1" ht="36" customHeight="1" x14ac:dyDescent="0.2">
      <c r="A308" s="129">
        <v>299</v>
      </c>
      <c r="B308" s="2178" t="s">
        <v>13</v>
      </c>
      <c r="C308" s="2179"/>
      <c r="D308" s="2179"/>
      <c r="E308" s="2180"/>
      <c r="F308" s="863"/>
      <c r="G308" s="832">
        <f>SUM(G303,G181)</f>
        <v>7353582</v>
      </c>
      <c r="H308" s="832">
        <f>SUM(H303,H181)</f>
        <v>7596089</v>
      </c>
      <c r="I308" s="1724">
        <f>SUM(I303,I181)</f>
        <v>8054296</v>
      </c>
      <c r="J308" s="864"/>
      <c r="K308" s="832"/>
      <c r="L308" s="832"/>
      <c r="M308" s="832"/>
      <c r="N308" s="832"/>
      <c r="O308" s="832"/>
      <c r="P308" s="832"/>
      <c r="Q308" s="832"/>
      <c r="R308" s="865"/>
      <c r="S308" s="287"/>
      <c r="T308" s="287"/>
      <c r="U308" s="287"/>
      <c r="V308" s="287"/>
      <c r="W308" s="287"/>
      <c r="X308" s="287"/>
      <c r="Y308" s="287"/>
      <c r="Z308" s="287"/>
      <c r="AA308" s="287"/>
      <c r="AB308" s="287"/>
      <c r="AC308" s="287"/>
      <c r="AD308" s="287"/>
      <c r="AE308" s="287"/>
    </row>
    <row r="309" spans="1:31" s="804" customFormat="1" ht="18" customHeight="1" x14ac:dyDescent="0.3">
      <c r="A309" s="129">
        <v>300</v>
      </c>
      <c r="B309" s="833"/>
      <c r="C309" s="810"/>
      <c r="D309" s="851"/>
      <c r="E309" s="1415" t="s">
        <v>308</v>
      </c>
      <c r="F309" s="1416"/>
      <c r="G309" s="827"/>
      <c r="H309" s="827"/>
      <c r="I309" s="852"/>
      <c r="J309" s="853">
        <f>SUM(K309:R309)</f>
        <v>8038573</v>
      </c>
      <c r="K309" s="1417">
        <f t="shared" ref="K309:R309" si="56">SUM(K304,K182)</f>
        <v>4439418</v>
      </c>
      <c r="L309" s="1417">
        <f t="shared" si="56"/>
        <v>851687</v>
      </c>
      <c r="M309" s="1417">
        <f t="shared" si="56"/>
        <v>2680254</v>
      </c>
      <c r="N309" s="1417">
        <f t="shared" si="56"/>
        <v>0</v>
      </c>
      <c r="O309" s="1417">
        <f t="shared" si="56"/>
        <v>178</v>
      </c>
      <c r="P309" s="1417">
        <f t="shared" si="56"/>
        <v>67036</v>
      </c>
      <c r="Q309" s="1417">
        <f t="shared" si="56"/>
        <v>0</v>
      </c>
      <c r="R309" s="1418">
        <f t="shared" si="56"/>
        <v>0</v>
      </c>
      <c r="S309" s="870"/>
      <c r="T309" s="870"/>
      <c r="U309" s="870"/>
      <c r="V309" s="870"/>
      <c r="W309" s="870"/>
      <c r="X309" s="870"/>
      <c r="Y309" s="870"/>
      <c r="Z309" s="870"/>
      <c r="AA309" s="870"/>
      <c r="AB309" s="870"/>
      <c r="AC309" s="870"/>
      <c r="AD309" s="870"/>
      <c r="AE309" s="870"/>
    </row>
    <row r="310" spans="1:31" s="804" customFormat="1" ht="18" customHeight="1" x14ac:dyDescent="0.3">
      <c r="A310" s="129">
        <v>301</v>
      </c>
      <c r="B310" s="833"/>
      <c r="C310" s="810"/>
      <c r="D310" s="851"/>
      <c r="E310" s="683" t="s">
        <v>1158</v>
      </c>
      <c r="F310" s="1416"/>
      <c r="G310" s="827"/>
      <c r="H310" s="827"/>
      <c r="I310" s="852"/>
      <c r="J310" s="1424">
        <f>SUM(K310:R310)</f>
        <v>9002102</v>
      </c>
      <c r="K310" s="1808">
        <f>SUM(K305,K183)</f>
        <v>4963609</v>
      </c>
      <c r="L310" s="1808">
        <f>SUM(L305,L183)</f>
        <v>953247</v>
      </c>
      <c r="M310" s="1808">
        <f>SUM(M305,M183)</f>
        <v>2871158</v>
      </c>
      <c r="N310" s="1808"/>
      <c r="O310" s="1808">
        <f>SUM(O305,O183)</f>
        <v>647</v>
      </c>
      <c r="P310" s="1808">
        <f>SUM(P305,P183)</f>
        <v>210324</v>
      </c>
      <c r="Q310" s="1808">
        <f>SUM(Q305,Q183)</f>
        <v>3117</v>
      </c>
      <c r="R310" s="1809">
        <f>SUM(R305,R183)</f>
        <v>0</v>
      </c>
      <c r="S310" s="870"/>
      <c r="T310" s="870"/>
      <c r="U310" s="870"/>
      <c r="V310" s="870"/>
      <c r="W310" s="870"/>
      <c r="X310" s="870"/>
      <c r="Y310" s="870"/>
      <c r="Z310" s="870"/>
      <c r="AA310" s="870"/>
      <c r="AB310" s="870"/>
      <c r="AC310" s="870"/>
      <c r="AD310" s="870"/>
      <c r="AE310" s="870"/>
    </row>
    <row r="311" spans="1:31" s="55" customFormat="1" ht="18" customHeight="1" x14ac:dyDescent="0.3">
      <c r="A311" s="129">
        <v>302</v>
      </c>
      <c r="B311" s="1353"/>
      <c r="C311" s="1390"/>
      <c r="D311" s="1380"/>
      <c r="E311" s="1381" t="s">
        <v>947</v>
      </c>
      <c r="F311" s="315"/>
      <c r="G311" s="315"/>
      <c r="H311" s="315"/>
      <c r="I311" s="1382"/>
      <c r="J311" s="1383">
        <f>SUM(K311:R311)</f>
        <v>55830</v>
      </c>
      <c r="K311" s="358">
        <f t="shared" ref="K311:R311" si="57">SUM(K184,K306)</f>
        <v>14886</v>
      </c>
      <c r="L311" s="358">
        <f t="shared" si="57"/>
        <v>6036</v>
      </c>
      <c r="M311" s="358">
        <f t="shared" si="57"/>
        <v>36313</v>
      </c>
      <c r="N311" s="358">
        <f t="shared" si="57"/>
        <v>0</v>
      </c>
      <c r="O311" s="358">
        <f t="shared" si="57"/>
        <v>0</v>
      </c>
      <c r="P311" s="358">
        <f t="shared" si="57"/>
        <v>-1405</v>
      </c>
      <c r="Q311" s="358">
        <f t="shared" si="57"/>
        <v>0</v>
      </c>
      <c r="R311" s="359">
        <f t="shared" si="57"/>
        <v>0</v>
      </c>
      <c r="S311" s="154"/>
      <c r="T311" s="154"/>
      <c r="U311" s="154"/>
      <c r="V311" s="154"/>
      <c r="W311" s="154"/>
      <c r="X311" s="154"/>
      <c r="Y311" s="154"/>
      <c r="Z311" s="154"/>
      <c r="AA311" s="154"/>
      <c r="AB311" s="154"/>
      <c r="AC311" s="154"/>
      <c r="AD311" s="154"/>
      <c r="AE311" s="154"/>
    </row>
    <row r="312" spans="1:31" s="58" customFormat="1" ht="18" customHeight="1" thickBot="1" x14ac:dyDescent="0.35">
      <c r="A312" s="129">
        <v>303</v>
      </c>
      <c r="B312" s="1365"/>
      <c r="C312" s="1405"/>
      <c r="D312" s="1406"/>
      <c r="E312" s="1407" t="s">
        <v>1250</v>
      </c>
      <c r="F312" s="1408"/>
      <c r="G312" s="1408"/>
      <c r="H312" s="1408"/>
      <c r="I312" s="1719"/>
      <c r="J312" s="1409">
        <f>SUM(K312:R312)</f>
        <v>9057932</v>
      </c>
      <c r="K312" s="1410">
        <f>SUM(K310:K311)</f>
        <v>4978495</v>
      </c>
      <c r="L312" s="1410">
        <f t="shared" ref="L312:R312" si="58">SUM(L310:L311)</f>
        <v>959283</v>
      </c>
      <c r="M312" s="1410">
        <f t="shared" si="58"/>
        <v>2907471</v>
      </c>
      <c r="N312" s="1410">
        <f t="shared" si="58"/>
        <v>0</v>
      </c>
      <c r="O312" s="1410">
        <f t="shared" si="58"/>
        <v>647</v>
      </c>
      <c r="P312" s="1410">
        <f t="shared" si="58"/>
        <v>208919</v>
      </c>
      <c r="Q312" s="1410">
        <f t="shared" si="58"/>
        <v>3117</v>
      </c>
      <c r="R312" s="1894">
        <f t="shared" si="58"/>
        <v>0</v>
      </c>
      <c r="S312" s="291"/>
      <c r="T312" s="291"/>
      <c r="U312" s="291"/>
      <c r="V312" s="291"/>
      <c r="W312" s="291"/>
      <c r="X312" s="291"/>
      <c r="Y312" s="291"/>
      <c r="Z312" s="291"/>
      <c r="AA312" s="291"/>
      <c r="AB312" s="291"/>
      <c r="AC312" s="291"/>
      <c r="AD312" s="291"/>
      <c r="AE312" s="291"/>
    </row>
    <row r="313" spans="1:31" s="55" customFormat="1" ht="15" customHeight="1" x14ac:dyDescent="0.3">
      <c r="A313" s="129">
        <v>304</v>
      </c>
      <c r="B313" s="2242" t="s">
        <v>168</v>
      </c>
      <c r="C313" s="2243"/>
      <c r="D313" s="2243"/>
      <c r="E313" s="2244"/>
      <c r="F313" s="461"/>
      <c r="G313" s="365"/>
      <c r="H313" s="365"/>
      <c r="I313" s="1725"/>
      <c r="J313" s="368"/>
      <c r="K313" s="365"/>
      <c r="L313" s="365"/>
      <c r="M313" s="365"/>
      <c r="N313" s="365"/>
      <c r="O313" s="365"/>
      <c r="P313" s="365"/>
      <c r="Q313" s="365"/>
      <c r="R313" s="366"/>
      <c r="S313" s="293"/>
      <c r="T313" s="154"/>
      <c r="U313" s="154"/>
      <c r="V313" s="154"/>
      <c r="W313" s="154"/>
      <c r="X313" s="154"/>
      <c r="Y313" s="154"/>
      <c r="Z313" s="154"/>
      <c r="AA313" s="154"/>
      <c r="AB313" s="154"/>
      <c r="AC313" s="154"/>
      <c r="AD313" s="154"/>
      <c r="AE313" s="154"/>
    </row>
    <row r="314" spans="1:31" s="55" customFormat="1" ht="15" customHeight="1" x14ac:dyDescent="0.3">
      <c r="A314" s="129">
        <v>305</v>
      </c>
      <c r="B314" s="2234" t="s">
        <v>169</v>
      </c>
      <c r="C314" s="2235"/>
      <c r="D314" s="2235"/>
      <c r="E314" s="2236"/>
      <c r="F314" s="2236"/>
      <c r="G314" s="351">
        <f>SUM(G84:G146,G79,G53,G176)</f>
        <v>4832764</v>
      </c>
      <c r="H314" s="351">
        <f>SUM(H84:H146,H79,H53,H176)</f>
        <v>5148329</v>
      </c>
      <c r="I314" s="1726">
        <f>SUM(I84:I146,I79,I53,I176)</f>
        <v>5457000</v>
      </c>
      <c r="J314" s="367"/>
      <c r="K314" s="314"/>
      <c r="L314" s="314"/>
      <c r="M314" s="314"/>
      <c r="N314" s="314"/>
      <c r="O314" s="314"/>
      <c r="P314" s="314"/>
      <c r="Q314" s="314"/>
      <c r="R314" s="327"/>
      <c r="S314" s="293"/>
      <c r="T314" s="154"/>
      <c r="U314" s="154"/>
      <c r="V314" s="154"/>
      <c r="W314" s="154"/>
      <c r="X314" s="154"/>
      <c r="Y314" s="154"/>
      <c r="Z314" s="154"/>
      <c r="AA314" s="154"/>
      <c r="AB314" s="154"/>
      <c r="AC314" s="154"/>
      <c r="AD314" s="154"/>
      <c r="AE314" s="154"/>
    </row>
    <row r="315" spans="1:31" s="848" customFormat="1" ht="15" customHeight="1" x14ac:dyDescent="0.3">
      <c r="A315" s="129">
        <v>306</v>
      </c>
      <c r="B315" s="871"/>
      <c r="C315" s="872"/>
      <c r="D315" s="872"/>
      <c r="E315" s="842" t="s">
        <v>308</v>
      </c>
      <c r="F315" s="873"/>
      <c r="G315" s="874"/>
      <c r="H315" s="874"/>
      <c r="I315" s="1727"/>
      <c r="J315" s="866">
        <f>SUM(K315:R315)</f>
        <v>5482717</v>
      </c>
      <c r="K315" s="866">
        <f t="shared" ref="K315:R315" si="59">SUM(K54,K80,K85,K96,K101,K116,K128,K133,K146,K177,)</f>
        <v>2882682</v>
      </c>
      <c r="L315" s="866">
        <f t="shared" si="59"/>
        <v>565818</v>
      </c>
      <c r="M315" s="866">
        <f t="shared" si="59"/>
        <v>2006199</v>
      </c>
      <c r="N315" s="866">
        <f t="shared" si="59"/>
        <v>0</v>
      </c>
      <c r="O315" s="866">
        <f t="shared" si="59"/>
        <v>178</v>
      </c>
      <c r="P315" s="866">
        <f t="shared" si="59"/>
        <v>27840</v>
      </c>
      <c r="Q315" s="866">
        <f t="shared" si="59"/>
        <v>0</v>
      </c>
      <c r="R315" s="867">
        <f t="shared" si="59"/>
        <v>0</v>
      </c>
      <c r="S315" s="849"/>
      <c r="T315" s="847"/>
      <c r="U315" s="847"/>
      <c r="V315" s="847"/>
      <c r="W315" s="847"/>
      <c r="X315" s="847"/>
      <c r="Y315" s="847"/>
      <c r="Z315" s="847"/>
      <c r="AA315" s="847"/>
      <c r="AB315" s="847"/>
      <c r="AC315" s="847"/>
      <c r="AD315" s="847"/>
      <c r="AE315" s="847"/>
    </row>
    <row r="316" spans="1:31" s="848" customFormat="1" ht="15" customHeight="1" x14ac:dyDescent="0.3">
      <c r="A316" s="129">
        <v>307</v>
      </c>
      <c r="B316" s="871"/>
      <c r="C316" s="872"/>
      <c r="D316" s="872"/>
      <c r="E316" s="683" t="s">
        <v>1158</v>
      </c>
      <c r="F316" s="873"/>
      <c r="G316" s="874"/>
      <c r="H316" s="874"/>
      <c r="I316" s="1729"/>
      <c r="J316" s="367">
        <f>SUM(K316:R316)</f>
        <v>5966228</v>
      </c>
      <c r="K316" s="363">
        <f t="shared" ref="K316:R316" si="60">SUM(K55,K81,K86,K97,K102,K117,K129,K134,K147,K178,)+K112</f>
        <v>3214012</v>
      </c>
      <c r="L316" s="363">
        <f t="shared" si="60"/>
        <v>621730</v>
      </c>
      <c r="M316" s="363">
        <f t="shared" si="60"/>
        <v>1981835</v>
      </c>
      <c r="N316" s="363">
        <f t="shared" si="60"/>
        <v>0</v>
      </c>
      <c r="O316" s="363">
        <f t="shared" si="60"/>
        <v>357</v>
      </c>
      <c r="P316" s="363">
        <f t="shared" si="60"/>
        <v>145177</v>
      </c>
      <c r="Q316" s="363">
        <f t="shared" si="60"/>
        <v>3117</v>
      </c>
      <c r="R316" s="364">
        <f t="shared" si="60"/>
        <v>0</v>
      </c>
      <c r="S316" s="849"/>
      <c r="T316" s="847"/>
      <c r="U316" s="847"/>
      <c r="V316" s="847"/>
      <c r="W316" s="847"/>
      <c r="X316" s="847"/>
      <c r="Y316" s="847"/>
      <c r="Z316" s="847"/>
      <c r="AA316" s="847"/>
      <c r="AB316" s="847"/>
      <c r="AC316" s="847"/>
      <c r="AD316" s="847"/>
      <c r="AE316" s="847"/>
    </row>
    <row r="317" spans="1:31" s="55" customFormat="1" ht="18" customHeight="1" x14ac:dyDescent="0.3">
      <c r="A317" s="129">
        <v>308</v>
      </c>
      <c r="B317" s="1353"/>
      <c r="C317" s="1390"/>
      <c r="D317" s="1380"/>
      <c r="E317" s="1381" t="s">
        <v>947</v>
      </c>
      <c r="F317" s="315"/>
      <c r="G317" s="315"/>
      <c r="H317" s="315"/>
      <c r="I317" s="1382"/>
      <c r="J317" s="1383">
        <f>SUM(K317:R317)</f>
        <v>20471</v>
      </c>
      <c r="K317" s="358">
        <f>SUM(K56,K82,K87:K87,K98,K103:K104,K118:K119,K130,K135:K135,)+K179+K88+K113+K143</f>
        <v>1308</v>
      </c>
      <c r="L317" s="358">
        <f t="shared" ref="L317:R317" si="61">SUM(L56,L82,L87:L87,L98,L103:L104,L118:L119,L130,L135:L135,)+L179+L88+L113+L143</f>
        <v>4036</v>
      </c>
      <c r="M317" s="358">
        <f t="shared" si="61"/>
        <v>16532</v>
      </c>
      <c r="N317" s="358">
        <f t="shared" si="61"/>
        <v>0</v>
      </c>
      <c r="O317" s="358">
        <f t="shared" si="61"/>
        <v>0</v>
      </c>
      <c r="P317" s="358">
        <f t="shared" si="61"/>
        <v>-1405</v>
      </c>
      <c r="Q317" s="358">
        <f t="shared" si="61"/>
        <v>0</v>
      </c>
      <c r="R317" s="359">
        <f t="shared" si="61"/>
        <v>0</v>
      </c>
      <c r="S317" s="154"/>
      <c r="T317" s="154"/>
      <c r="U317" s="154"/>
      <c r="V317" s="154"/>
      <c r="W317" s="154"/>
      <c r="X317" s="154"/>
      <c r="Y317" s="154"/>
      <c r="Z317" s="154"/>
      <c r="AA317" s="154"/>
      <c r="AB317" s="154"/>
      <c r="AC317" s="154"/>
      <c r="AD317" s="154"/>
      <c r="AE317" s="154"/>
    </row>
    <row r="318" spans="1:31" s="58" customFormat="1" ht="18" customHeight="1" x14ac:dyDescent="0.3">
      <c r="A318" s="129">
        <v>309</v>
      </c>
      <c r="B318" s="1419"/>
      <c r="C318" s="1420"/>
      <c r="D318" s="1421"/>
      <c r="E318" s="1422" t="s">
        <v>1250</v>
      </c>
      <c r="F318" s="1423"/>
      <c r="G318" s="1423"/>
      <c r="H318" s="1423"/>
      <c r="I318" s="1728"/>
      <c r="J318" s="1424">
        <f>SUM(K318:R318)</f>
        <v>5986699</v>
      </c>
      <c r="K318" s="1425">
        <f>SUM(K316:K317)</f>
        <v>3215320</v>
      </c>
      <c r="L318" s="1425">
        <f t="shared" ref="L318:R318" si="62">SUM(L316:L317)</f>
        <v>625766</v>
      </c>
      <c r="M318" s="1425">
        <f t="shared" si="62"/>
        <v>1998367</v>
      </c>
      <c r="N318" s="1425">
        <f t="shared" si="62"/>
        <v>0</v>
      </c>
      <c r="O318" s="1425">
        <f t="shared" si="62"/>
        <v>357</v>
      </c>
      <c r="P318" s="1425">
        <f t="shared" si="62"/>
        <v>143772</v>
      </c>
      <c r="Q318" s="1425">
        <f t="shared" si="62"/>
        <v>3117</v>
      </c>
      <c r="R318" s="1426">
        <f t="shared" si="62"/>
        <v>0</v>
      </c>
      <c r="S318" s="291"/>
      <c r="T318" s="291"/>
      <c r="U318" s="291"/>
      <c r="V318" s="291"/>
      <c r="W318" s="291"/>
      <c r="X318" s="291"/>
      <c r="Y318" s="291"/>
      <c r="Z318" s="291"/>
      <c r="AA318" s="291"/>
      <c r="AB318" s="291"/>
      <c r="AC318" s="291"/>
      <c r="AD318" s="291"/>
      <c r="AE318" s="291"/>
    </row>
    <row r="319" spans="1:31" s="55" customFormat="1" ht="15" customHeight="1" x14ac:dyDescent="0.3">
      <c r="A319" s="129">
        <v>310</v>
      </c>
      <c r="B319" s="2234" t="s">
        <v>168</v>
      </c>
      <c r="C319" s="2235"/>
      <c r="D319" s="2235"/>
      <c r="E319" s="2236"/>
      <c r="F319" s="462"/>
      <c r="G319" s="351"/>
      <c r="H319" s="351"/>
      <c r="I319" s="1726"/>
      <c r="J319" s="369"/>
      <c r="K319" s="351"/>
      <c r="L319" s="351"/>
      <c r="M319" s="351"/>
      <c r="N319" s="351"/>
      <c r="O319" s="351"/>
      <c r="P319" s="351"/>
      <c r="Q319" s="351"/>
      <c r="R319" s="360"/>
      <c r="S319" s="293"/>
      <c r="T319" s="154"/>
      <c r="U319" s="154"/>
      <c r="V319" s="154"/>
      <c r="W319" s="154"/>
      <c r="X319" s="154"/>
      <c r="Y319" s="154"/>
      <c r="Z319" s="154"/>
      <c r="AA319" s="154"/>
      <c r="AB319" s="154"/>
      <c r="AC319" s="154"/>
      <c r="AD319" s="154"/>
      <c r="AE319" s="154"/>
    </row>
    <row r="320" spans="1:31" s="55" customFormat="1" ht="15" customHeight="1" x14ac:dyDescent="0.3">
      <c r="A320" s="129">
        <v>311</v>
      </c>
      <c r="B320" s="2234" t="s">
        <v>170</v>
      </c>
      <c r="C320" s="2235"/>
      <c r="D320" s="2235"/>
      <c r="E320" s="2236"/>
      <c r="F320" s="2236"/>
      <c r="G320" s="351">
        <f>SUM(G147:G166)</f>
        <v>1061580</v>
      </c>
      <c r="H320" s="351">
        <f>SUM(H147:H166)</f>
        <v>874865</v>
      </c>
      <c r="I320" s="1726">
        <f>SUM(I147:I166)</f>
        <v>1014307</v>
      </c>
      <c r="J320" s="369"/>
      <c r="K320" s="351"/>
      <c r="L320" s="351"/>
      <c r="M320" s="351"/>
      <c r="N320" s="351"/>
      <c r="O320" s="351"/>
      <c r="P320" s="351"/>
      <c r="Q320" s="351"/>
      <c r="R320" s="360"/>
      <c r="S320" s="293"/>
      <c r="T320" s="154"/>
      <c r="U320" s="154"/>
      <c r="V320" s="154"/>
      <c r="W320" s="154"/>
      <c r="X320" s="154"/>
      <c r="Y320" s="154"/>
      <c r="Z320" s="154"/>
      <c r="AA320" s="154"/>
      <c r="AB320" s="154"/>
      <c r="AC320" s="154"/>
      <c r="AD320" s="154"/>
      <c r="AE320" s="154"/>
    </row>
    <row r="321" spans="1:31" s="848" customFormat="1" ht="15" customHeight="1" x14ac:dyDescent="0.3">
      <c r="A321" s="129">
        <v>312</v>
      </c>
      <c r="B321" s="871"/>
      <c r="C321" s="872"/>
      <c r="D321" s="872"/>
      <c r="E321" s="842" t="s">
        <v>308</v>
      </c>
      <c r="F321" s="873"/>
      <c r="G321" s="874"/>
      <c r="H321" s="874"/>
      <c r="I321" s="1729"/>
      <c r="J321" s="875">
        <f>SUM(K321:R321)</f>
        <v>880295</v>
      </c>
      <c r="K321" s="866">
        <f t="shared" ref="K321:R322" si="63">SUM(K148,K153,K166)+K158</f>
        <v>419213</v>
      </c>
      <c r="L321" s="866">
        <f t="shared" si="63"/>
        <v>80016</v>
      </c>
      <c r="M321" s="866">
        <f t="shared" si="63"/>
        <v>376235</v>
      </c>
      <c r="N321" s="866">
        <f t="shared" si="63"/>
        <v>0</v>
      </c>
      <c r="O321" s="866">
        <f t="shared" si="63"/>
        <v>0</v>
      </c>
      <c r="P321" s="866">
        <f t="shared" si="63"/>
        <v>4831</v>
      </c>
      <c r="Q321" s="866">
        <f t="shared" si="63"/>
        <v>0</v>
      </c>
      <c r="R321" s="867">
        <f t="shared" si="63"/>
        <v>0</v>
      </c>
      <c r="S321" s="849"/>
      <c r="T321" s="847"/>
      <c r="U321" s="847"/>
      <c r="V321" s="847"/>
      <c r="W321" s="847"/>
      <c r="X321" s="847"/>
      <c r="Y321" s="847"/>
      <c r="Z321" s="847"/>
      <c r="AA321" s="847"/>
      <c r="AB321" s="847"/>
      <c r="AC321" s="847"/>
      <c r="AD321" s="847"/>
      <c r="AE321" s="847"/>
    </row>
    <row r="322" spans="1:31" s="848" customFormat="1" ht="15" customHeight="1" x14ac:dyDescent="0.3">
      <c r="A322" s="129">
        <v>313</v>
      </c>
      <c r="B322" s="871"/>
      <c r="C322" s="872"/>
      <c r="D322" s="872"/>
      <c r="E322" s="683" t="s">
        <v>1158</v>
      </c>
      <c r="F322" s="873"/>
      <c r="G322" s="874"/>
      <c r="H322" s="874"/>
      <c r="I322" s="1729"/>
      <c r="J322" s="367">
        <f>SUM(K322:R322)</f>
        <v>1090183</v>
      </c>
      <c r="K322" s="363">
        <f t="shared" si="63"/>
        <v>519948</v>
      </c>
      <c r="L322" s="363">
        <f t="shared" si="63"/>
        <v>88740</v>
      </c>
      <c r="M322" s="363">
        <f t="shared" si="63"/>
        <v>448945</v>
      </c>
      <c r="N322" s="363">
        <f t="shared" si="63"/>
        <v>0</v>
      </c>
      <c r="O322" s="363">
        <f t="shared" si="63"/>
        <v>290</v>
      </c>
      <c r="P322" s="363">
        <f t="shared" si="63"/>
        <v>32260</v>
      </c>
      <c r="Q322" s="363">
        <f t="shared" si="63"/>
        <v>0</v>
      </c>
      <c r="R322" s="364">
        <f t="shared" si="63"/>
        <v>0</v>
      </c>
      <c r="S322" s="849"/>
      <c r="T322" s="847"/>
      <c r="U322" s="847"/>
      <c r="V322" s="847"/>
      <c r="W322" s="847"/>
      <c r="X322" s="847"/>
      <c r="Y322" s="847"/>
      <c r="Z322" s="847"/>
      <c r="AA322" s="847"/>
      <c r="AB322" s="847"/>
      <c r="AC322" s="847"/>
      <c r="AD322" s="847"/>
      <c r="AE322" s="847"/>
    </row>
    <row r="323" spans="1:31" s="55" customFormat="1" ht="18" customHeight="1" x14ac:dyDescent="0.3">
      <c r="A323" s="129">
        <v>314</v>
      </c>
      <c r="B323" s="1353"/>
      <c r="C323" s="1390"/>
      <c r="D323" s="1380"/>
      <c r="E323" s="1381" t="s">
        <v>947</v>
      </c>
      <c r="F323" s="315"/>
      <c r="G323" s="315"/>
      <c r="H323" s="315"/>
      <c r="I323" s="1382"/>
      <c r="J323" s="1383">
        <f>SUM(K323:R323)</f>
        <v>35298</v>
      </c>
      <c r="K323" s="358">
        <f t="shared" ref="K323:R323" si="64">SUM(K150:K150,K155,K160,K168:K169)+K163</f>
        <v>13578</v>
      </c>
      <c r="L323" s="358">
        <f t="shared" si="64"/>
        <v>2000</v>
      </c>
      <c r="M323" s="358">
        <f t="shared" si="64"/>
        <v>19720</v>
      </c>
      <c r="N323" s="358">
        <f t="shared" si="64"/>
        <v>0</v>
      </c>
      <c r="O323" s="358">
        <f t="shared" si="64"/>
        <v>0</v>
      </c>
      <c r="P323" s="358">
        <f t="shared" si="64"/>
        <v>0</v>
      </c>
      <c r="Q323" s="358">
        <f t="shared" si="64"/>
        <v>0</v>
      </c>
      <c r="R323" s="359">
        <f t="shared" si="64"/>
        <v>0</v>
      </c>
      <c r="S323" s="154"/>
      <c r="T323" s="154"/>
      <c r="U323" s="154"/>
      <c r="V323" s="154"/>
      <c r="W323" s="154"/>
      <c r="X323" s="154"/>
      <c r="Y323" s="154"/>
      <c r="Z323" s="154"/>
      <c r="AA323" s="154"/>
      <c r="AB323" s="154"/>
      <c r="AC323" s="154"/>
      <c r="AD323" s="154"/>
      <c r="AE323" s="154"/>
    </row>
    <row r="324" spans="1:31" s="58" customFormat="1" ht="18" customHeight="1" x14ac:dyDescent="0.3">
      <c r="A324" s="129">
        <v>315</v>
      </c>
      <c r="B324" s="1419"/>
      <c r="C324" s="1420"/>
      <c r="D324" s="1421"/>
      <c r="E324" s="1422" t="s">
        <v>1250</v>
      </c>
      <c r="F324" s="1423"/>
      <c r="G324" s="1423"/>
      <c r="H324" s="1423"/>
      <c r="I324" s="1728"/>
      <c r="J324" s="1424">
        <f>SUM(K324:R324)</f>
        <v>1125481</v>
      </c>
      <c r="K324" s="1425">
        <f>SUM(K322:K323)</f>
        <v>533526</v>
      </c>
      <c r="L324" s="1425">
        <f t="shared" ref="L324:R324" si="65">SUM(L322:L323)</f>
        <v>90740</v>
      </c>
      <c r="M324" s="1425">
        <f t="shared" si="65"/>
        <v>468665</v>
      </c>
      <c r="N324" s="1425">
        <f t="shared" si="65"/>
        <v>0</v>
      </c>
      <c r="O324" s="1425">
        <f t="shared" si="65"/>
        <v>290</v>
      </c>
      <c r="P324" s="1425">
        <f t="shared" si="65"/>
        <v>32260</v>
      </c>
      <c r="Q324" s="1425">
        <f t="shared" si="65"/>
        <v>0</v>
      </c>
      <c r="R324" s="1426">
        <f t="shared" si="65"/>
        <v>0</v>
      </c>
      <c r="S324" s="291"/>
      <c r="T324" s="291"/>
      <c r="U324" s="291"/>
      <c r="V324" s="291"/>
      <c r="W324" s="291"/>
      <c r="X324" s="291"/>
      <c r="Y324" s="291"/>
      <c r="Z324" s="291"/>
      <c r="AA324" s="291"/>
      <c r="AB324" s="291"/>
      <c r="AC324" s="291"/>
      <c r="AD324" s="291"/>
      <c r="AE324" s="291"/>
    </row>
    <row r="325" spans="1:31" s="55" customFormat="1" ht="15" customHeight="1" x14ac:dyDescent="0.3">
      <c r="A325" s="129">
        <v>316</v>
      </c>
      <c r="B325" s="2234" t="s">
        <v>168</v>
      </c>
      <c r="C325" s="2235"/>
      <c r="D325" s="2235"/>
      <c r="E325" s="2236"/>
      <c r="F325" s="462"/>
      <c r="G325" s="351"/>
      <c r="H325" s="351"/>
      <c r="I325" s="1726"/>
      <c r="J325" s="369"/>
      <c r="K325" s="363"/>
      <c r="L325" s="363"/>
      <c r="M325" s="363"/>
      <c r="N325" s="363"/>
      <c r="O325" s="363"/>
      <c r="P325" s="363"/>
      <c r="Q325" s="363"/>
      <c r="R325" s="364"/>
      <c r="S325" s="293"/>
      <c r="T325" s="154"/>
      <c r="U325" s="154"/>
      <c r="V325" s="154"/>
      <c r="W325" s="154"/>
      <c r="X325" s="154"/>
      <c r="Y325" s="154"/>
      <c r="Z325" s="154"/>
      <c r="AA325" s="154"/>
      <c r="AB325" s="154"/>
      <c r="AC325" s="154"/>
      <c r="AD325" s="154"/>
      <c r="AE325" s="154"/>
    </row>
    <row r="326" spans="1:31" s="55" customFormat="1" ht="15" customHeight="1" x14ac:dyDescent="0.3">
      <c r="A326" s="129">
        <v>317</v>
      </c>
      <c r="B326" s="2237" t="s">
        <v>171</v>
      </c>
      <c r="C326" s="2238"/>
      <c r="D326" s="2238"/>
      <c r="E326" s="2239"/>
      <c r="F326" s="2239"/>
      <c r="G326" s="349">
        <f>SUM(G303)</f>
        <v>1459238</v>
      </c>
      <c r="H326" s="349">
        <f>SUM(H303)</f>
        <v>1572895</v>
      </c>
      <c r="I326" s="1730">
        <f>SUM(I303)</f>
        <v>1582989</v>
      </c>
      <c r="J326" s="369"/>
      <c r="K326" s="351"/>
      <c r="L326" s="351"/>
      <c r="M326" s="351"/>
      <c r="N326" s="351"/>
      <c r="O326" s="351"/>
      <c r="P326" s="351"/>
      <c r="Q326" s="351"/>
      <c r="R326" s="360"/>
      <c r="S326" s="293"/>
      <c r="T326" s="154"/>
      <c r="U326" s="154"/>
      <c r="V326" s="154"/>
      <c r="W326" s="154"/>
      <c r="X326" s="154"/>
      <c r="Y326" s="154"/>
      <c r="Z326" s="154"/>
      <c r="AA326" s="154"/>
      <c r="AB326" s="154"/>
      <c r="AC326" s="154"/>
      <c r="AD326" s="154"/>
      <c r="AE326" s="154"/>
    </row>
    <row r="327" spans="1:31" s="876" customFormat="1" ht="15" customHeight="1" x14ac:dyDescent="0.3">
      <c r="A327" s="129">
        <v>318</v>
      </c>
      <c r="B327" s="1427"/>
      <c r="C327" s="1428"/>
      <c r="D327" s="1428"/>
      <c r="E327" s="834" t="s">
        <v>308</v>
      </c>
      <c r="F327" s="1429"/>
      <c r="G327" s="1430"/>
      <c r="H327" s="1430"/>
      <c r="I327" s="1731"/>
      <c r="J327" s="1431">
        <f>SUM(K327:R327)</f>
        <v>1675561</v>
      </c>
      <c r="K327" s="1417">
        <f>K304</f>
        <v>1137523</v>
      </c>
      <c r="L327" s="1417">
        <f t="shared" ref="L327:R328" si="66">L304</f>
        <v>205853</v>
      </c>
      <c r="M327" s="1417">
        <f t="shared" si="66"/>
        <v>297820</v>
      </c>
      <c r="N327" s="1417">
        <f t="shared" si="66"/>
        <v>0</v>
      </c>
      <c r="O327" s="1417">
        <f t="shared" si="66"/>
        <v>0</v>
      </c>
      <c r="P327" s="1417">
        <f t="shared" si="66"/>
        <v>34365</v>
      </c>
      <c r="Q327" s="1417">
        <f t="shared" si="66"/>
        <v>0</v>
      </c>
      <c r="R327" s="1418">
        <f t="shared" si="66"/>
        <v>0</v>
      </c>
      <c r="S327" s="858"/>
      <c r="T327" s="858"/>
      <c r="U327" s="858"/>
      <c r="V327" s="858"/>
      <c r="W327" s="858"/>
      <c r="X327" s="858"/>
      <c r="Y327" s="858"/>
      <c r="Z327" s="858"/>
      <c r="AA327" s="858"/>
      <c r="AB327" s="858"/>
      <c r="AC327" s="858"/>
      <c r="AD327" s="858"/>
      <c r="AE327" s="858"/>
    </row>
    <row r="328" spans="1:31" s="876" customFormat="1" ht="15" customHeight="1" x14ac:dyDescent="0.3">
      <c r="A328" s="129">
        <v>319</v>
      </c>
      <c r="B328" s="1427"/>
      <c r="C328" s="1428"/>
      <c r="D328" s="1428"/>
      <c r="E328" s="683" t="s">
        <v>1158</v>
      </c>
      <c r="F328" s="1429"/>
      <c r="G328" s="1430"/>
      <c r="H328" s="1430"/>
      <c r="I328" s="1731"/>
      <c r="J328" s="1810">
        <f>SUM(K328:R328)</f>
        <v>1945691</v>
      </c>
      <c r="K328" s="1808">
        <f>K305</f>
        <v>1229649</v>
      </c>
      <c r="L328" s="1808">
        <f t="shared" si="66"/>
        <v>242777</v>
      </c>
      <c r="M328" s="1808">
        <f t="shared" si="66"/>
        <v>440378</v>
      </c>
      <c r="N328" s="1808">
        <f t="shared" si="66"/>
        <v>0</v>
      </c>
      <c r="O328" s="1808">
        <f t="shared" si="66"/>
        <v>0</v>
      </c>
      <c r="P328" s="1808">
        <f t="shared" si="66"/>
        <v>32887</v>
      </c>
      <c r="Q328" s="1808">
        <f t="shared" si="66"/>
        <v>0</v>
      </c>
      <c r="R328" s="1809">
        <f t="shared" si="66"/>
        <v>0</v>
      </c>
      <c r="S328" s="858"/>
      <c r="T328" s="858"/>
      <c r="U328" s="858"/>
      <c r="V328" s="858"/>
      <c r="W328" s="858"/>
      <c r="X328" s="858"/>
      <c r="Y328" s="858"/>
      <c r="Z328" s="858"/>
      <c r="AA328" s="858"/>
      <c r="AB328" s="858"/>
      <c r="AC328" s="858"/>
      <c r="AD328" s="858"/>
      <c r="AE328" s="858"/>
    </row>
    <row r="329" spans="1:31" s="55" customFormat="1" ht="18" customHeight="1" x14ac:dyDescent="0.3">
      <c r="A329" s="129">
        <v>320</v>
      </c>
      <c r="B329" s="1353"/>
      <c r="C329" s="1390"/>
      <c r="D329" s="1380"/>
      <c r="E329" s="1381" t="s">
        <v>947</v>
      </c>
      <c r="F329" s="315"/>
      <c r="G329" s="315"/>
      <c r="H329" s="315"/>
      <c r="I329" s="1382"/>
      <c r="J329" s="1383">
        <f>SUM(K329:R329)</f>
        <v>61</v>
      </c>
      <c r="K329" s="358">
        <f>SUM(K306)</f>
        <v>0</v>
      </c>
      <c r="L329" s="358">
        <f t="shared" ref="L329:R329" si="67">SUM(L306)</f>
        <v>0</v>
      </c>
      <c r="M329" s="358">
        <f t="shared" si="67"/>
        <v>61</v>
      </c>
      <c r="N329" s="358">
        <f t="shared" si="67"/>
        <v>0</v>
      </c>
      <c r="O329" s="358">
        <f t="shared" si="67"/>
        <v>0</v>
      </c>
      <c r="P329" s="358">
        <f t="shared" si="67"/>
        <v>0</v>
      </c>
      <c r="Q329" s="358">
        <f t="shared" si="67"/>
        <v>0</v>
      </c>
      <c r="R329" s="359">
        <f t="shared" si="67"/>
        <v>0</v>
      </c>
      <c r="S329" s="154"/>
      <c r="T329" s="154"/>
      <c r="U329" s="154"/>
      <c r="V329" s="154"/>
      <c r="W329" s="154"/>
      <c r="X329" s="154"/>
      <c r="Y329" s="154"/>
      <c r="Z329" s="154"/>
      <c r="AA329" s="154"/>
      <c r="AB329" s="154"/>
      <c r="AC329" s="154"/>
      <c r="AD329" s="154"/>
      <c r="AE329" s="154"/>
    </row>
    <row r="330" spans="1:31" s="58" customFormat="1" ht="18" customHeight="1" thickBot="1" x14ac:dyDescent="0.35">
      <c r="A330" s="129">
        <v>321</v>
      </c>
      <c r="B330" s="1365"/>
      <c r="C330" s="1405"/>
      <c r="D330" s="1406"/>
      <c r="E330" s="1407" t="s">
        <v>1250</v>
      </c>
      <c r="F330" s="1408"/>
      <c r="G330" s="1408"/>
      <c r="H330" s="1408"/>
      <c r="I330" s="1719"/>
      <c r="J330" s="1409">
        <f>SUM(K330:R330)</f>
        <v>1945752</v>
      </c>
      <c r="K330" s="1410">
        <f>SUM(K328:K329)</f>
        <v>1229649</v>
      </c>
      <c r="L330" s="1410">
        <f t="shared" ref="L330:R330" si="68">SUM(L328:L329)</f>
        <v>242777</v>
      </c>
      <c r="M330" s="1410">
        <f t="shared" si="68"/>
        <v>440439</v>
      </c>
      <c r="N330" s="1410">
        <f t="shared" si="68"/>
        <v>0</v>
      </c>
      <c r="O330" s="1410">
        <f t="shared" si="68"/>
        <v>0</v>
      </c>
      <c r="P330" s="1410">
        <f t="shared" si="68"/>
        <v>32887</v>
      </c>
      <c r="Q330" s="1410">
        <f t="shared" si="68"/>
        <v>0</v>
      </c>
      <c r="R330" s="1894">
        <f t="shared" si="68"/>
        <v>0</v>
      </c>
      <c r="S330" s="291"/>
      <c r="T330" s="291"/>
      <c r="U330" s="291"/>
      <c r="V330" s="291"/>
      <c r="W330" s="291"/>
      <c r="X330" s="291"/>
      <c r="Y330" s="291"/>
      <c r="Z330" s="291"/>
      <c r="AA330" s="291"/>
      <c r="AB330" s="291"/>
      <c r="AC330" s="291"/>
      <c r="AD330" s="291"/>
      <c r="AE330" s="291"/>
    </row>
    <row r="331" spans="1:31" s="879" customFormat="1" ht="18" customHeight="1" x14ac:dyDescent="0.3">
      <c r="A331" s="877"/>
      <c r="B331" s="881" t="s">
        <v>27</v>
      </c>
      <c r="C331" s="881"/>
      <c r="D331" s="881"/>
      <c r="E331" s="878"/>
      <c r="F331" s="529"/>
      <c r="G331" s="530"/>
      <c r="H331" s="530"/>
      <c r="I331" s="530"/>
      <c r="J331" s="531"/>
      <c r="K331" s="530"/>
      <c r="L331" s="530"/>
      <c r="M331" s="530"/>
      <c r="N331" s="530"/>
      <c r="O331" s="530"/>
      <c r="P331" s="530"/>
      <c r="Q331" s="530"/>
      <c r="R331" s="530"/>
      <c r="S331" s="1274"/>
      <c r="T331" s="1274"/>
      <c r="U331" s="1274"/>
      <c r="V331" s="1274"/>
      <c r="W331" s="1274"/>
      <c r="X331" s="1274"/>
      <c r="Y331" s="1274"/>
      <c r="Z331" s="1274"/>
      <c r="AA331" s="1274"/>
      <c r="AB331" s="1274"/>
      <c r="AC331" s="1274"/>
      <c r="AD331" s="1274"/>
      <c r="AE331" s="1274"/>
    </row>
    <row r="332" spans="1:31" s="153" customFormat="1" ht="18" customHeight="1" x14ac:dyDescent="0.3">
      <c r="A332" s="877"/>
      <c r="B332" s="880" t="s">
        <v>28</v>
      </c>
      <c r="C332" s="880"/>
      <c r="D332" s="880"/>
      <c r="E332" s="54"/>
      <c r="F332" s="54"/>
      <c r="G332" s="54"/>
      <c r="H332" s="54"/>
      <c r="I332" s="54"/>
      <c r="J332" s="54"/>
      <c r="K332" s="114"/>
      <c r="L332" s="114"/>
      <c r="M332" s="114"/>
      <c r="N332" s="114"/>
      <c r="O332" s="114"/>
      <c r="P332" s="114"/>
      <c r="Q332" s="114"/>
      <c r="R332" s="114"/>
      <c r="S332" s="155"/>
      <c r="T332" s="155"/>
      <c r="U332" s="155"/>
      <c r="V332" s="155"/>
      <c r="W332" s="155"/>
      <c r="X332" s="155"/>
      <c r="Y332" s="155"/>
      <c r="Z332" s="155"/>
      <c r="AA332" s="155"/>
      <c r="AB332" s="155"/>
      <c r="AC332" s="155"/>
      <c r="AD332" s="155"/>
      <c r="AE332" s="155"/>
    </row>
    <row r="333" spans="1:31" s="53" customFormat="1" ht="18" customHeight="1" x14ac:dyDescent="0.3">
      <c r="A333" s="877"/>
      <c r="B333" s="880" t="s">
        <v>29</v>
      </c>
      <c r="C333" s="880"/>
      <c r="D333" s="880"/>
      <c r="E333" s="54"/>
      <c r="F333" s="451"/>
      <c r="G333" s="114"/>
      <c r="H333" s="114"/>
      <c r="I333" s="114"/>
      <c r="J333" s="1943"/>
      <c r="K333" s="114"/>
      <c r="L333" s="114"/>
      <c r="M333" s="114"/>
      <c r="N333" s="114"/>
      <c r="O333" s="114"/>
      <c r="P333" s="114"/>
      <c r="Q333" s="114"/>
      <c r="R333" s="114"/>
      <c r="S333" s="289"/>
      <c r="T333" s="289"/>
      <c r="U333" s="289"/>
      <c r="V333" s="289"/>
      <c r="W333" s="289"/>
      <c r="X333" s="289"/>
      <c r="Y333" s="289"/>
      <c r="Z333" s="289"/>
      <c r="AA333" s="289"/>
      <c r="AB333" s="289"/>
      <c r="AC333" s="289"/>
      <c r="AD333" s="289"/>
      <c r="AE333" s="289"/>
    </row>
    <row r="334" spans="1:31" x14ac:dyDescent="0.3">
      <c r="G334" s="289">
        <f>+G308-G314-G320-G326</f>
        <v>0</v>
      </c>
      <c r="H334" s="289">
        <f t="shared" ref="H334:I334" si="69">+H308-H314-H320-H326</f>
        <v>0</v>
      </c>
      <c r="I334" s="1712">
        <f t="shared" si="69"/>
        <v>0</v>
      </c>
      <c r="J334" s="155">
        <f t="shared" ref="J334:R334" si="70">+J309-J315-J321-J327</f>
        <v>0</v>
      </c>
      <c r="K334" s="155">
        <f t="shared" si="70"/>
        <v>0</v>
      </c>
      <c r="L334" s="155">
        <f t="shared" si="70"/>
        <v>0</v>
      </c>
      <c r="M334" s="155">
        <f t="shared" si="70"/>
        <v>0</v>
      </c>
      <c r="N334" s="155">
        <f t="shared" si="70"/>
        <v>0</v>
      </c>
      <c r="O334" s="155">
        <f t="shared" si="70"/>
        <v>0</v>
      </c>
      <c r="P334" s="155">
        <f t="shared" si="70"/>
        <v>0</v>
      </c>
      <c r="Q334" s="155">
        <f t="shared" si="70"/>
        <v>0</v>
      </c>
      <c r="R334" s="155">
        <f t="shared" si="70"/>
        <v>0</v>
      </c>
    </row>
    <row r="335" spans="1:31" x14ac:dyDescent="0.3">
      <c r="J335" s="155">
        <f t="shared" ref="J335:R335" si="71">+J311-J317-J323-J329</f>
        <v>0</v>
      </c>
      <c r="K335" s="155">
        <f t="shared" si="71"/>
        <v>0</v>
      </c>
      <c r="L335" s="155">
        <f t="shared" si="71"/>
        <v>0</v>
      </c>
      <c r="M335" s="155">
        <f t="shared" si="71"/>
        <v>0</v>
      </c>
      <c r="N335" s="155">
        <f t="shared" si="71"/>
        <v>0</v>
      </c>
      <c r="O335" s="155">
        <f t="shared" si="71"/>
        <v>0</v>
      </c>
      <c r="P335" s="155">
        <f>+P311-P317-P323-P329</f>
        <v>0</v>
      </c>
      <c r="Q335" s="155">
        <f t="shared" si="71"/>
        <v>0</v>
      </c>
      <c r="R335" s="155">
        <f t="shared" si="71"/>
        <v>0</v>
      </c>
    </row>
    <row r="336" spans="1:31" x14ac:dyDescent="0.3">
      <c r="J336" s="155">
        <f t="shared" ref="J336:R336" si="72">+J312-J318-J324-J330</f>
        <v>0</v>
      </c>
      <c r="K336" s="155">
        <f t="shared" si="72"/>
        <v>0</v>
      </c>
      <c r="L336" s="155">
        <f t="shared" si="72"/>
        <v>0</v>
      </c>
      <c r="M336" s="155">
        <f t="shared" si="72"/>
        <v>0</v>
      </c>
      <c r="N336" s="155">
        <f t="shared" si="72"/>
        <v>0</v>
      </c>
      <c r="O336" s="155">
        <f t="shared" si="72"/>
        <v>0</v>
      </c>
      <c r="P336" s="155">
        <f t="shared" si="72"/>
        <v>0</v>
      </c>
      <c r="Q336" s="155">
        <f t="shared" si="72"/>
        <v>0</v>
      </c>
      <c r="R336" s="155">
        <f t="shared" si="72"/>
        <v>0</v>
      </c>
    </row>
  </sheetData>
  <mergeCells count="43">
    <mergeCell ref="D142:E142"/>
    <mergeCell ref="B325:E325"/>
    <mergeCell ref="B326:F326"/>
    <mergeCell ref="D274:E274"/>
    <mergeCell ref="D302:E302"/>
    <mergeCell ref="C303:E303"/>
    <mergeCell ref="B308:E308"/>
    <mergeCell ref="B313:E313"/>
    <mergeCell ref="B314:F314"/>
    <mergeCell ref="B319:E319"/>
    <mergeCell ref="B320:F320"/>
    <mergeCell ref="F8:F9"/>
    <mergeCell ref="G8:G9"/>
    <mergeCell ref="D252:E252"/>
    <mergeCell ref="C53:E53"/>
    <mergeCell ref="C79:E79"/>
    <mergeCell ref="D146:E146"/>
    <mergeCell ref="D157:E157"/>
    <mergeCell ref="D241:E241"/>
    <mergeCell ref="B181:E181"/>
    <mergeCell ref="D221:E221"/>
    <mergeCell ref="D223:E223"/>
    <mergeCell ref="D228:E228"/>
    <mergeCell ref="D233:G233"/>
    <mergeCell ref="D162:E162"/>
    <mergeCell ref="D239:E239"/>
    <mergeCell ref="C171:E171"/>
    <mergeCell ref="B1:R1"/>
    <mergeCell ref="B2:R2"/>
    <mergeCell ref="K8:O8"/>
    <mergeCell ref="P8:R8"/>
    <mergeCell ref="D48:E48"/>
    <mergeCell ref="H8:H9"/>
    <mergeCell ref="I8:I9"/>
    <mergeCell ref="J8:J9"/>
    <mergeCell ref="D43:E43"/>
    <mergeCell ref="B4:R4"/>
    <mergeCell ref="B5:R5"/>
    <mergeCell ref="Q6:R6"/>
    <mergeCell ref="D7:E7"/>
    <mergeCell ref="B8:B9"/>
    <mergeCell ref="C8:C9"/>
    <mergeCell ref="D8:E9"/>
  </mergeCells>
  <printOptions horizontalCentered="1"/>
  <pageMargins left="0.19685039370078741" right="0.19685039370078741" top="0.59055118110236227" bottom="0.59055118110236227" header="0.51181102362204722" footer="0.51181102362204722"/>
  <pageSetup paperSize="9" scale="55" fitToHeight="0" orientation="landscape" r:id="rId1"/>
  <headerFooter alignWithMargins="0">
    <oddFooter>&amp;C - &amp;P -</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IP150"/>
  <sheetViews>
    <sheetView view="pageBreakPreview" zoomScaleNormal="100" zoomScaleSheetLayoutView="100" workbookViewId="0">
      <selection activeCell="B1" sqref="B1:L1"/>
    </sheetView>
  </sheetViews>
  <sheetFormatPr defaultColWidth="9.140625" defaultRowHeight="15" x14ac:dyDescent="0.3"/>
  <cols>
    <col min="1" max="1" width="3.7109375" style="901" customWidth="1"/>
    <col min="2" max="2" width="5.7109375" style="891" customWidth="1"/>
    <col min="3" max="3" width="5.7109375" style="892" customWidth="1"/>
    <col min="4" max="4" width="59.7109375" style="893" customWidth="1"/>
    <col min="5" max="5" width="6.7109375" style="894" customWidth="1"/>
    <col min="6" max="7" width="13.7109375" style="949" customWidth="1"/>
    <col min="8" max="9" width="13.7109375" style="1434" customWidth="1"/>
    <col min="10" max="10" width="15.7109375" style="1900" customWidth="1"/>
    <col min="11" max="11" width="15.7109375" style="1880" customWidth="1"/>
    <col min="12" max="12" width="15.7109375" style="1900" customWidth="1"/>
    <col min="13" max="16384" width="9.140625" style="896"/>
  </cols>
  <sheetData>
    <row r="1" spans="1:250" ht="17.25" x14ac:dyDescent="0.35">
      <c r="A1" s="1432"/>
      <c r="B1" s="2245" t="s">
        <v>1366</v>
      </c>
      <c r="C1" s="2245"/>
      <c r="D1" s="2245"/>
      <c r="E1" s="2245"/>
      <c r="F1" s="2245"/>
      <c r="G1" s="2245"/>
      <c r="H1" s="2245"/>
      <c r="I1" s="2245"/>
      <c r="J1" s="2245"/>
      <c r="K1" s="2245"/>
      <c r="L1" s="2245"/>
    </row>
    <row r="2" spans="1:250" s="889" customFormat="1" ht="18" customHeight="1" x14ac:dyDescent="0.3">
      <c r="A2" s="1432"/>
      <c r="B2" s="2246" t="s">
        <v>1148</v>
      </c>
      <c r="C2" s="2246"/>
      <c r="D2" s="2246"/>
      <c r="E2" s="2246"/>
      <c r="F2" s="2246"/>
      <c r="G2" s="2246"/>
      <c r="H2" s="2246"/>
      <c r="I2" s="2246"/>
      <c r="J2" s="2246"/>
      <c r="K2" s="2246"/>
      <c r="L2" s="2246"/>
      <c r="M2" s="1433"/>
      <c r="N2" s="1433"/>
      <c r="O2" s="1433"/>
      <c r="P2" s="1433"/>
      <c r="Q2" s="1433"/>
      <c r="R2" s="1433"/>
      <c r="S2" s="1433"/>
      <c r="T2" s="1433"/>
      <c r="U2" s="1433"/>
      <c r="V2" s="1433"/>
      <c r="W2" s="1433"/>
      <c r="X2" s="1433"/>
      <c r="Y2" s="1433"/>
      <c r="Z2" s="1433"/>
      <c r="AA2" s="1433"/>
      <c r="AB2" s="1433"/>
      <c r="AC2" s="1433"/>
      <c r="AD2" s="1433"/>
      <c r="AE2" s="1433"/>
      <c r="AF2" s="1433"/>
      <c r="AG2" s="1433"/>
      <c r="AH2" s="1433"/>
      <c r="AI2" s="1433"/>
      <c r="AJ2" s="1433"/>
      <c r="AK2" s="1433"/>
      <c r="AL2" s="1433"/>
      <c r="AM2" s="1433"/>
      <c r="AN2" s="1433"/>
      <c r="AO2" s="1433"/>
      <c r="AP2" s="1433"/>
      <c r="AQ2" s="1433"/>
      <c r="AR2" s="1433"/>
      <c r="AS2" s="1433"/>
      <c r="AT2" s="1433"/>
      <c r="AU2" s="1433"/>
      <c r="AV2" s="1433"/>
      <c r="AW2" s="1433"/>
      <c r="AX2" s="1433"/>
      <c r="AY2" s="1433"/>
      <c r="AZ2" s="1433"/>
      <c r="BA2" s="1433"/>
      <c r="BB2" s="1433"/>
      <c r="BC2" s="1433"/>
      <c r="BD2" s="1433"/>
      <c r="BE2" s="1433"/>
      <c r="BF2" s="1433"/>
      <c r="BG2" s="1433"/>
      <c r="BH2" s="1433"/>
      <c r="BI2" s="1433"/>
      <c r="BJ2" s="1433"/>
      <c r="BK2" s="1433"/>
      <c r="BL2" s="1433"/>
      <c r="BM2" s="1433"/>
      <c r="BN2" s="1433"/>
      <c r="BO2" s="1433"/>
      <c r="BP2" s="1433"/>
      <c r="BQ2" s="1433"/>
      <c r="BR2" s="1433"/>
      <c r="BS2" s="1433"/>
      <c r="BT2" s="1433"/>
      <c r="BU2" s="1433"/>
      <c r="BV2" s="1433"/>
      <c r="BW2" s="1433"/>
      <c r="BX2" s="1433"/>
      <c r="BY2" s="1433"/>
      <c r="BZ2" s="1433"/>
      <c r="CA2" s="1433"/>
      <c r="CB2" s="1433"/>
      <c r="CC2" s="1433"/>
      <c r="CD2" s="1433"/>
      <c r="CE2" s="1433"/>
      <c r="CF2" s="1433"/>
      <c r="CG2" s="1433"/>
      <c r="CH2" s="1433"/>
      <c r="CI2" s="1433"/>
      <c r="CJ2" s="1433"/>
      <c r="CK2" s="1433"/>
      <c r="CL2" s="1433"/>
      <c r="CM2" s="1433"/>
      <c r="CN2" s="1433"/>
      <c r="CO2" s="1433"/>
      <c r="CP2" s="1433"/>
      <c r="CQ2" s="1433"/>
      <c r="CR2" s="1433"/>
      <c r="CS2" s="1433"/>
      <c r="CT2" s="1433"/>
      <c r="CU2" s="1433"/>
      <c r="CV2" s="1433"/>
      <c r="CW2" s="1433"/>
      <c r="CX2" s="1433"/>
      <c r="CY2" s="1433"/>
      <c r="CZ2" s="1433"/>
      <c r="DA2" s="1433"/>
      <c r="DB2" s="1433"/>
      <c r="DC2" s="1433"/>
      <c r="DD2" s="1433"/>
      <c r="DE2" s="1433"/>
      <c r="DF2" s="1433"/>
      <c r="DG2" s="1433"/>
      <c r="DH2" s="1433"/>
      <c r="DI2" s="1433"/>
      <c r="DJ2" s="1433"/>
      <c r="DK2" s="1433"/>
      <c r="DL2" s="1433"/>
      <c r="DM2" s="1433"/>
      <c r="DN2" s="1433"/>
      <c r="DO2" s="1433"/>
      <c r="DP2" s="1433"/>
      <c r="DQ2" s="1433"/>
      <c r="DR2" s="1433"/>
      <c r="DS2" s="1433"/>
      <c r="DT2" s="1433"/>
      <c r="DU2" s="1433"/>
      <c r="DV2" s="1433"/>
      <c r="DW2" s="1433"/>
      <c r="DX2" s="1433"/>
      <c r="DY2" s="1433"/>
      <c r="DZ2" s="1433"/>
      <c r="EA2" s="1433"/>
      <c r="EB2" s="1433"/>
      <c r="EC2" s="1433"/>
      <c r="ED2" s="1433"/>
      <c r="EE2" s="1433"/>
      <c r="EF2" s="1433"/>
      <c r="EG2" s="1433"/>
      <c r="EH2" s="1433"/>
      <c r="EI2" s="1433"/>
      <c r="EJ2" s="1433"/>
      <c r="EK2" s="1433"/>
      <c r="EL2" s="1433"/>
      <c r="EM2" s="1433"/>
      <c r="EN2" s="1433"/>
      <c r="EO2" s="1433"/>
      <c r="EP2" s="1433"/>
      <c r="EQ2" s="1433"/>
      <c r="ER2" s="1433"/>
      <c r="ES2" s="1433"/>
      <c r="ET2" s="1433"/>
      <c r="EU2" s="1433"/>
      <c r="EV2" s="1433"/>
      <c r="EW2" s="1433"/>
      <c r="EX2" s="1433"/>
      <c r="EY2" s="1433"/>
      <c r="EZ2" s="1433"/>
      <c r="FA2" s="1433"/>
      <c r="FB2" s="1433"/>
      <c r="FC2" s="1433"/>
      <c r="FD2" s="1433"/>
      <c r="FE2" s="1433"/>
      <c r="FF2" s="1433"/>
      <c r="FG2" s="1433"/>
      <c r="FH2" s="1433"/>
      <c r="FI2" s="1433"/>
      <c r="FJ2" s="1433"/>
      <c r="FK2" s="1433"/>
      <c r="FL2" s="1433"/>
      <c r="FM2" s="1433"/>
      <c r="FN2" s="1433"/>
      <c r="FO2" s="1433"/>
      <c r="FP2" s="1433"/>
      <c r="FQ2" s="1433"/>
      <c r="FR2" s="1433"/>
      <c r="FS2" s="1433"/>
      <c r="FT2" s="1433"/>
      <c r="FU2" s="1433"/>
      <c r="FV2" s="1433"/>
      <c r="FW2" s="1433"/>
      <c r="FX2" s="1433"/>
      <c r="FY2" s="1433"/>
      <c r="FZ2" s="1433"/>
      <c r="GA2" s="1433"/>
      <c r="GB2" s="1433"/>
      <c r="GC2" s="1433"/>
      <c r="GD2" s="1433"/>
      <c r="GE2" s="1433"/>
      <c r="GF2" s="1433"/>
      <c r="GG2" s="1433"/>
      <c r="GH2" s="1433"/>
      <c r="GI2" s="1433"/>
      <c r="GJ2" s="1433"/>
      <c r="GK2" s="1433"/>
      <c r="GL2" s="1433"/>
      <c r="GM2" s="1433"/>
      <c r="GN2" s="1433"/>
      <c r="GO2" s="1433"/>
      <c r="GP2" s="1433"/>
      <c r="GQ2" s="1433"/>
      <c r="GR2" s="1433"/>
      <c r="GS2" s="1433"/>
      <c r="GT2" s="1433"/>
      <c r="GU2" s="1433"/>
      <c r="GV2" s="1433"/>
      <c r="GW2" s="1433"/>
      <c r="GX2" s="1433"/>
      <c r="GY2" s="1433"/>
      <c r="GZ2" s="1433"/>
      <c r="HA2" s="1433"/>
      <c r="HB2" s="1433"/>
      <c r="HC2" s="1433"/>
      <c r="HD2" s="1433"/>
      <c r="HE2" s="1433"/>
      <c r="HF2" s="1433"/>
      <c r="HG2" s="1433"/>
      <c r="HH2" s="1433"/>
      <c r="HI2" s="1433"/>
      <c r="HJ2" s="1433"/>
      <c r="HK2" s="1433"/>
      <c r="HL2" s="1433"/>
      <c r="HM2" s="1433"/>
      <c r="HN2" s="1433"/>
      <c r="HO2" s="1433"/>
      <c r="HP2" s="1433"/>
      <c r="HQ2" s="1433"/>
      <c r="HR2" s="1433"/>
      <c r="HS2" s="1433"/>
      <c r="HT2" s="1433"/>
      <c r="HU2" s="1433"/>
      <c r="HV2" s="1433"/>
      <c r="HW2" s="1433"/>
      <c r="HX2" s="1433"/>
      <c r="HY2" s="1433"/>
      <c r="HZ2" s="1433"/>
      <c r="IA2" s="1433"/>
      <c r="IB2" s="1433"/>
      <c r="IC2" s="1433"/>
      <c r="ID2" s="1433"/>
      <c r="IE2" s="1433"/>
      <c r="IF2" s="1433"/>
      <c r="IG2" s="1433"/>
      <c r="IH2" s="1433"/>
      <c r="II2" s="1433"/>
      <c r="IJ2" s="1433"/>
      <c r="IK2" s="1433"/>
      <c r="IL2" s="1433"/>
      <c r="IM2" s="1433"/>
      <c r="IN2" s="1433"/>
      <c r="IO2" s="1433"/>
      <c r="IP2" s="1433"/>
    </row>
    <row r="3" spans="1:250" s="889" customFormat="1" ht="18" customHeight="1" x14ac:dyDescent="0.3">
      <c r="A3" s="1432"/>
      <c r="B3" s="1975"/>
      <c r="C3" s="1975"/>
      <c r="D3" s="1975"/>
      <c r="E3" s="1975"/>
      <c r="F3" s="1975"/>
      <c r="G3" s="1975"/>
      <c r="H3" s="1975"/>
      <c r="I3" s="1975"/>
      <c r="J3" s="1975"/>
      <c r="K3" s="1975"/>
      <c r="L3" s="1975"/>
      <c r="M3" s="1433"/>
      <c r="N3" s="1433"/>
      <c r="O3" s="1433"/>
      <c r="P3" s="1433"/>
      <c r="Q3" s="1433"/>
      <c r="R3" s="1433"/>
      <c r="S3" s="1433"/>
      <c r="T3" s="1433"/>
      <c r="U3" s="1433"/>
      <c r="V3" s="1433"/>
      <c r="W3" s="1433"/>
      <c r="X3" s="1433"/>
      <c r="Y3" s="1433"/>
      <c r="Z3" s="1433"/>
      <c r="AA3" s="1433"/>
      <c r="AB3" s="1433"/>
      <c r="AC3" s="1433"/>
      <c r="AD3" s="1433"/>
      <c r="AE3" s="1433"/>
      <c r="AF3" s="1433"/>
      <c r="AG3" s="1433"/>
      <c r="AH3" s="1433"/>
      <c r="AI3" s="1433"/>
      <c r="AJ3" s="1433"/>
      <c r="AK3" s="1433"/>
      <c r="AL3" s="1433"/>
      <c r="AM3" s="1433"/>
      <c r="AN3" s="1433"/>
      <c r="AO3" s="1433"/>
      <c r="AP3" s="1433"/>
      <c r="AQ3" s="1433"/>
      <c r="AR3" s="1433"/>
      <c r="AS3" s="1433"/>
      <c r="AT3" s="1433"/>
      <c r="AU3" s="1433"/>
      <c r="AV3" s="1433"/>
      <c r="AW3" s="1433"/>
      <c r="AX3" s="1433"/>
      <c r="AY3" s="1433"/>
      <c r="AZ3" s="1433"/>
      <c r="BA3" s="1433"/>
      <c r="BB3" s="1433"/>
      <c r="BC3" s="1433"/>
      <c r="BD3" s="1433"/>
      <c r="BE3" s="1433"/>
      <c r="BF3" s="1433"/>
      <c r="BG3" s="1433"/>
      <c r="BH3" s="1433"/>
      <c r="BI3" s="1433"/>
      <c r="BJ3" s="1433"/>
      <c r="BK3" s="1433"/>
      <c r="BL3" s="1433"/>
      <c r="BM3" s="1433"/>
      <c r="BN3" s="1433"/>
      <c r="BO3" s="1433"/>
      <c r="BP3" s="1433"/>
      <c r="BQ3" s="1433"/>
      <c r="BR3" s="1433"/>
      <c r="BS3" s="1433"/>
      <c r="BT3" s="1433"/>
      <c r="BU3" s="1433"/>
      <c r="BV3" s="1433"/>
      <c r="BW3" s="1433"/>
      <c r="BX3" s="1433"/>
      <c r="BY3" s="1433"/>
      <c r="BZ3" s="1433"/>
      <c r="CA3" s="1433"/>
      <c r="CB3" s="1433"/>
      <c r="CC3" s="1433"/>
      <c r="CD3" s="1433"/>
      <c r="CE3" s="1433"/>
      <c r="CF3" s="1433"/>
      <c r="CG3" s="1433"/>
      <c r="CH3" s="1433"/>
      <c r="CI3" s="1433"/>
      <c r="CJ3" s="1433"/>
      <c r="CK3" s="1433"/>
      <c r="CL3" s="1433"/>
      <c r="CM3" s="1433"/>
      <c r="CN3" s="1433"/>
      <c r="CO3" s="1433"/>
      <c r="CP3" s="1433"/>
      <c r="CQ3" s="1433"/>
      <c r="CR3" s="1433"/>
      <c r="CS3" s="1433"/>
      <c r="CT3" s="1433"/>
      <c r="CU3" s="1433"/>
      <c r="CV3" s="1433"/>
      <c r="CW3" s="1433"/>
      <c r="CX3" s="1433"/>
      <c r="CY3" s="1433"/>
      <c r="CZ3" s="1433"/>
      <c r="DA3" s="1433"/>
      <c r="DB3" s="1433"/>
      <c r="DC3" s="1433"/>
      <c r="DD3" s="1433"/>
      <c r="DE3" s="1433"/>
      <c r="DF3" s="1433"/>
      <c r="DG3" s="1433"/>
      <c r="DH3" s="1433"/>
      <c r="DI3" s="1433"/>
      <c r="DJ3" s="1433"/>
      <c r="DK3" s="1433"/>
      <c r="DL3" s="1433"/>
      <c r="DM3" s="1433"/>
      <c r="DN3" s="1433"/>
      <c r="DO3" s="1433"/>
      <c r="DP3" s="1433"/>
      <c r="DQ3" s="1433"/>
      <c r="DR3" s="1433"/>
      <c r="DS3" s="1433"/>
      <c r="DT3" s="1433"/>
      <c r="DU3" s="1433"/>
      <c r="DV3" s="1433"/>
      <c r="DW3" s="1433"/>
      <c r="DX3" s="1433"/>
      <c r="DY3" s="1433"/>
      <c r="DZ3" s="1433"/>
      <c r="EA3" s="1433"/>
      <c r="EB3" s="1433"/>
      <c r="EC3" s="1433"/>
      <c r="ED3" s="1433"/>
      <c r="EE3" s="1433"/>
      <c r="EF3" s="1433"/>
      <c r="EG3" s="1433"/>
      <c r="EH3" s="1433"/>
      <c r="EI3" s="1433"/>
      <c r="EJ3" s="1433"/>
      <c r="EK3" s="1433"/>
      <c r="EL3" s="1433"/>
      <c r="EM3" s="1433"/>
      <c r="EN3" s="1433"/>
      <c r="EO3" s="1433"/>
      <c r="EP3" s="1433"/>
      <c r="EQ3" s="1433"/>
      <c r="ER3" s="1433"/>
      <c r="ES3" s="1433"/>
      <c r="ET3" s="1433"/>
      <c r="EU3" s="1433"/>
      <c r="EV3" s="1433"/>
      <c r="EW3" s="1433"/>
      <c r="EX3" s="1433"/>
      <c r="EY3" s="1433"/>
      <c r="EZ3" s="1433"/>
      <c r="FA3" s="1433"/>
      <c r="FB3" s="1433"/>
      <c r="FC3" s="1433"/>
      <c r="FD3" s="1433"/>
      <c r="FE3" s="1433"/>
      <c r="FF3" s="1433"/>
      <c r="FG3" s="1433"/>
      <c r="FH3" s="1433"/>
      <c r="FI3" s="1433"/>
      <c r="FJ3" s="1433"/>
      <c r="FK3" s="1433"/>
      <c r="FL3" s="1433"/>
      <c r="FM3" s="1433"/>
      <c r="FN3" s="1433"/>
      <c r="FO3" s="1433"/>
      <c r="FP3" s="1433"/>
      <c r="FQ3" s="1433"/>
      <c r="FR3" s="1433"/>
      <c r="FS3" s="1433"/>
      <c r="FT3" s="1433"/>
      <c r="FU3" s="1433"/>
      <c r="FV3" s="1433"/>
      <c r="FW3" s="1433"/>
      <c r="FX3" s="1433"/>
      <c r="FY3" s="1433"/>
      <c r="FZ3" s="1433"/>
      <c r="GA3" s="1433"/>
      <c r="GB3" s="1433"/>
      <c r="GC3" s="1433"/>
      <c r="GD3" s="1433"/>
      <c r="GE3" s="1433"/>
      <c r="GF3" s="1433"/>
      <c r="GG3" s="1433"/>
      <c r="GH3" s="1433"/>
      <c r="GI3" s="1433"/>
      <c r="GJ3" s="1433"/>
      <c r="GK3" s="1433"/>
      <c r="GL3" s="1433"/>
      <c r="GM3" s="1433"/>
      <c r="GN3" s="1433"/>
      <c r="GO3" s="1433"/>
      <c r="GP3" s="1433"/>
      <c r="GQ3" s="1433"/>
      <c r="GR3" s="1433"/>
      <c r="GS3" s="1433"/>
      <c r="GT3" s="1433"/>
      <c r="GU3" s="1433"/>
      <c r="GV3" s="1433"/>
      <c r="GW3" s="1433"/>
      <c r="GX3" s="1433"/>
      <c r="GY3" s="1433"/>
      <c r="GZ3" s="1433"/>
      <c r="HA3" s="1433"/>
      <c r="HB3" s="1433"/>
      <c r="HC3" s="1433"/>
      <c r="HD3" s="1433"/>
      <c r="HE3" s="1433"/>
      <c r="HF3" s="1433"/>
      <c r="HG3" s="1433"/>
      <c r="HH3" s="1433"/>
      <c r="HI3" s="1433"/>
      <c r="HJ3" s="1433"/>
      <c r="HK3" s="1433"/>
      <c r="HL3" s="1433"/>
      <c r="HM3" s="1433"/>
      <c r="HN3" s="1433"/>
      <c r="HO3" s="1433"/>
      <c r="HP3" s="1433"/>
      <c r="HQ3" s="1433"/>
      <c r="HR3" s="1433"/>
      <c r="HS3" s="1433"/>
      <c r="HT3" s="1433"/>
      <c r="HU3" s="1433"/>
      <c r="HV3" s="1433"/>
      <c r="HW3" s="1433"/>
      <c r="HX3" s="1433"/>
      <c r="HY3" s="1433"/>
      <c r="HZ3" s="1433"/>
      <c r="IA3" s="1433"/>
      <c r="IB3" s="1433"/>
      <c r="IC3" s="1433"/>
      <c r="ID3" s="1433"/>
      <c r="IE3" s="1433"/>
      <c r="IF3" s="1433"/>
      <c r="IG3" s="1433"/>
      <c r="IH3" s="1433"/>
      <c r="II3" s="1433"/>
      <c r="IJ3" s="1433"/>
      <c r="IK3" s="1433"/>
      <c r="IL3" s="1433"/>
      <c r="IM3" s="1433"/>
      <c r="IN3" s="1433"/>
      <c r="IO3" s="1433"/>
      <c r="IP3" s="1433"/>
    </row>
    <row r="4" spans="1:250" s="889" customFormat="1" ht="24.75" customHeight="1" x14ac:dyDescent="0.35">
      <c r="A4" s="890"/>
      <c r="B4" s="2247" t="s">
        <v>142</v>
      </c>
      <c r="C4" s="2247"/>
      <c r="D4" s="2247"/>
      <c r="E4" s="2247"/>
      <c r="F4" s="2247"/>
      <c r="G4" s="2247"/>
      <c r="H4" s="2247"/>
      <c r="I4" s="2247"/>
      <c r="J4" s="2247"/>
      <c r="K4" s="2247"/>
      <c r="L4" s="2247"/>
    </row>
    <row r="5" spans="1:250" s="889" customFormat="1" ht="24.75" customHeight="1" x14ac:dyDescent="0.3">
      <c r="A5" s="890"/>
      <c r="B5" s="2248" t="s">
        <v>1136</v>
      </c>
      <c r="C5" s="2248"/>
      <c r="D5" s="2248"/>
      <c r="E5" s="2248"/>
      <c r="F5" s="2248"/>
      <c r="G5" s="2248"/>
      <c r="H5" s="2248"/>
      <c r="I5" s="2248"/>
      <c r="J5" s="2248"/>
      <c r="K5" s="2248"/>
      <c r="L5" s="2248"/>
    </row>
    <row r="6" spans="1:250" ht="18" customHeight="1" x14ac:dyDescent="0.3">
      <c r="A6" s="891"/>
      <c r="H6" s="895"/>
      <c r="I6" s="895"/>
      <c r="J6" s="1895"/>
      <c r="L6" s="1895" t="s">
        <v>0</v>
      </c>
    </row>
    <row r="7" spans="1:250" s="900" customFormat="1" ht="18" customHeight="1" thickBot="1" x14ac:dyDescent="0.35">
      <c r="A7" s="897"/>
      <c r="B7" s="898" t="s">
        <v>1</v>
      </c>
      <c r="C7" s="899" t="s">
        <v>3</v>
      </c>
      <c r="D7" s="899" t="s">
        <v>2</v>
      </c>
      <c r="E7" s="899" t="s">
        <v>4</v>
      </c>
      <c r="F7" s="899" t="s">
        <v>5</v>
      </c>
      <c r="G7" s="899" t="s">
        <v>15</v>
      </c>
      <c r="H7" s="899" t="s">
        <v>16</v>
      </c>
      <c r="I7" s="899" t="s">
        <v>17</v>
      </c>
      <c r="J7" s="899" t="s">
        <v>36</v>
      </c>
      <c r="K7" s="899" t="s">
        <v>30</v>
      </c>
      <c r="L7" s="899" t="s">
        <v>23</v>
      </c>
      <c r="M7" s="897"/>
      <c r="N7" s="897"/>
      <c r="O7" s="897"/>
      <c r="P7" s="897"/>
      <c r="Q7" s="897"/>
      <c r="R7" s="897"/>
      <c r="S7" s="897"/>
      <c r="T7" s="897"/>
      <c r="U7" s="897"/>
      <c r="V7" s="897"/>
      <c r="W7" s="897"/>
      <c r="X7" s="897"/>
      <c r="Y7" s="897"/>
      <c r="Z7" s="897"/>
      <c r="AA7" s="897"/>
      <c r="AB7" s="897"/>
      <c r="AC7" s="897"/>
      <c r="AD7" s="897"/>
      <c r="AE7" s="897"/>
      <c r="AF7" s="897"/>
      <c r="AG7" s="897"/>
      <c r="AH7" s="897"/>
      <c r="AI7" s="897"/>
      <c r="AJ7" s="897"/>
      <c r="AK7" s="897"/>
      <c r="AL7" s="897"/>
      <c r="AM7" s="897"/>
      <c r="AN7" s="897"/>
      <c r="AO7" s="897"/>
      <c r="AP7" s="897"/>
      <c r="AQ7" s="897"/>
      <c r="AR7" s="897"/>
      <c r="AS7" s="897"/>
      <c r="AT7" s="897"/>
      <c r="AU7" s="897"/>
      <c r="AV7" s="897"/>
      <c r="AW7" s="897"/>
      <c r="AX7" s="897"/>
      <c r="AY7" s="897"/>
      <c r="AZ7" s="897"/>
      <c r="BA7" s="897"/>
      <c r="BB7" s="897"/>
      <c r="BC7" s="897"/>
      <c r="BD7" s="897"/>
      <c r="BE7" s="897"/>
      <c r="BF7" s="897"/>
      <c r="BG7" s="897"/>
      <c r="BH7" s="897"/>
      <c r="BI7" s="897"/>
      <c r="BJ7" s="897"/>
      <c r="BK7" s="897"/>
      <c r="BL7" s="897"/>
      <c r="BM7" s="897"/>
      <c r="BN7" s="897"/>
      <c r="BO7" s="897"/>
      <c r="BP7" s="897"/>
      <c r="BQ7" s="897"/>
      <c r="BR7" s="897"/>
      <c r="BS7" s="897"/>
      <c r="BT7" s="897"/>
      <c r="BU7" s="897"/>
      <c r="BV7" s="897"/>
      <c r="BW7" s="897"/>
      <c r="BX7" s="897"/>
      <c r="BY7" s="897"/>
      <c r="BZ7" s="897"/>
      <c r="CA7" s="897"/>
      <c r="CB7" s="897"/>
      <c r="CC7" s="897"/>
      <c r="CD7" s="897"/>
      <c r="CE7" s="897"/>
      <c r="CF7" s="897"/>
      <c r="CG7" s="897"/>
      <c r="CH7" s="897"/>
      <c r="CI7" s="897"/>
      <c r="CJ7" s="897"/>
      <c r="CK7" s="897"/>
      <c r="CL7" s="897"/>
      <c r="CM7" s="897"/>
      <c r="CN7" s="897"/>
      <c r="CO7" s="897"/>
      <c r="CP7" s="897"/>
      <c r="CQ7" s="897"/>
      <c r="CR7" s="897"/>
      <c r="CS7" s="897"/>
      <c r="CT7" s="897"/>
      <c r="CU7" s="897"/>
      <c r="CV7" s="897"/>
      <c r="CW7" s="897"/>
      <c r="CX7" s="897"/>
      <c r="CY7" s="897"/>
      <c r="CZ7" s="897"/>
      <c r="DA7" s="897"/>
      <c r="DB7" s="897"/>
      <c r="DC7" s="897"/>
      <c r="DD7" s="897"/>
      <c r="DE7" s="897"/>
      <c r="DF7" s="897"/>
      <c r="DG7" s="897"/>
      <c r="DH7" s="897"/>
      <c r="DI7" s="897"/>
      <c r="DJ7" s="897"/>
      <c r="DK7" s="897"/>
      <c r="DL7" s="897"/>
      <c r="DM7" s="897"/>
      <c r="DN7" s="897"/>
      <c r="DO7" s="897"/>
      <c r="DP7" s="897"/>
      <c r="DQ7" s="897"/>
      <c r="DR7" s="897"/>
      <c r="DS7" s="897"/>
      <c r="DT7" s="897"/>
      <c r="DU7" s="897"/>
      <c r="DV7" s="897"/>
      <c r="DW7" s="897"/>
      <c r="DX7" s="897"/>
      <c r="DY7" s="897"/>
      <c r="DZ7" s="897"/>
      <c r="EA7" s="897"/>
      <c r="EB7" s="897"/>
      <c r="EC7" s="897"/>
      <c r="ED7" s="897"/>
      <c r="EE7" s="897"/>
      <c r="EF7" s="897"/>
      <c r="EG7" s="897"/>
      <c r="EH7" s="897"/>
      <c r="EI7" s="897"/>
      <c r="EJ7" s="897"/>
      <c r="EK7" s="897"/>
      <c r="EL7" s="897"/>
      <c r="EM7" s="897"/>
      <c r="EN7" s="897"/>
      <c r="EO7" s="897"/>
      <c r="EP7" s="897"/>
      <c r="EQ7" s="897"/>
      <c r="ER7" s="897"/>
      <c r="ES7" s="897"/>
      <c r="ET7" s="897"/>
      <c r="EU7" s="897"/>
      <c r="EV7" s="897"/>
      <c r="EW7" s="897"/>
      <c r="EX7" s="897"/>
      <c r="EY7" s="897"/>
      <c r="EZ7" s="897"/>
      <c r="FA7" s="897"/>
      <c r="FB7" s="897"/>
      <c r="FC7" s="897"/>
      <c r="FD7" s="897"/>
      <c r="FE7" s="897"/>
      <c r="FF7" s="897"/>
      <c r="FG7" s="897"/>
      <c r="FH7" s="897"/>
      <c r="FI7" s="897"/>
      <c r="FJ7" s="897"/>
      <c r="FK7" s="897"/>
      <c r="FL7" s="897"/>
      <c r="FM7" s="897"/>
      <c r="FN7" s="897"/>
      <c r="FO7" s="897"/>
      <c r="FP7" s="897"/>
      <c r="FQ7" s="897"/>
      <c r="FR7" s="897"/>
      <c r="FS7" s="897"/>
      <c r="FT7" s="897"/>
      <c r="FU7" s="897"/>
      <c r="FV7" s="897"/>
      <c r="FW7" s="897"/>
      <c r="FX7" s="897"/>
      <c r="FY7" s="897"/>
      <c r="FZ7" s="897"/>
      <c r="GA7" s="897"/>
      <c r="GB7" s="897"/>
      <c r="GC7" s="897"/>
      <c r="GD7" s="897"/>
      <c r="GE7" s="897"/>
      <c r="GF7" s="897"/>
      <c r="GG7" s="897"/>
      <c r="GH7" s="897"/>
      <c r="GI7" s="897"/>
      <c r="GJ7" s="897"/>
      <c r="GK7" s="897"/>
      <c r="GL7" s="897"/>
      <c r="GM7" s="897"/>
      <c r="GN7" s="897"/>
      <c r="GO7" s="897"/>
      <c r="GP7" s="897"/>
      <c r="GQ7" s="897"/>
      <c r="GR7" s="897"/>
      <c r="GS7" s="897"/>
      <c r="GT7" s="897"/>
      <c r="GU7" s="897"/>
      <c r="GV7" s="897"/>
      <c r="GW7" s="897"/>
      <c r="GX7" s="897"/>
      <c r="GY7" s="897"/>
      <c r="GZ7" s="897"/>
      <c r="HA7" s="897"/>
      <c r="HB7" s="897"/>
      <c r="HC7" s="897"/>
      <c r="HD7" s="897"/>
      <c r="HE7" s="897"/>
      <c r="HF7" s="897"/>
      <c r="HG7" s="897"/>
      <c r="HH7" s="897"/>
      <c r="HI7" s="897"/>
      <c r="HJ7" s="897"/>
      <c r="HK7" s="897"/>
      <c r="HL7" s="897"/>
      <c r="HM7" s="897"/>
      <c r="HN7" s="897"/>
      <c r="HO7" s="897"/>
      <c r="HP7" s="897"/>
      <c r="HQ7" s="897"/>
      <c r="HR7" s="897"/>
      <c r="HS7" s="897"/>
      <c r="HT7" s="897"/>
      <c r="HU7" s="897"/>
      <c r="HV7" s="897"/>
      <c r="HW7" s="897"/>
      <c r="HX7" s="897"/>
      <c r="HY7" s="897"/>
      <c r="HZ7" s="897"/>
      <c r="IA7" s="897"/>
      <c r="IB7" s="897"/>
      <c r="IC7" s="897"/>
      <c r="ID7" s="897"/>
      <c r="IE7" s="897"/>
      <c r="IF7" s="897"/>
      <c r="IG7" s="897"/>
      <c r="IH7" s="897"/>
      <c r="II7" s="897"/>
      <c r="IJ7" s="897"/>
      <c r="IK7" s="897"/>
      <c r="IL7" s="897"/>
      <c r="IM7" s="897"/>
      <c r="IN7" s="897"/>
      <c r="IO7" s="897"/>
      <c r="IP7" s="897"/>
    </row>
    <row r="8" spans="1:250" ht="30" customHeight="1" x14ac:dyDescent="0.3">
      <c r="B8" s="2249" t="s">
        <v>18</v>
      </c>
      <c r="C8" s="2251" t="s">
        <v>19</v>
      </c>
      <c r="D8" s="2253" t="s">
        <v>6</v>
      </c>
      <c r="E8" s="2255" t="s">
        <v>299</v>
      </c>
      <c r="F8" s="2257" t="s">
        <v>627</v>
      </c>
      <c r="G8" s="2257" t="s">
        <v>628</v>
      </c>
      <c r="H8" s="2259" t="s">
        <v>877</v>
      </c>
      <c r="I8" s="2267" t="s">
        <v>1025</v>
      </c>
      <c r="J8" s="2261" t="s">
        <v>1252</v>
      </c>
      <c r="K8" s="2263" t="s">
        <v>123</v>
      </c>
      <c r="L8" s="2265" t="s">
        <v>1248</v>
      </c>
    </row>
    <row r="9" spans="1:250" ht="60.75" customHeight="1" thickBot="1" x14ac:dyDescent="0.35">
      <c r="B9" s="2250"/>
      <c r="C9" s="2252"/>
      <c r="D9" s="2254"/>
      <c r="E9" s="2256"/>
      <c r="F9" s="2258"/>
      <c r="G9" s="2258"/>
      <c r="H9" s="2260"/>
      <c r="I9" s="2268"/>
      <c r="J9" s="2262"/>
      <c r="K9" s="2264"/>
      <c r="L9" s="2266"/>
    </row>
    <row r="10" spans="1:250" ht="20.100000000000001" customHeight="1" x14ac:dyDescent="0.3">
      <c r="A10" s="901">
        <v>1</v>
      </c>
      <c r="B10" s="1685"/>
      <c r="C10" s="2269" t="s">
        <v>229</v>
      </c>
      <c r="D10" s="2270"/>
      <c r="E10" s="1686"/>
      <c r="F10" s="1687"/>
      <c r="G10" s="1687"/>
      <c r="H10" s="1851"/>
      <c r="I10" s="1856"/>
      <c r="J10" s="1689"/>
      <c r="K10" s="1881"/>
      <c r="L10" s="1688"/>
    </row>
    <row r="11" spans="1:250" s="907" customFormat="1" ht="22.5" customHeight="1" x14ac:dyDescent="0.3">
      <c r="A11" s="902">
        <v>2</v>
      </c>
      <c r="B11" s="903">
        <v>1</v>
      </c>
      <c r="C11" s="904" t="s">
        <v>311</v>
      </c>
      <c r="D11" s="906"/>
      <c r="E11" s="905" t="s">
        <v>23</v>
      </c>
      <c r="F11" s="956">
        <v>1695</v>
      </c>
      <c r="G11" s="951">
        <v>1800</v>
      </c>
      <c r="H11" s="1706">
        <v>3100</v>
      </c>
      <c r="I11" s="1857"/>
      <c r="J11" s="1896"/>
      <c r="K11" s="1904"/>
      <c r="L11" s="1901"/>
    </row>
    <row r="12" spans="1:250" s="909" customFormat="1" ht="18" customHeight="1" x14ac:dyDescent="0.3">
      <c r="A12" s="891">
        <v>3</v>
      </c>
      <c r="B12" s="903"/>
      <c r="C12" s="908">
        <v>1</v>
      </c>
      <c r="D12" s="915" t="s">
        <v>796</v>
      </c>
      <c r="E12" s="905"/>
      <c r="F12" s="952"/>
      <c r="G12" s="953"/>
      <c r="H12" s="1707"/>
      <c r="I12" s="1858">
        <v>510</v>
      </c>
      <c r="J12" s="1897">
        <v>502</v>
      </c>
      <c r="K12" s="1905"/>
      <c r="L12" s="1902">
        <f>SUM(J12:K12)</f>
        <v>502</v>
      </c>
    </row>
    <row r="13" spans="1:250" s="909" customFormat="1" ht="59.25" customHeight="1" x14ac:dyDescent="0.3">
      <c r="A13" s="901">
        <v>4</v>
      </c>
      <c r="B13" s="903"/>
      <c r="C13" s="920">
        <v>2</v>
      </c>
      <c r="D13" s="963" t="s">
        <v>1171</v>
      </c>
      <c r="E13" s="905"/>
      <c r="F13" s="952"/>
      <c r="G13" s="953"/>
      <c r="H13" s="1707"/>
      <c r="I13" s="1858"/>
      <c r="J13" s="1897">
        <v>658</v>
      </c>
      <c r="K13" s="1905"/>
      <c r="L13" s="1902">
        <f>SUM(J13:K13)</f>
        <v>658</v>
      </c>
    </row>
    <row r="14" spans="1:250" s="909" customFormat="1" ht="18" customHeight="1" x14ac:dyDescent="0.3">
      <c r="A14" s="902">
        <v>5</v>
      </c>
      <c r="B14" s="903"/>
      <c r="C14" s="910" t="s">
        <v>466</v>
      </c>
      <c r="D14" s="911"/>
      <c r="E14" s="905"/>
      <c r="F14" s="952">
        <v>217</v>
      </c>
      <c r="G14" s="953">
        <v>900</v>
      </c>
      <c r="H14" s="1707">
        <v>1294</v>
      </c>
      <c r="I14" s="1858"/>
      <c r="J14" s="1897"/>
      <c r="K14" s="1905"/>
      <c r="L14" s="1902"/>
    </row>
    <row r="15" spans="1:250" s="909" customFormat="1" ht="18" customHeight="1" x14ac:dyDescent="0.3">
      <c r="A15" s="891">
        <v>6</v>
      </c>
      <c r="B15" s="903"/>
      <c r="C15" s="905">
        <v>3</v>
      </c>
      <c r="D15" s="915" t="s">
        <v>797</v>
      </c>
      <c r="E15" s="905"/>
      <c r="F15" s="952"/>
      <c r="G15" s="953"/>
      <c r="H15" s="1707"/>
      <c r="I15" s="1858">
        <v>200</v>
      </c>
      <c r="J15" s="1897">
        <v>0</v>
      </c>
      <c r="K15" s="1905"/>
      <c r="L15" s="1902">
        <f>SUM(J15:K15)</f>
        <v>0</v>
      </c>
    </row>
    <row r="16" spans="1:250" s="909" customFormat="1" ht="29.25" customHeight="1" x14ac:dyDescent="0.3">
      <c r="A16" s="901">
        <v>7</v>
      </c>
      <c r="B16" s="903"/>
      <c r="C16" s="920">
        <v>4</v>
      </c>
      <c r="D16" s="963" t="s">
        <v>1172</v>
      </c>
      <c r="E16" s="905"/>
      <c r="F16" s="952"/>
      <c r="G16" s="953"/>
      <c r="H16" s="1707"/>
      <c r="I16" s="1858"/>
      <c r="J16" s="1897">
        <v>300</v>
      </c>
      <c r="K16" s="1905"/>
      <c r="L16" s="1902">
        <f>SUM(J16:K16)</f>
        <v>300</v>
      </c>
    </row>
    <row r="17" spans="1:12" s="907" customFormat="1" ht="22.5" customHeight="1" x14ac:dyDescent="0.3">
      <c r="A17" s="902">
        <v>8</v>
      </c>
      <c r="B17" s="903">
        <v>2</v>
      </c>
      <c r="C17" s="912" t="s">
        <v>310</v>
      </c>
      <c r="D17" s="906"/>
      <c r="E17" s="905" t="s">
        <v>23</v>
      </c>
      <c r="F17" s="956">
        <v>2509</v>
      </c>
      <c r="G17" s="951">
        <v>3300</v>
      </c>
      <c r="H17" s="1706">
        <v>3496</v>
      </c>
      <c r="I17" s="1857"/>
      <c r="J17" s="1896"/>
      <c r="K17" s="1904"/>
      <c r="L17" s="1901"/>
    </row>
    <row r="18" spans="1:12" s="909" customFormat="1" ht="18" customHeight="1" x14ac:dyDescent="0.3">
      <c r="A18" s="891">
        <v>9</v>
      </c>
      <c r="B18" s="903"/>
      <c r="C18" s="908">
        <v>1</v>
      </c>
      <c r="D18" s="915" t="s">
        <v>1166</v>
      </c>
      <c r="E18" s="905"/>
      <c r="F18" s="952"/>
      <c r="G18" s="953"/>
      <c r="H18" s="1707"/>
      <c r="I18" s="1858">
        <v>700</v>
      </c>
      <c r="J18" s="1897">
        <v>1125</v>
      </c>
      <c r="K18" s="1905"/>
      <c r="L18" s="1902">
        <f>SUM(J18:K18)</f>
        <v>1125</v>
      </c>
    </row>
    <row r="19" spans="1:12" s="909" customFormat="1" ht="18" customHeight="1" x14ac:dyDescent="0.3">
      <c r="A19" s="901">
        <v>10</v>
      </c>
      <c r="B19" s="903"/>
      <c r="C19" s="1666">
        <v>2</v>
      </c>
      <c r="D19" s="963" t="s">
        <v>971</v>
      </c>
      <c r="E19" s="905"/>
      <c r="F19" s="952"/>
      <c r="G19" s="953"/>
      <c r="H19" s="1707"/>
      <c r="I19" s="1858"/>
      <c r="J19" s="1897">
        <v>4198</v>
      </c>
      <c r="K19" s="1905"/>
      <c r="L19" s="1902">
        <f>SUM(J19:K19)</f>
        <v>4198</v>
      </c>
    </row>
    <row r="20" spans="1:12" s="909" customFormat="1" ht="95.25" customHeight="1" x14ac:dyDescent="0.3">
      <c r="A20" s="902">
        <v>11</v>
      </c>
      <c r="B20" s="903"/>
      <c r="C20" s="1886">
        <v>3</v>
      </c>
      <c r="D20" s="963" t="s">
        <v>1288</v>
      </c>
      <c r="E20" s="905"/>
      <c r="F20" s="952"/>
      <c r="G20" s="953"/>
      <c r="H20" s="1707"/>
      <c r="I20" s="1858"/>
      <c r="J20" s="1897">
        <v>3492</v>
      </c>
      <c r="K20" s="1905">
        <v>100</v>
      </c>
      <c r="L20" s="1902">
        <f>SUM(J20:K20)</f>
        <v>3592</v>
      </c>
    </row>
    <row r="21" spans="1:12" s="909" customFormat="1" ht="18" customHeight="1" x14ac:dyDescent="0.3">
      <c r="A21" s="891">
        <v>12</v>
      </c>
      <c r="B21" s="903"/>
      <c r="C21" s="2275" t="s">
        <v>467</v>
      </c>
      <c r="D21" s="2276"/>
      <c r="E21" s="905"/>
      <c r="F21" s="952">
        <v>1162</v>
      </c>
      <c r="G21" s="953"/>
      <c r="H21" s="1707">
        <v>1094</v>
      </c>
      <c r="I21" s="1858"/>
      <c r="J21" s="1897"/>
      <c r="K21" s="1905"/>
      <c r="L21" s="1902"/>
    </row>
    <row r="22" spans="1:12" s="909" customFormat="1" ht="18" customHeight="1" x14ac:dyDescent="0.3">
      <c r="A22" s="901">
        <v>13</v>
      </c>
      <c r="B22" s="903"/>
      <c r="C22" s="1666">
        <v>4</v>
      </c>
      <c r="D22" s="963" t="s">
        <v>988</v>
      </c>
      <c r="E22" s="905"/>
      <c r="F22" s="952"/>
      <c r="G22" s="953"/>
      <c r="H22" s="1707"/>
      <c r="I22" s="1858"/>
      <c r="J22" s="1897">
        <v>2756</v>
      </c>
      <c r="K22" s="1905"/>
      <c r="L22" s="1902">
        <f>SUM(J22:K22)</f>
        <v>2756</v>
      </c>
    </row>
    <row r="23" spans="1:12" s="909" customFormat="1" ht="58.5" customHeight="1" x14ac:dyDescent="0.3">
      <c r="A23" s="902">
        <v>14</v>
      </c>
      <c r="B23" s="903"/>
      <c r="C23" s="1886">
        <v>5</v>
      </c>
      <c r="D23" s="963" t="s">
        <v>1164</v>
      </c>
      <c r="E23" s="905"/>
      <c r="F23" s="952"/>
      <c r="G23" s="953"/>
      <c r="H23" s="1707"/>
      <c r="I23" s="1858"/>
      <c r="J23" s="1897">
        <v>1816</v>
      </c>
      <c r="K23" s="1905"/>
      <c r="L23" s="1902">
        <f>SUM(J23:K23)</f>
        <v>1816</v>
      </c>
    </row>
    <row r="24" spans="1:12" s="909" customFormat="1" ht="20.100000000000001" customHeight="1" x14ac:dyDescent="0.3">
      <c r="A24" s="891">
        <v>15</v>
      </c>
      <c r="B24" s="903"/>
      <c r="C24" s="1666">
        <v>6</v>
      </c>
      <c r="D24" s="963" t="s">
        <v>1165</v>
      </c>
      <c r="E24" s="905"/>
      <c r="F24" s="952"/>
      <c r="G24" s="953"/>
      <c r="H24" s="1707"/>
      <c r="I24" s="1858"/>
      <c r="J24" s="1897">
        <v>400</v>
      </c>
      <c r="K24" s="1905">
        <v>-100</v>
      </c>
      <c r="L24" s="1902">
        <f>SUM(J24:K24)</f>
        <v>300</v>
      </c>
    </row>
    <row r="25" spans="1:12" s="909" customFormat="1" ht="20.100000000000001" customHeight="1" x14ac:dyDescent="0.3">
      <c r="A25" s="901">
        <v>16</v>
      </c>
      <c r="B25" s="903"/>
      <c r="C25" s="1666">
        <v>7</v>
      </c>
      <c r="D25" s="963" t="s">
        <v>1167</v>
      </c>
      <c r="E25" s="905"/>
      <c r="F25" s="952"/>
      <c r="G25" s="953"/>
      <c r="H25" s="1707"/>
      <c r="I25" s="1858"/>
      <c r="J25" s="1897">
        <v>280</v>
      </c>
      <c r="K25" s="1905"/>
      <c r="L25" s="1902">
        <f>SUM(J25:K25)</f>
        <v>280</v>
      </c>
    </row>
    <row r="26" spans="1:12" s="907" customFormat="1" ht="22.5" customHeight="1" x14ac:dyDescent="0.3">
      <c r="A26" s="902">
        <v>17</v>
      </c>
      <c r="B26" s="903">
        <v>3</v>
      </c>
      <c r="C26" s="912" t="s">
        <v>265</v>
      </c>
      <c r="D26" s="906"/>
      <c r="E26" s="905" t="s">
        <v>23</v>
      </c>
      <c r="F26" s="956">
        <v>5920</v>
      </c>
      <c r="G26" s="951">
        <v>1500</v>
      </c>
      <c r="H26" s="1706">
        <v>6208</v>
      </c>
      <c r="I26" s="1857"/>
      <c r="J26" s="1897"/>
      <c r="K26" s="1904"/>
      <c r="L26" s="1902"/>
    </row>
    <row r="27" spans="1:12" s="909" customFormat="1" ht="45" customHeight="1" x14ac:dyDescent="0.3">
      <c r="A27" s="891">
        <v>18</v>
      </c>
      <c r="B27" s="903"/>
      <c r="C27" s="916">
        <v>1</v>
      </c>
      <c r="D27" s="915" t="s">
        <v>1114</v>
      </c>
      <c r="E27" s="905"/>
      <c r="F27" s="952"/>
      <c r="G27" s="953"/>
      <c r="H27" s="1707"/>
      <c r="I27" s="1858"/>
      <c r="J27" s="1897">
        <v>1193</v>
      </c>
      <c r="K27" s="1905"/>
      <c r="L27" s="1902">
        <f t="shared" ref="L27:L46" si="0">SUM(J27:K27)</f>
        <v>1193</v>
      </c>
    </row>
    <row r="28" spans="1:12" s="909" customFormat="1" ht="20.100000000000001" customHeight="1" x14ac:dyDescent="0.3">
      <c r="A28" s="901">
        <v>19</v>
      </c>
      <c r="B28" s="903"/>
      <c r="C28" s="908">
        <v>2</v>
      </c>
      <c r="D28" s="963" t="s">
        <v>1086</v>
      </c>
      <c r="E28" s="905"/>
      <c r="F28" s="952"/>
      <c r="G28" s="953"/>
      <c r="H28" s="1707"/>
      <c r="I28" s="1858"/>
      <c r="J28" s="1897">
        <v>220</v>
      </c>
      <c r="K28" s="1905"/>
      <c r="L28" s="1902">
        <f t="shared" si="0"/>
        <v>220</v>
      </c>
    </row>
    <row r="29" spans="1:12" s="909" customFormat="1" ht="18" customHeight="1" x14ac:dyDescent="0.3">
      <c r="A29" s="902">
        <v>20</v>
      </c>
      <c r="B29" s="903"/>
      <c r="C29" s="910" t="s">
        <v>663</v>
      </c>
      <c r="D29" s="911"/>
      <c r="E29" s="905"/>
      <c r="F29" s="952">
        <v>7972</v>
      </c>
      <c r="G29" s="953">
        <v>1500</v>
      </c>
      <c r="H29" s="1707">
        <v>3386</v>
      </c>
      <c r="I29" s="1858"/>
      <c r="J29" s="1897"/>
      <c r="K29" s="1905"/>
      <c r="L29" s="1902">
        <f t="shared" si="0"/>
        <v>0</v>
      </c>
    </row>
    <row r="30" spans="1:12" s="909" customFormat="1" ht="20.100000000000001" customHeight="1" x14ac:dyDescent="0.3">
      <c r="A30" s="891">
        <v>21</v>
      </c>
      <c r="B30" s="903"/>
      <c r="C30" s="1946">
        <v>3</v>
      </c>
      <c r="D30" s="1931" t="s">
        <v>1115</v>
      </c>
      <c r="E30" s="905"/>
      <c r="F30" s="952"/>
      <c r="G30" s="953"/>
      <c r="H30" s="1707"/>
      <c r="I30" s="1858"/>
      <c r="J30" s="1897">
        <v>348</v>
      </c>
      <c r="K30" s="1905"/>
      <c r="L30" s="1902">
        <f t="shared" si="0"/>
        <v>348</v>
      </c>
    </row>
    <row r="31" spans="1:12" s="907" customFormat="1" ht="22.5" customHeight="1" x14ac:dyDescent="0.3">
      <c r="A31" s="901">
        <v>22</v>
      </c>
      <c r="B31" s="903">
        <v>4</v>
      </c>
      <c r="C31" s="912" t="s">
        <v>266</v>
      </c>
      <c r="D31" s="906"/>
      <c r="E31" s="905" t="s">
        <v>23</v>
      </c>
      <c r="F31" s="956">
        <v>3926</v>
      </c>
      <c r="G31" s="951">
        <v>1000</v>
      </c>
      <c r="H31" s="1706">
        <v>1347</v>
      </c>
      <c r="I31" s="1857"/>
      <c r="J31" s="1897"/>
      <c r="K31" s="1904"/>
      <c r="L31" s="1902">
        <f t="shared" si="0"/>
        <v>0</v>
      </c>
    </row>
    <row r="32" spans="1:12" s="909" customFormat="1" ht="60" customHeight="1" x14ac:dyDescent="0.3">
      <c r="A32" s="902">
        <v>23</v>
      </c>
      <c r="B32" s="903"/>
      <c r="C32" s="916">
        <v>1</v>
      </c>
      <c r="D32" s="915" t="s">
        <v>1202</v>
      </c>
      <c r="E32" s="905"/>
      <c r="F32" s="952"/>
      <c r="G32" s="953"/>
      <c r="H32" s="1707"/>
      <c r="I32" s="1858"/>
      <c r="J32" s="1897">
        <v>1170</v>
      </c>
      <c r="K32" s="1905"/>
      <c r="L32" s="1902">
        <f t="shared" si="0"/>
        <v>1170</v>
      </c>
    </row>
    <row r="33" spans="1:12" s="909" customFormat="1" ht="18" customHeight="1" x14ac:dyDescent="0.3">
      <c r="A33" s="891">
        <v>24</v>
      </c>
      <c r="B33" s="903"/>
      <c r="C33" s="913" t="s">
        <v>468</v>
      </c>
      <c r="D33" s="915"/>
      <c r="E33" s="905"/>
      <c r="F33" s="952">
        <v>2560</v>
      </c>
      <c r="G33" s="953">
        <v>900</v>
      </c>
      <c r="H33" s="1707">
        <v>2216</v>
      </c>
      <c r="I33" s="1858"/>
      <c r="J33" s="1897"/>
      <c r="K33" s="1905"/>
      <c r="L33" s="1902">
        <f t="shared" si="0"/>
        <v>0</v>
      </c>
    </row>
    <row r="34" spans="1:12" s="909" customFormat="1" ht="18" customHeight="1" x14ac:dyDescent="0.3">
      <c r="A34" s="901">
        <v>25</v>
      </c>
      <c r="B34" s="903"/>
      <c r="C34" s="908">
        <v>2</v>
      </c>
      <c r="D34" s="915" t="s">
        <v>471</v>
      </c>
      <c r="E34" s="905"/>
      <c r="F34" s="952"/>
      <c r="G34" s="953"/>
      <c r="H34" s="1707"/>
      <c r="I34" s="1858"/>
      <c r="J34" s="1897"/>
      <c r="K34" s="1905"/>
      <c r="L34" s="1902">
        <f t="shared" si="0"/>
        <v>0</v>
      </c>
    </row>
    <row r="35" spans="1:12" s="907" customFormat="1" ht="22.5" customHeight="1" x14ac:dyDescent="0.3">
      <c r="A35" s="902">
        <v>26</v>
      </c>
      <c r="B35" s="903">
        <v>5</v>
      </c>
      <c r="C35" s="912" t="s">
        <v>267</v>
      </c>
      <c r="D35" s="906"/>
      <c r="E35" s="905" t="s">
        <v>23</v>
      </c>
      <c r="F35" s="956">
        <v>4964</v>
      </c>
      <c r="G35" s="951">
        <v>2400</v>
      </c>
      <c r="H35" s="1706">
        <v>6273</v>
      </c>
      <c r="I35" s="1857"/>
      <c r="J35" s="1897"/>
      <c r="K35" s="1904"/>
      <c r="L35" s="1902">
        <f t="shared" si="0"/>
        <v>0</v>
      </c>
    </row>
    <row r="36" spans="1:12" s="909" customFormat="1" ht="18" customHeight="1" x14ac:dyDescent="0.3">
      <c r="A36" s="891">
        <v>27</v>
      </c>
      <c r="B36" s="903"/>
      <c r="C36" s="908">
        <v>1</v>
      </c>
      <c r="D36" s="915" t="s">
        <v>1124</v>
      </c>
      <c r="E36" s="905"/>
      <c r="F36" s="952"/>
      <c r="G36" s="953"/>
      <c r="H36" s="1707"/>
      <c r="I36" s="1858"/>
      <c r="J36" s="1897">
        <v>200</v>
      </c>
      <c r="K36" s="1905"/>
      <c r="L36" s="1902">
        <f t="shared" si="0"/>
        <v>200</v>
      </c>
    </row>
    <row r="37" spans="1:12" s="909" customFormat="1" ht="18" customHeight="1" x14ac:dyDescent="0.3">
      <c r="A37" s="901">
        <v>28</v>
      </c>
      <c r="B37" s="903"/>
      <c r="C37" s="908">
        <v>2</v>
      </c>
      <c r="D37" s="915" t="s">
        <v>1235</v>
      </c>
      <c r="E37" s="905"/>
      <c r="F37" s="952"/>
      <c r="G37" s="953"/>
      <c r="H37" s="1707"/>
      <c r="I37" s="1858"/>
      <c r="J37" s="1897">
        <v>800</v>
      </c>
      <c r="K37" s="1905"/>
      <c r="L37" s="1902">
        <f t="shared" si="0"/>
        <v>800</v>
      </c>
    </row>
    <row r="38" spans="1:12" s="909" customFormat="1" ht="18" customHeight="1" x14ac:dyDescent="0.3">
      <c r="A38" s="902">
        <v>29</v>
      </c>
      <c r="B38" s="903"/>
      <c r="C38" s="913" t="s">
        <v>469</v>
      </c>
      <c r="D38" s="915"/>
      <c r="E38" s="905"/>
      <c r="F38" s="952">
        <v>4686</v>
      </c>
      <c r="G38" s="953">
        <v>2900</v>
      </c>
      <c r="H38" s="1707">
        <v>6233</v>
      </c>
      <c r="I38" s="1858"/>
      <c r="J38" s="1897"/>
      <c r="K38" s="1905"/>
      <c r="L38" s="1902">
        <f t="shared" si="0"/>
        <v>0</v>
      </c>
    </row>
    <row r="39" spans="1:12" s="909" customFormat="1" ht="18" customHeight="1" x14ac:dyDescent="0.3">
      <c r="A39" s="891">
        <v>30</v>
      </c>
      <c r="B39" s="903"/>
      <c r="C39" s="908">
        <v>3</v>
      </c>
      <c r="D39" s="915" t="s">
        <v>1124</v>
      </c>
      <c r="E39" s="905"/>
      <c r="F39" s="952"/>
      <c r="G39" s="953"/>
      <c r="H39" s="1707"/>
      <c r="I39" s="1858"/>
      <c r="J39" s="1897">
        <v>200</v>
      </c>
      <c r="K39" s="1905"/>
      <c r="L39" s="1902">
        <f t="shared" si="0"/>
        <v>200</v>
      </c>
    </row>
    <row r="40" spans="1:12" s="909" customFormat="1" ht="18" customHeight="1" x14ac:dyDescent="0.3">
      <c r="A40" s="901">
        <v>31</v>
      </c>
      <c r="B40" s="903"/>
      <c r="C40" s="908">
        <v>4</v>
      </c>
      <c r="D40" s="915" t="s">
        <v>1236</v>
      </c>
      <c r="E40" s="905"/>
      <c r="F40" s="952"/>
      <c r="G40" s="953"/>
      <c r="H40" s="1707"/>
      <c r="I40" s="1858"/>
      <c r="J40" s="1897">
        <v>400</v>
      </c>
      <c r="K40" s="1905"/>
      <c r="L40" s="1902">
        <f t="shared" si="0"/>
        <v>400</v>
      </c>
    </row>
    <row r="41" spans="1:12" s="907" customFormat="1" ht="22.5" customHeight="1" x14ac:dyDescent="0.3">
      <c r="A41" s="902">
        <v>32</v>
      </c>
      <c r="B41" s="903">
        <v>6</v>
      </c>
      <c r="C41" s="912" t="s">
        <v>268</v>
      </c>
      <c r="D41" s="906"/>
      <c r="E41" s="905" t="s">
        <v>23</v>
      </c>
      <c r="F41" s="956">
        <v>527</v>
      </c>
      <c r="G41" s="951">
        <v>500</v>
      </c>
      <c r="H41" s="1706">
        <v>6174</v>
      </c>
      <c r="I41" s="1857"/>
      <c r="J41" s="1897"/>
      <c r="K41" s="1904"/>
      <c r="L41" s="1902">
        <f t="shared" si="0"/>
        <v>0</v>
      </c>
    </row>
    <row r="42" spans="1:12" s="909" customFormat="1" ht="93" customHeight="1" x14ac:dyDescent="0.3">
      <c r="A42" s="891">
        <v>33</v>
      </c>
      <c r="B42" s="903"/>
      <c r="C42" s="916">
        <v>1</v>
      </c>
      <c r="D42" s="915" t="s">
        <v>1237</v>
      </c>
      <c r="E42" s="905"/>
      <c r="F42" s="952"/>
      <c r="G42" s="953"/>
      <c r="H42" s="1707"/>
      <c r="I42" s="1858"/>
      <c r="J42" s="1897">
        <v>1625</v>
      </c>
      <c r="K42" s="1905"/>
      <c r="L42" s="1902">
        <f t="shared" si="0"/>
        <v>1625</v>
      </c>
    </row>
    <row r="43" spans="1:12" s="909" customFormat="1" ht="20.100000000000001" customHeight="1" x14ac:dyDescent="0.3">
      <c r="A43" s="901">
        <v>34</v>
      </c>
      <c r="B43" s="903"/>
      <c r="C43" s="908">
        <v>2</v>
      </c>
      <c r="D43" s="915" t="s">
        <v>1090</v>
      </c>
      <c r="E43" s="905"/>
      <c r="F43" s="952"/>
      <c r="G43" s="953"/>
      <c r="H43" s="1707"/>
      <c r="I43" s="1858"/>
      <c r="J43" s="1897">
        <v>500</v>
      </c>
      <c r="K43" s="1905"/>
      <c r="L43" s="1902">
        <f t="shared" si="0"/>
        <v>500</v>
      </c>
    </row>
    <row r="44" spans="1:12" s="909" customFormat="1" ht="20.100000000000001" customHeight="1" x14ac:dyDescent="0.3">
      <c r="A44" s="902">
        <v>35</v>
      </c>
      <c r="B44" s="903"/>
      <c r="C44" s="908">
        <v>3</v>
      </c>
      <c r="D44" s="915" t="s">
        <v>1169</v>
      </c>
      <c r="E44" s="905"/>
      <c r="F44" s="952"/>
      <c r="G44" s="953"/>
      <c r="H44" s="1707"/>
      <c r="I44" s="1858"/>
      <c r="J44" s="1897">
        <v>2300</v>
      </c>
      <c r="K44" s="1905"/>
      <c r="L44" s="1902">
        <f t="shared" si="0"/>
        <v>2300</v>
      </c>
    </row>
    <row r="45" spans="1:12" s="909" customFormat="1" ht="18" customHeight="1" x14ac:dyDescent="0.3">
      <c r="A45" s="891">
        <v>36</v>
      </c>
      <c r="B45" s="903"/>
      <c r="C45" s="913" t="s">
        <v>470</v>
      </c>
      <c r="D45" s="915"/>
      <c r="E45" s="905"/>
      <c r="F45" s="952">
        <v>15</v>
      </c>
      <c r="G45" s="953">
        <v>600</v>
      </c>
      <c r="H45" s="1707">
        <v>324</v>
      </c>
      <c r="I45" s="1858"/>
      <c r="J45" s="1897"/>
      <c r="K45" s="1905"/>
      <c r="L45" s="1902"/>
    </row>
    <row r="46" spans="1:12" s="909" customFormat="1" ht="29.25" customHeight="1" x14ac:dyDescent="0.3">
      <c r="A46" s="901">
        <v>37</v>
      </c>
      <c r="B46" s="903"/>
      <c r="C46" s="916">
        <v>3</v>
      </c>
      <c r="D46" s="915" t="s">
        <v>1170</v>
      </c>
      <c r="E46" s="905"/>
      <c r="F46" s="952"/>
      <c r="G46" s="953"/>
      <c r="H46" s="1707"/>
      <c r="I46" s="1858"/>
      <c r="J46" s="1897">
        <v>546</v>
      </c>
      <c r="K46" s="1905"/>
      <c r="L46" s="1902">
        <f t="shared" si="0"/>
        <v>546</v>
      </c>
    </row>
    <row r="47" spans="1:12" s="907" customFormat="1" ht="22.5" customHeight="1" x14ac:dyDescent="0.3">
      <c r="A47" s="902">
        <v>38</v>
      </c>
      <c r="B47" s="903">
        <v>7</v>
      </c>
      <c r="C47" s="904" t="s">
        <v>386</v>
      </c>
      <c r="D47" s="906"/>
      <c r="E47" s="905" t="s">
        <v>23</v>
      </c>
      <c r="F47" s="950"/>
      <c r="G47" s="951"/>
      <c r="H47" s="1708"/>
      <c r="I47" s="1859"/>
      <c r="J47" s="1896"/>
      <c r="K47" s="1904"/>
      <c r="L47" s="1901"/>
    </row>
    <row r="48" spans="1:12" s="909" customFormat="1" ht="18" customHeight="1" x14ac:dyDescent="0.3">
      <c r="A48" s="891">
        <v>39</v>
      </c>
      <c r="B48" s="903"/>
      <c r="C48" s="913" t="s">
        <v>548</v>
      </c>
      <c r="D48" s="914"/>
      <c r="E48" s="905"/>
      <c r="F48" s="952">
        <v>1083</v>
      </c>
      <c r="G48" s="953">
        <v>300</v>
      </c>
      <c r="H48" s="1707">
        <v>1129</v>
      </c>
      <c r="I48" s="1858"/>
      <c r="J48" s="1897"/>
      <c r="K48" s="1905"/>
      <c r="L48" s="1902"/>
    </row>
    <row r="49" spans="1:12" s="909" customFormat="1" ht="18" customHeight="1" x14ac:dyDescent="0.3">
      <c r="A49" s="901">
        <v>40</v>
      </c>
      <c r="B49" s="903"/>
      <c r="C49" s="908">
        <v>1</v>
      </c>
      <c r="D49" s="915" t="s">
        <v>1238</v>
      </c>
      <c r="E49" s="905"/>
      <c r="F49" s="952"/>
      <c r="G49" s="953"/>
      <c r="H49" s="1707"/>
      <c r="I49" s="1858">
        <v>120</v>
      </c>
      <c r="J49" s="1897">
        <v>150</v>
      </c>
      <c r="K49" s="1905"/>
      <c r="L49" s="1902">
        <f t="shared" ref="L49:L50" si="1">SUM(J49:K49)</f>
        <v>150</v>
      </c>
    </row>
    <row r="50" spans="1:12" s="909" customFormat="1" ht="18" customHeight="1" x14ac:dyDescent="0.3">
      <c r="A50" s="902">
        <v>41</v>
      </c>
      <c r="B50" s="903"/>
      <c r="C50" s="908">
        <v>2</v>
      </c>
      <c r="D50" s="915" t="s">
        <v>798</v>
      </c>
      <c r="E50" s="905"/>
      <c r="F50" s="952"/>
      <c r="G50" s="953"/>
      <c r="H50" s="1707"/>
      <c r="I50" s="1858">
        <v>300</v>
      </c>
      <c r="J50" s="1897">
        <v>300</v>
      </c>
      <c r="K50" s="1905"/>
      <c r="L50" s="1902">
        <f t="shared" si="1"/>
        <v>300</v>
      </c>
    </row>
    <row r="51" spans="1:12" s="909" customFormat="1" ht="18" customHeight="1" x14ac:dyDescent="0.3">
      <c r="A51" s="891">
        <v>42</v>
      </c>
      <c r="B51" s="903"/>
      <c r="C51" s="913" t="s">
        <v>472</v>
      </c>
      <c r="D51" s="914"/>
      <c r="E51" s="905"/>
      <c r="F51" s="952">
        <v>1293</v>
      </c>
      <c r="G51" s="953">
        <v>320</v>
      </c>
      <c r="H51" s="1707">
        <v>1450</v>
      </c>
      <c r="I51" s="1858"/>
      <c r="J51" s="1897"/>
      <c r="K51" s="1905"/>
      <c r="L51" s="1902"/>
    </row>
    <row r="52" spans="1:12" s="909" customFormat="1" ht="18" customHeight="1" x14ac:dyDescent="0.3">
      <c r="A52" s="901">
        <v>43</v>
      </c>
      <c r="B52" s="903"/>
      <c r="C52" s="908">
        <v>3</v>
      </c>
      <c r="D52" s="915" t="s">
        <v>1119</v>
      </c>
      <c r="E52" s="905"/>
      <c r="F52" s="952"/>
      <c r="G52" s="953"/>
      <c r="H52" s="1707"/>
      <c r="I52" s="1858">
        <v>190</v>
      </c>
      <c r="J52" s="1897">
        <v>260</v>
      </c>
      <c r="K52" s="1905"/>
      <c r="L52" s="1902">
        <f>SUM(J52:K52)</f>
        <v>260</v>
      </c>
    </row>
    <row r="53" spans="1:12" s="909" customFormat="1" ht="18" customHeight="1" x14ac:dyDescent="0.3">
      <c r="A53" s="902">
        <v>44</v>
      </c>
      <c r="B53" s="903"/>
      <c r="C53" s="913" t="s">
        <v>473</v>
      </c>
      <c r="D53" s="914"/>
      <c r="E53" s="905"/>
      <c r="F53" s="952">
        <v>2601</v>
      </c>
      <c r="G53" s="953">
        <v>1300</v>
      </c>
      <c r="H53" s="1707">
        <v>2493</v>
      </c>
      <c r="I53" s="1858"/>
      <c r="J53" s="1897"/>
      <c r="K53" s="1905"/>
      <c r="L53" s="1902"/>
    </row>
    <row r="54" spans="1:12" s="909" customFormat="1" ht="18" customHeight="1" x14ac:dyDescent="0.3">
      <c r="A54" s="891">
        <v>45</v>
      </c>
      <c r="B54" s="903"/>
      <c r="C54" s="908">
        <v>4</v>
      </c>
      <c r="D54" s="915" t="s">
        <v>1120</v>
      </c>
      <c r="E54" s="905"/>
      <c r="F54" s="952"/>
      <c r="G54" s="953"/>
      <c r="H54" s="1707"/>
      <c r="I54" s="1858">
        <v>260</v>
      </c>
      <c r="J54" s="1897">
        <v>360</v>
      </c>
      <c r="K54" s="1905"/>
      <c r="L54" s="1902">
        <f>SUM(J54:K54)</f>
        <v>360</v>
      </c>
    </row>
    <row r="55" spans="1:12" s="909" customFormat="1" ht="18" customHeight="1" x14ac:dyDescent="0.3">
      <c r="A55" s="901">
        <v>46</v>
      </c>
      <c r="B55" s="903"/>
      <c r="C55" s="913" t="s">
        <v>475</v>
      </c>
      <c r="D55" s="915"/>
      <c r="E55" s="905"/>
      <c r="F55" s="952">
        <v>2227</v>
      </c>
      <c r="G55" s="953">
        <v>1500</v>
      </c>
      <c r="H55" s="1707">
        <v>3057</v>
      </c>
      <c r="I55" s="1858"/>
      <c r="J55" s="1897"/>
      <c r="K55" s="1905"/>
      <c r="L55" s="1902"/>
    </row>
    <row r="56" spans="1:12" s="909" customFormat="1" ht="29.25" customHeight="1" x14ac:dyDescent="0.3">
      <c r="A56" s="902">
        <v>47</v>
      </c>
      <c r="B56" s="903"/>
      <c r="C56" s="916">
        <v>5</v>
      </c>
      <c r="D56" s="915" t="s">
        <v>1121</v>
      </c>
      <c r="E56" s="905"/>
      <c r="F56" s="952"/>
      <c r="G56" s="953"/>
      <c r="H56" s="1707"/>
      <c r="I56" s="1858">
        <v>340</v>
      </c>
      <c r="J56" s="1897">
        <v>420</v>
      </c>
      <c r="K56" s="1905"/>
      <c r="L56" s="1902">
        <f>SUM(J56:K56)</f>
        <v>420</v>
      </c>
    </row>
    <row r="57" spans="1:12" s="909" customFormat="1" ht="18" customHeight="1" x14ac:dyDescent="0.3">
      <c r="A57" s="891">
        <v>48</v>
      </c>
      <c r="B57" s="903"/>
      <c r="C57" s="913" t="s">
        <v>474</v>
      </c>
      <c r="D57" s="914"/>
      <c r="E57" s="905"/>
      <c r="F57" s="952">
        <v>1803</v>
      </c>
      <c r="G57" s="953">
        <v>800</v>
      </c>
      <c r="H57" s="1707">
        <v>1244</v>
      </c>
      <c r="I57" s="1858"/>
      <c r="J57" s="1897"/>
      <c r="K57" s="1905"/>
      <c r="L57" s="1902"/>
    </row>
    <row r="58" spans="1:12" s="909" customFormat="1" ht="18" customHeight="1" x14ac:dyDescent="0.3">
      <c r="A58" s="901">
        <v>49</v>
      </c>
      <c r="B58" s="903"/>
      <c r="C58" s="908">
        <v>6</v>
      </c>
      <c r="D58" s="915" t="s">
        <v>1122</v>
      </c>
      <c r="E58" s="905"/>
      <c r="F58" s="952"/>
      <c r="G58" s="953"/>
      <c r="H58" s="1707"/>
      <c r="I58" s="1858">
        <v>220</v>
      </c>
      <c r="J58" s="1897">
        <v>290</v>
      </c>
      <c r="K58" s="1905"/>
      <c r="L58" s="1902">
        <f>SUM(J58:K58)</f>
        <v>290</v>
      </c>
    </row>
    <row r="59" spans="1:12" s="909" customFormat="1" ht="18" customHeight="1" x14ac:dyDescent="0.3">
      <c r="A59" s="902">
        <v>50</v>
      </c>
      <c r="B59" s="903"/>
      <c r="C59" s="913" t="s">
        <v>799</v>
      </c>
      <c r="D59" s="914"/>
      <c r="E59" s="905"/>
      <c r="F59" s="952"/>
      <c r="G59" s="953"/>
      <c r="H59" s="1707">
        <v>193</v>
      </c>
      <c r="I59" s="1858"/>
      <c r="J59" s="1897"/>
      <c r="K59" s="1905"/>
      <c r="L59" s="1902"/>
    </row>
    <row r="60" spans="1:12" s="909" customFormat="1" ht="18" customHeight="1" x14ac:dyDescent="0.3">
      <c r="A60" s="891">
        <v>51</v>
      </c>
      <c r="B60" s="903"/>
      <c r="C60" s="913" t="s">
        <v>433</v>
      </c>
      <c r="D60" s="915"/>
      <c r="E60" s="905"/>
      <c r="F60" s="952">
        <v>5072</v>
      </c>
      <c r="G60" s="951">
        <v>2260</v>
      </c>
      <c r="H60" s="1706">
        <v>15436</v>
      </c>
      <c r="I60" s="1857"/>
      <c r="J60" s="1896"/>
      <c r="K60" s="1904"/>
      <c r="L60" s="1902"/>
    </row>
    <row r="61" spans="1:12" s="909" customFormat="1" ht="45.75" customHeight="1" x14ac:dyDescent="0.3">
      <c r="A61" s="901">
        <v>52</v>
      </c>
      <c r="B61" s="903"/>
      <c r="C61" s="1885">
        <v>7</v>
      </c>
      <c r="D61" s="963" t="s">
        <v>1173</v>
      </c>
      <c r="E61" s="905"/>
      <c r="F61" s="952"/>
      <c r="G61" s="951"/>
      <c r="H61" s="1706"/>
      <c r="I61" s="1857"/>
      <c r="J61" s="1897">
        <v>1200</v>
      </c>
      <c r="K61" s="1906">
        <v>-52</v>
      </c>
      <c r="L61" s="1902">
        <f t="shared" ref="L61:L62" si="2">SUM(J61:K61)</f>
        <v>1148</v>
      </c>
    </row>
    <row r="62" spans="1:12" s="909" customFormat="1" ht="20.100000000000001" customHeight="1" x14ac:dyDescent="0.3">
      <c r="A62" s="902">
        <v>53</v>
      </c>
      <c r="B62" s="903"/>
      <c r="C62" s="2099">
        <v>8</v>
      </c>
      <c r="D62" s="963" t="s">
        <v>1291</v>
      </c>
      <c r="E62" s="905"/>
      <c r="F62" s="952"/>
      <c r="G62" s="951"/>
      <c r="H62" s="1706"/>
      <c r="I62" s="1857"/>
      <c r="J62" s="1897"/>
      <c r="K62" s="1906">
        <v>52</v>
      </c>
      <c r="L62" s="1902">
        <f t="shared" si="2"/>
        <v>52</v>
      </c>
    </row>
    <row r="63" spans="1:12" s="909" customFormat="1" ht="18" customHeight="1" x14ac:dyDescent="0.3">
      <c r="A63" s="891">
        <v>54</v>
      </c>
      <c r="B63" s="903"/>
      <c r="C63" s="1048" t="s">
        <v>800</v>
      </c>
      <c r="D63" s="915"/>
      <c r="E63" s="905"/>
      <c r="F63" s="952"/>
      <c r="G63" s="951"/>
      <c r="H63" s="1706"/>
      <c r="I63" s="1857"/>
      <c r="J63" s="1896"/>
      <c r="K63" s="1904"/>
      <c r="L63" s="1901"/>
    </row>
    <row r="64" spans="1:12" s="909" customFormat="1" ht="18" customHeight="1" x14ac:dyDescent="0.3">
      <c r="A64" s="901">
        <v>55</v>
      </c>
      <c r="B64" s="903"/>
      <c r="C64" s="908">
        <v>9</v>
      </c>
      <c r="D64" s="915" t="s">
        <v>801</v>
      </c>
      <c r="E64" s="905"/>
      <c r="F64" s="952"/>
      <c r="G64" s="953"/>
      <c r="H64" s="1707"/>
      <c r="I64" s="1858">
        <v>200</v>
      </c>
      <c r="J64" s="1897">
        <v>0</v>
      </c>
      <c r="K64" s="1905"/>
      <c r="L64" s="1902">
        <f>SUM(J64:K64)</f>
        <v>0</v>
      </c>
    </row>
    <row r="65" spans="1:12" s="907" customFormat="1" ht="22.5" customHeight="1" x14ac:dyDescent="0.3">
      <c r="A65" s="902">
        <v>56</v>
      </c>
      <c r="B65" s="903">
        <v>8</v>
      </c>
      <c r="C65" s="912" t="s">
        <v>125</v>
      </c>
      <c r="D65" s="906"/>
      <c r="E65" s="905" t="s">
        <v>23</v>
      </c>
      <c r="F65" s="956">
        <v>905</v>
      </c>
      <c r="G65" s="951"/>
      <c r="H65" s="1706">
        <v>2004</v>
      </c>
      <c r="I65" s="1857"/>
      <c r="J65" s="1896"/>
      <c r="K65" s="1904"/>
      <c r="L65" s="1901"/>
    </row>
    <row r="66" spans="1:12" s="909" customFormat="1" ht="18" customHeight="1" x14ac:dyDescent="0.3">
      <c r="A66" s="891">
        <v>57</v>
      </c>
      <c r="B66" s="903"/>
      <c r="C66" s="908">
        <v>1</v>
      </c>
      <c r="D66" s="915" t="s">
        <v>972</v>
      </c>
      <c r="E66" s="905"/>
      <c r="F66" s="952"/>
      <c r="G66" s="953"/>
      <c r="H66" s="1707"/>
      <c r="I66" s="1858"/>
      <c r="J66" s="1897">
        <v>59</v>
      </c>
      <c r="K66" s="1905"/>
      <c r="L66" s="1902">
        <f t="shared" ref="L66:L67" si="3">SUM(J66:K66)</f>
        <v>59</v>
      </c>
    </row>
    <row r="67" spans="1:12" s="909" customFormat="1" ht="30.75" customHeight="1" x14ac:dyDescent="0.3">
      <c r="A67" s="901">
        <v>58</v>
      </c>
      <c r="B67" s="903"/>
      <c r="C67" s="916">
        <v>2</v>
      </c>
      <c r="D67" s="963" t="s">
        <v>1118</v>
      </c>
      <c r="E67" s="905"/>
      <c r="F67" s="952"/>
      <c r="G67" s="953"/>
      <c r="H67" s="1707"/>
      <c r="I67" s="1858"/>
      <c r="J67" s="1897">
        <v>600</v>
      </c>
      <c r="K67" s="1905"/>
      <c r="L67" s="1902">
        <f t="shared" si="3"/>
        <v>600</v>
      </c>
    </row>
    <row r="68" spans="1:12" s="907" customFormat="1" ht="22.5" customHeight="1" x14ac:dyDescent="0.3">
      <c r="A68" s="902">
        <v>59</v>
      </c>
      <c r="B68" s="903">
        <v>9</v>
      </c>
      <c r="C68" s="912" t="s">
        <v>541</v>
      </c>
      <c r="D68" s="906"/>
      <c r="E68" s="905" t="s">
        <v>23</v>
      </c>
      <c r="F68" s="950"/>
      <c r="G68" s="951">
        <v>4385</v>
      </c>
      <c r="H68" s="1706">
        <v>5998</v>
      </c>
      <c r="I68" s="1857"/>
      <c r="J68" s="1896"/>
      <c r="K68" s="1904"/>
      <c r="L68" s="1901"/>
    </row>
    <row r="69" spans="1:12" s="909" customFormat="1" ht="59.25" customHeight="1" x14ac:dyDescent="0.3">
      <c r="A69" s="891">
        <v>60</v>
      </c>
      <c r="B69" s="903"/>
      <c r="C69" s="916">
        <v>1</v>
      </c>
      <c r="D69" s="915" t="s">
        <v>1109</v>
      </c>
      <c r="E69" s="905"/>
      <c r="F69" s="952"/>
      <c r="G69" s="953"/>
      <c r="H69" s="1707"/>
      <c r="I69" s="1858">
        <v>500</v>
      </c>
      <c r="J69" s="1897">
        <v>500</v>
      </c>
      <c r="K69" s="1905"/>
      <c r="L69" s="1902">
        <f t="shared" ref="L69:L74" si="4">SUM(J69:K69)</f>
        <v>500</v>
      </c>
    </row>
    <row r="70" spans="1:12" s="909" customFormat="1" ht="60" customHeight="1" x14ac:dyDescent="0.3">
      <c r="A70" s="901">
        <v>61</v>
      </c>
      <c r="B70" s="903"/>
      <c r="C70" s="916">
        <v>2</v>
      </c>
      <c r="D70" s="915" t="s">
        <v>1022</v>
      </c>
      <c r="E70" s="905"/>
      <c r="F70" s="952"/>
      <c r="G70" s="953"/>
      <c r="H70" s="1707"/>
      <c r="I70" s="1858">
        <v>300</v>
      </c>
      <c r="J70" s="1897">
        <v>300</v>
      </c>
      <c r="K70" s="1905"/>
      <c r="L70" s="1902">
        <f t="shared" si="4"/>
        <v>300</v>
      </c>
    </row>
    <row r="71" spans="1:12" s="909" customFormat="1" ht="60.75" customHeight="1" x14ac:dyDescent="0.3">
      <c r="A71" s="902">
        <v>62</v>
      </c>
      <c r="B71" s="903"/>
      <c r="C71" s="916">
        <v>3</v>
      </c>
      <c r="D71" s="915" t="s">
        <v>1043</v>
      </c>
      <c r="E71" s="905"/>
      <c r="F71" s="952"/>
      <c r="G71" s="953"/>
      <c r="H71" s="1707"/>
      <c r="I71" s="1858">
        <v>200</v>
      </c>
      <c r="J71" s="1897">
        <v>200</v>
      </c>
      <c r="K71" s="1905"/>
      <c r="L71" s="1902">
        <f t="shared" si="4"/>
        <v>200</v>
      </c>
    </row>
    <row r="72" spans="1:12" s="909" customFormat="1" ht="18" customHeight="1" x14ac:dyDescent="0.3">
      <c r="A72" s="891">
        <v>63</v>
      </c>
      <c r="B72" s="903"/>
      <c r="C72" s="908">
        <v>4</v>
      </c>
      <c r="D72" s="915" t="s">
        <v>1023</v>
      </c>
      <c r="E72" s="905"/>
      <c r="F72" s="952"/>
      <c r="G72" s="953"/>
      <c r="H72" s="1707"/>
      <c r="I72" s="1858">
        <v>150</v>
      </c>
      <c r="J72" s="1897">
        <v>150</v>
      </c>
      <c r="K72" s="1905"/>
      <c r="L72" s="1902">
        <f t="shared" si="4"/>
        <v>150</v>
      </c>
    </row>
    <row r="73" spans="1:12" s="909" customFormat="1" ht="18" customHeight="1" x14ac:dyDescent="0.3">
      <c r="A73" s="901">
        <v>64</v>
      </c>
      <c r="B73" s="903"/>
      <c r="C73" s="1666">
        <v>5</v>
      </c>
      <c r="D73" s="963" t="s">
        <v>1088</v>
      </c>
      <c r="E73" s="905"/>
      <c r="F73" s="952"/>
      <c r="G73" s="953"/>
      <c r="H73" s="1707"/>
      <c r="I73" s="1858"/>
      <c r="J73" s="1897">
        <v>1400</v>
      </c>
      <c r="K73" s="1905"/>
      <c r="L73" s="1902">
        <f t="shared" si="4"/>
        <v>1400</v>
      </c>
    </row>
    <row r="74" spans="1:12" s="909" customFormat="1" ht="28.5" customHeight="1" x14ac:dyDescent="0.3">
      <c r="A74" s="902">
        <v>65</v>
      </c>
      <c r="B74" s="903"/>
      <c r="C74" s="1886">
        <v>6</v>
      </c>
      <c r="D74" s="963" t="s">
        <v>1117</v>
      </c>
      <c r="E74" s="905"/>
      <c r="F74" s="952"/>
      <c r="G74" s="953"/>
      <c r="H74" s="1707"/>
      <c r="I74" s="1858"/>
      <c r="J74" s="1897">
        <v>700</v>
      </c>
      <c r="K74" s="1905"/>
      <c r="L74" s="1902">
        <f t="shared" si="4"/>
        <v>700</v>
      </c>
    </row>
    <row r="75" spans="1:12" s="907" customFormat="1" ht="22.5" customHeight="1" x14ac:dyDescent="0.3">
      <c r="A75" s="891">
        <v>66</v>
      </c>
      <c r="B75" s="903">
        <v>10</v>
      </c>
      <c r="C75" s="904" t="s">
        <v>543</v>
      </c>
      <c r="D75" s="906"/>
      <c r="E75" s="905" t="s">
        <v>23</v>
      </c>
      <c r="F75" s="956">
        <v>13964</v>
      </c>
      <c r="G75" s="951">
        <v>5000</v>
      </c>
      <c r="H75" s="1706">
        <v>4955</v>
      </c>
      <c r="I75" s="1857"/>
      <c r="J75" s="1896"/>
      <c r="K75" s="1904"/>
      <c r="L75" s="1901"/>
    </row>
    <row r="76" spans="1:12" s="909" customFormat="1" ht="18" hidden="1" customHeight="1" x14ac:dyDescent="0.3">
      <c r="A76" s="901">
        <v>67</v>
      </c>
      <c r="B76" s="903"/>
      <c r="C76" s="908">
        <v>1</v>
      </c>
      <c r="D76" s="915" t="s">
        <v>471</v>
      </c>
      <c r="E76" s="905"/>
      <c r="F76" s="952"/>
      <c r="G76" s="953"/>
      <c r="H76" s="1707"/>
      <c r="I76" s="1858"/>
      <c r="J76" s="1897"/>
      <c r="K76" s="1905"/>
      <c r="L76" s="1902"/>
    </row>
    <row r="77" spans="1:12" s="1053" customFormat="1" ht="30" customHeight="1" x14ac:dyDescent="0.2">
      <c r="A77" s="902">
        <v>68</v>
      </c>
      <c r="B77" s="1049"/>
      <c r="C77" s="916">
        <v>1</v>
      </c>
      <c r="D77" s="1050" t="s">
        <v>802</v>
      </c>
      <c r="E77" s="920"/>
      <c r="F77" s="1051"/>
      <c r="G77" s="1052"/>
      <c r="H77" s="1709"/>
      <c r="I77" s="1860">
        <v>4050</v>
      </c>
      <c r="J77" s="1897">
        <v>4050</v>
      </c>
      <c r="K77" s="1905"/>
      <c r="L77" s="1902">
        <f>SUM(J77:K77)</f>
        <v>4050</v>
      </c>
    </row>
    <row r="78" spans="1:12" s="1053" customFormat="1" ht="18" customHeight="1" x14ac:dyDescent="0.3">
      <c r="A78" s="891">
        <v>69</v>
      </c>
      <c r="B78" s="1049"/>
      <c r="C78" s="908">
        <v>2</v>
      </c>
      <c r="D78" s="963" t="s">
        <v>975</v>
      </c>
      <c r="E78" s="920"/>
      <c r="F78" s="1051"/>
      <c r="G78" s="1052"/>
      <c r="H78" s="1709"/>
      <c r="I78" s="1860"/>
      <c r="J78" s="1897">
        <v>1268</v>
      </c>
      <c r="K78" s="1905"/>
      <c r="L78" s="1902">
        <f>SUM(J78:K78)</f>
        <v>1268</v>
      </c>
    </row>
    <row r="79" spans="1:12" s="1053" customFormat="1" ht="18" customHeight="1" x14ac:dyDescent="0.3">
      <c r="A79" s="901">
        <v>70</v>
      </c>
      <c r="B79" s="1049"/>
      <c r="C79" s="908">
        <v>3</v>
      </c>
      <c r="D79" s="963" t="s">
        <v>976</v>
      </c>
      <c r="E79" s="920"/>
      <c r="F79" s="1051"/>
      <c r="G79" s="1052"/>
      <c r="H79" s="1709"/>
      <c r="I79" s="1860"/>
      <c r="J79" s="1897">
        <v>1000</v>
      </c>
      <c r="K79" s="1905"/>
      <c r="L79" s="1902">
        <f>SUM(J79:K79)</f>
        <v>1000</v>
      </c>
    </row>
    <row r="80" spans="1:12" s="1053" customFormat="1" ht="44.25" customHeight="1" x14ac:dyDescent="0.3">
      <c r="A80" s="902">
        <v>71</v>
      </c>
      <c r="B80" s="1049"/>
      <c r="C80" s="916">
        <v>4</v>
      </c>
      <c r="D80" s="963" t="s">
        <v>1178</v>
      </c>
      <c r="E80" s="920"/>
      <c r="F80" s="1051"/>
      <c r="G80" s="1052"/>
      <c r="H80" s="1709"/>
      <c r="I80" s="1860"/>
      <c r="J80" s="1897">
        <v>3485</v>
      </c>
      <c r="K80" s="1905"/>
      <c r="L80" s="1902">
        <f>SUM(J80:K80)</f>
        <v>3485</v>
      </c>
    </row>
    <row r="81" spans="1:12" s="907" customFormat="1" ht="22.5" customHeight="1" x14ac:dyDescent="0.3">
      <c r="A81" s="891">
        <v>72</v>
      </c>
      <c r="B81" s="903">
        <v>11</v>
      </c>
      <c r="C81" s="912" t="s">
        <v>525</v>
      </c>
      <c r="D81" s="906"/>
      <c r="E81" s="905" t="s">
        <v>23</v>
      </c>
      <c r="F81" s="956">
        <v>10145</v>
      </c>
      <c r="G81" s="951">
        <v>4400</v>
      </c>
      <c r="H81" s="1706">
        <v>8894</v>
      </c>
      <c r="I81" s="1857"/>
      <c r="J81" s="1896"/>
      <c r="K81" s="1904"/>
      <c r="L81" s="1901"/>
    </row>
    <row r="82" spans="1:12" s="909" customFormat="1" ht="18" customHeight="1" x14ac:dyDescent="0.3">
      <c r="A82" s="901">
        <v>73</v>
      </c>
      <c r="B82" s="903"/>
      <c r="C82" s="908">
        <v>1</v>
      </c>
      <c r="D82" s="915" t="s">
        <v>975</v>
      </c>
      <c r="E82" s="905"/>
      <c r="F82" s="952"/>
      <c r="G82" s="953"/>
      <c r="H82" s="1707"/>
      <c r="I82" s="1858"/>
      <c r="J82" s="1897">
        <v>794</v>
      </c>
      <c r="K82" s="1905"/>
      <c r="L82" s="1902">
        <f t="shared" ref="L82:L87" si="5">SUM(J82:K82)</f>
        <v>794</v>
      </c>
    </row>
    <row r="83" spans="1:12" s="909" customFormat="1" ht="18" customHeight="1" x14ac:dyDescent="0.3">
      <c r="A83" s="902">
        <v>74</v>
      </c>
      <c r="B83" s="903"/>
      <c r="C83" s="908">
        <v>2</v>
      </c>
      <c r="D83" s="963" t="s">
        <v>1027</v>
      </c>
      <c r="E83" s="905"/>
      <c r="F83" s="952"/>
      <c r="G83" s="953"/>
      <c r="H83" s="1707"/>
      <c r="I83" s="1858"/>
      <c r="J83" s="1897">
        <v>643</v>
      </c>
      <c r="K83" s="1905"/>
      <c r="L83" s="1902">
        <f t="shared" si="5"/>
        <v>643</v>
      </c>
    </row>
    <row r="84" spans="1:12" s="909" customFormat="1" ht="18" customHeight="1" x14ac:dyDescent="0.3">
      <c r="A84" s="891">
        <v>75</v>
      </c>
      <c r="B84" s="903"/>
      <c r="C84" s="908">
        <v>3</v>
      </c>
      <c r="D84" s="963" t="s">
        <v>1028</v>
      </c>
      <c r="E84" s="905"/>
      <c r="F84" s="952"/>
      <c r="G84" s="953"/>
      <c r="H84" s="1707"/>
      <c r="I84" s="1858"/>
      <c r="J84" s="1897">
        <v>0</v>
      </c>
      <c r="K84" s="1905"/>
      <c r="L84" s="1902">
        <f t="shared" si="5"/>
        <v>0</v>
      </c>
    </row>
    <row r="85" spans="1:12" s="909" customFormat="1" ht="18" customHeight="1" x14ac:dyDescent="0.3">
      <c r="A85" s="901">
        <v>76</v>
      </c>
      <c r="B85" s="903"/>
      <c r="C85" s="908">
        <v>4</v>
      </c>
      <c r="D85" s="963" t="s">
        <v>973</v>
      </c>
      <c r="E85" s="905"/>
      <c r="F85" s="952"/>
      <c r="G85" s="953"/>
      <c r="H85" s="1707"/>
      <c r="I85" s="1858"/>
      <c r="J85" s="1897">
        <v>173</v>
      </c>
      <c r="K85" s="1905"/>
      <c r="L85" s="1902">
        <f t="shared" si="5"/>
        <v>173</v>
      </c>
    </row>
    <row r="86" spans="1:12" s="909" customFormat="1" ht="18" customHeight="1" x14ac:dyDescent="0.3">
      <c r="A86" s="902">
        <v>77</v>
      </c>
      <c r="B86" s="903"/>
      <c r="C86" s="908">
        <v>5</v>
      </c>
      <c r="D86" s="963" t="s">
        <v>1095</v>
      </c>
      <c r="E86" s="905"/>
      <c r="F86" s="952"/>
      <c r="G86" s="953"/>
      <c r="H86" s="1707"/>
      <c r="I86" s="1858"/>
      <c r="J86" s="1897">
        <v>127</v>
      </c>
      <c r="K86" s="1905"/>
      <c r="L86" s="1902">
        <f t="shared" si="5"/>
        <v>127</v>
      </c>
    </row>
    <row r="87" spans="1:12" s="909" customFormat="1" ht="18" customHeight="1" x14ac:dyDescent="0.3">
      <c r="A87" s="891">
        <v>78</v>
      </c>
      <c r="B87" s="903"/>
      <c r="C87" s="908">
        <v>6</v>
      </c>
      <c r="D87" s="963" t="s">
        <v>1179</v>
      </c>
      <c r="E87" s="905"/>
      <c r="F87" s="952"/>
      <c r="G87" s="953"/>
      <c r="H87" s="1707"/>
      <c r="I87" s="1858"/>
      <c r="J87" s="1897">
        <v>345</v>
      </c>
      <c r="K87" s="1905"/>
      <c r="L87" s="1902">
        <f t="shared" si="5"/>
        <v>345</v>
      </c>
    </row>
    <row r="88" spans="1:12" s="907" customFormat="1" ht="22.5" customHeight="1" x14ac:dyDescent="0.3">
      <c r="A88" s="901">
        <v>79</v>
      </c>
      <c r="B88" s="903">
        <v>12</v>
      </c>
      <c r="C88" s="912" t="s">
        <v>25</v>
      </c>
      <c r="D88" s="906"/>
      <c r="E88" s="905" t="s">
        <v>23</v>
      </c>
      <c r="F88" s="956">
        <v>7550</v>
      </c>
      <c r="G88" s="951">
        <v>2000</v>
      </c>
      <c r="H88" s="1706">
        <f>1106+1737+1848+92</f>
        <v>4783</v>
      </c>
      <c r="I88" s="1857"/>
      <c r="J88" s="1896"/>
      <c r="K88" s="1904"/>
      <c r="L88" s="1901"/>
    </row>
    <row r="89" spans="1:12" s="909" customFormat="1" ht="18" hidden="1" customHeight="1" x14ac:dyDescent="0.3">
      <c r="A89" s="902">
        <v>80</v>
      </c>
      <c r="B89" s="903"/>
      <c r="C89" s="908">
        <v>1</v>
      </c>
      <c r="D89" s="915" t="s">
        <v>471</v>
      </c>
      <c r="E89" s="905"/>
      <c r="F89" s="952"/>
      <c r="G89" s="953"/>
      <c r="H89" s="1707"/>
      <c r="I89" s="1858"/>
      <c r="J89" s="1897"/>
      <c r="K89" s="1905"/>
      <c r="L89" s="1902"/>
    </row>
    <row r="90" spans="1:12" s="909" customFormat="1" ht="30" x14ac:dyDescent="0.3">
      <c r="A90" s="891">
        <v>81</v>
      </c>
      <c r="B90" s="903"/>
      <c r="C90" s="916">
        <v>1</v>
      </c>
      <c r="D90" s="915" t="s">
        <v>434</v>
      </c>
      <c r="E90" s="905"/>
      <c r="F90" s="952">
        <v>21775</v>
      </c>
      <c r="G90" s="953">
        <v>15000</v>
      </c>
      <c r="H90" s="1707">
        <v>20716</v>
      </c>
      <c r="I90" s="1858">
        <v>16000</v>
      </c>
      <c r="J90" s="1897">
        <v>67400</v>
      </c>
      <c r="K90" s="1905">
        <v>-684</v>
      </c>
      <c r="L90" s="1902">
        <f>SUM(J90:K90)</f>
        <v>66716</v>
      </c>
    </row>
    <row r="91" spans="1:12" s="909" customFormat="1" ht="30" x14ac:dyDescent="0.3">
      <c r="A91" s="901">
        <v>82</v>
      </c>
      <c r="B91" s="903"/>
      <c r="C91" s="916">
        <v>2</v>
      </c>
      <c r="D91" s="915" t="s">
        <v>802</v>
      </c>
      <c r="E91" s="905"/>
      <c r="F91" s="952"/>
      <c r="G91" s="953"/>
      <c r="H91" s="1707"/>
      <c r="I91" s="1858">
        <v>2400</v>
      </c>
      <c r="J91" s="1897">
        <v>2400</v>
      </c>
      <c r="K91" s="1905"/>
      <c r="L91" s="1902">
        <f>SUM(J91:K91)</f>
        <v>2400</v>
      </c>
    </row>
    <row r="92" spans="1:12" s="909" customFormat="1" ht="18" customHeight="1" x14ac:dyDescent="0.3">
      <c r="A92" s="902">
        <v>83</v>
      </c>
      <c r="B92" s="903"/>
      <c r="C92" s="908">
        <v>3</v>
      </c>
      <c r="D92" s="963" t="s">
        <v>974</v>
      </c>
      <c r="E92" s="905"/>
      <c r="F92" s="952"/>
      <c r="G92" s="953"/>
      <c r="H92" s="1707"/>
      <c r="I92" s="1858"/>
      <c r="J92" s="1897">
        <v>15284</v>
      </c>
      <c r="K92" s="1905">
        <v>-202</v>
      </c>
      <c r="L92" s="1902">
        <f>SUM(J92:K92)</f>
        <v>15082</v>
      </c>
    </row>
    <row r="93" spans="1:12" s="909" customFormat="1" ht="45" x14ac:dyDescent="0.3">
      <c r="A93" s="891">
        <v>84</v>
      </c>
      <c r="B93" s="903"/>
      <c r="C93" s="916">
        <v>4</v>
      </c>
      <c r="D93" s="963" t="s">
        <v>1175</v>
      </c>
      <c r="E93" s="905"/>
      <c r="F93" s="952"/>
      <c r="G93" s="953"/>
      <c r="H93" s="1707"/>
      <c r="I93" s="1858"/>
      <c r="J93" s="1897">
        <v>1704</v>
      </c>
      <c r="K93" s="1905">
        <v>-414</v>
      </c>
      <c r="L93" s="1902">
        <f>SUM(J93:K93)</f>
        <v>1290</v>
      </c>
    </row>
    <row r="94" spans="1:12" s="909" customFormat="1" ht="18" customHeight="1" x14ac:dyDescent="0.3">
      <c r="A94" s="901">
        <v>85</v>
      </c>
      <c r="B94" s="903"/>
      <c r="C94" s="908">
        <v>5</v>
      </c>
      <c r="D94" s="963" t="s">
        <v>1123</v>
      </c>
      <c r="E94" s="905"/>
      <c r="F94" s="952"/>
      <c r="G94" s="953"/>
      <c r="H94" s="1707"/>
      <c r="I94" s="1858"/>
      <c r="J94" s="1897">
        <v>777</v>
      </c>
      <c r="K94" s="1905"/>
      <c r="L94" s="1902">
        <f t="shared" ref="L94:L95" si="6">SUM(J94:K94)</f>
        <v>777</v>
      </c>
    </row>
    <row r="95" spans="1:12" s="909" customFormat="1" ht="30" x14ac:dyDescent="0.3">
      <c r="A95" s="902">
        <v>86</v>
      </c>
      <c r="B95" s="903"/>
      <c r="C95" s="916">
        <v>6</v>
      </c>
      <c r="D95" s="963" t="s">
        <v>1089</v>
      </c>
      <c r="E95" s="905"/>
      <c r="F95" s="952"/>
      <c r="G95" s="953"/>
      <c r="H95" s="1707"/>
      <c r="I95" s="1858"/>
      <c r="J95" s="1897">
        <v>530</v>
      </c>
      <c r="K95" s="1905">
        <v>-105</v>
      </c>
      <c r="L95" s="1902">
        <f t="shared" si="6"/>
        <v>425</v>
      </c>
    </row>
    <row r="96" spans="1:12" s="907" customFormat="1" ht="22.5" customHeight="1" x14ac:dyDescent="0.3">
      <c r="A96" s="891">
        <v>87</v>
      </c>
      <c r="B96" s="903">
        <v>13</v>
      </c>
      <c r="C96" s="912" t="s">
        <v>34</v>
      </c>
      <c r="D96" s="906"/>
      <c r="E96" s="905" t="s">
        <v>23</v>
      </c>
      <c r="F96" s="956">
        <f>7372-1016</f>
        <v>6356</v>
      </c>
      <c r="G96" s="951">
        <v>25158</v>
      </c>
      <c r="H96" s="1706">
        <v>50840</v>
      </c>
      <c r="I96" s="1857"/>
      <c r="J96" s="1896"/>
      <c r="K96" s="1904"/>
      <c r="L96" s="1901"/>
    </row>
    <row r="97" spans="1:12" s="909" customFormat="1" ht="28.5" customHeight="1" x14ac:dyDescent="0.3">
      <c r="A97" s="901">
        <v>88</v>
      </c>
      <c r="B97" s="903"/>
      <c r="C97" s="916">
        <v>1</v>
      </c>
      <c r="D97" s="915" t="s">
        <v>977</v>
      </c>
      <c r="E97" s="905"/>
      <c r="F97" s="952"/>
      <c r="G97" s="953"/>
      <c r="H97" s="1707"/>
      <c r="I97" s="1858">
        <v>700</v>
      </c>
      <c r="J97" s="1897">
        <v>1090</v>
      </c>
      <c r="K97" s="1905"/>
      <c r="L97" s="1902">
        <f t="shared" ref="L97:L114" si="7">SUM(J97:K97)</f>
        <v>1090</v>
      </c>
    </row>
    <row r="98" spans="1:12" s="909" customFormat="1" ht="18" customHeight="1" x14ac:dyDescent="0.3">
      <c r="A98" s="902">
        <v>89</v>
      </c>
      <c r="B98" s="903"/>
      <c r="C98" s="908">
        <v>2</v>
      </c>
      <c r="D98" s="963" t="s">
        <v>803</v>
      </c>
      <c r="E98" s="905"/>
      <c r="F98" s="952"/>
      <c r="G98" s="953"/>
      <c r="H98" s="1707"/>
      <c r="I98" s="1858">
        <v>500</v>
      </c>
      <c r="J98" s="1897">
        <v>900</v>
      </c>
      <c r="K98" s="1905"/>
      <c r="L98" s="1902">
        <f t="shared" si="7"/>
        <v>900</v>
      </c>
    </row>
    <row r="99" spans="1:12" s="909" customFormat="1" ht="45" customHeight="1" x14ac:dyDescent="0.3">
      <c r="A99" s="891">
        <v>90</v>
      </c>
      <c r="B99" s="903"/>
      <c r="C99" s="916">
        <v>3</v>
      </c>
      <c r="D99" s="964" t="s">
        <v>804</v>
      </c>
      <c r="E99" s="905"/>
      <c r="F99" s="952">
        <v>1016</v>
      </c>
      <c r="G99" s="953">
        <v>53846</v>
      </c>
      <c r="H99" s="1707">
        <v>54424</v>
      </c>
      <c r="I99" s="1858"/>
      <c r="J99" s="1897"/>
      <c r="K99" s="1905"/>
      <c r="L99" s="1902">
        <f t="shared" si="7"/>
        <v>0</v>
      </c>
    </row>
    <row r="100" spans="1:12" s="909" customFormat="1" ht="18" customHeight="1" x14ac:dyDescent="0.3">
      <c r="A100" s="901">
        <v>91</v>
      </c>
      <c r="B100" s="903"/>
      <c r="C100" s="908">
        <v>4</v>
      </c>
      <c r="D100" s="963" t="s">
        <v>1013</v>
      </c>
      <c r="E100" s="1668"/>
      <c r="F100" s="1669"/>
      <c r="G100" s="1435"/>
      <c r="H100" s="1708"/>
      <c r="I100" s="1859"/>
      <c r="J100" s="1898">
        <v>1000</v>
      </c>
      <c r="K100" s="1904"/>
      <c r="L100" s="1903">
        <f t="shared" si="7"/>
        <v>1000</v>
      </c>
    </row>
    <row r="101" spans="1:12" s="909" customFormat="1" ht="31.5" customHeight="1" x14ac:dyDescent="0.3">
      <c r="A101" s="902">
        <v>92</v>
      </c>
      <c r="B101" s="903"/>
      <c r="C101" s="916">
        <v>5</v>
      </c>
      <c r="D101" s="963" t="s">
        <v>978</v>
      </c>
      <c r="E101" s="1668"/>
      <c r="F101" s="1669"/>
      <c r="G101" s="1435"/>
      <c r="H101" s="1708"/>
      <c r="I101" s="1859"/>
      <c r="J101" s="1898">
        <v>1804</v>
      </c>
      <c r="K101" s="1904"/>
      <c r="L101" s="1903">
        <f t="shared" si="7"/>
        <v>1804</v>
      </c>
    </row>
    <row r="102" spans="1:12" s="909" customFormat="1" ht="18" customHeight="1" x14ac:dyDescent="0.3">
      <c r="A102" s="891">
        <v>93</v>
      </c>
      <c r="B102" s="903"/>
      <c r="C102" s="908">
        <v>6</v>
      </c>
      <c r="D102" s="963" t="s">
        <v>1012</v>
      </c>
      <c r="E102" s="1668"/>
      <c r="F102" s="1669"/>
      <c r="G102" s="1435"/>
      <c r="H102" s="1708"/>
      <c r="I102" s="1859"/>
      <c r="J102" s="1898">
        <v>110</v>
      </c>
      <c r="K102" s="1904"/>
      <c r="L102" s="1903">
        <f t="shared" si="7"/>
        <v>110</v>
      </c>
    </row>
    <row r="103" spans="1:12" s="909" customFormat="1" ht="18" customHeight="1" x14ac:dyDescent="0.3">
      <c r="A103" s="901">
        <v>94</v>
      </c>
      <c r="B103" s="903"/>
      <c r="C103" s="908">
        <v>7</v>
      </c>
      <c r="D103" s="963" t="s">
        <v>1097</v>
      </c>
      <c r="E103" s="1668"/>
      <c r="F103" s="1669"/>
      <c r="G103" s="1435"/>
      <c r="H103" s="1708"/>
      <c r="I103" s="1859"/>
      <c r="J103" s="1898">
        <v>0</v>
      </c>
      <c r="K103" s="1904"/>
      <c r="L103" s="1903">
        <f t="shared" si="7"/>
        <v>0</v>
      </c>
    </row>
    <row r="104" spans="1:12" s="909" customFormat="1" ht="18" customHeight="1" x14ac:dyDescent="0.3">
      <c r="A104" s="902">
        <v>95</v>
      </c>
      <c r="B104" s="903"/>
      <c r="C104" s="908">
        <v>8</v>
      </c>
      <c r="D104" s="963" t="s">
        <v>1098</v>
      </c>
      <c r="E104" s="1668"/>
      <c r="F104" s="1669"/>
      <c r="G104" s="1435"/>
      <c r="H104" s="1708"/>
      <c r="I104" s="1859"/>
      <c r="J104" s="1898">
        <v>175</v>
      </c>
      <c r="K104" s="1904"/>
      <c r="L104" s="1903">
        <f t="shared" si="7"/>
        <v>175</v>
      </c>
    </row>
    <row r="105" spans="1:12" s="909" customFormat="1" ht="18" customHeight="1" x14ac:dyDescent="0.3">
      <c r="A105" s="891">
        <v>96</v>
      </c>
      <c r="B105" s="903"/>
      <c r="C105" s="908">
        <v>9</v>
      </c>
      <c r="D105" s="963" t="s">
        <v>1099</v>
      </c>
      <c r="E105" s="1668"/>
      <c r="F105" s="1669"/>
      <c r="G105" s="1435"/>
      <c r="H105" s="1708"/>
      <c r="I105" s="1859"/>
      <c r="J105" s="1898">
        <v>960</v>
      </c>
      <c r="K105" s="1904"/>
      <c r="L105" s="1903">
        <f t="shared" si="7"/>
        <v>960</v>
      </c>
    </row>
    <row r="106" spans="1:12" s="909" customFormat="1" ht="18" customHeight="1" x14ac:dyDescent="0.3">
      <c r="A106" s="901">
        <v>97</v>
      </c>
      <c r="B106" s="903"/>
      <c r="C106" s="908">
        <v>10</v>
      </c>
      <c r="D106" s="963" t="s">
        <v>1100</v>
      </c>
      <c r="E106" s="1668"/>
      <c r="F106" s="1669"/>
      <c r="G106" s="1435"/>
      <c r="H106" s="1708"/>
      <c r="I106" s="1859"/>
      <c r="J106" s="1898">
        <v>300</v>
      </c>
      <c r="K106" s="1904"/>
      <c r="L106" s="1903">
        <f t="shared" si="7"/>
        <v>300</v>
      </c>
    </row>
    <row r="107" spans="1:12" s="909" customFormat="1" ht="18" customHeight="1" x14ac:dyDescent="0.3">
      <c r="A107" s="902">
        <v>98</v>
      </c>
      <c r="B107" s="903"/>
      <c r="C107" s="908">
        <v>11</v>
      </c>
      <c r="D107" s="963" t="s">
        <v>1177</v>
      </c>
      <c r="E107" s="1668"/>
      <c r="F107" s="1669"/>
      <c r="G107" s="1435"/>
      <c r="H107" s="1708"/>
      <c r="I107" s="1859"/>
      <c r="J107" s="1898">
        <v>300</v>
      </c>
      <c r="K107" s="1904"/>
      <c r="L107" s="1903">
        <f t="shared" si="7"/>
        <v>300</v>
      </c>
    </row>
    <row r="108" spans="1:12" s="909" customFormat="1" ht="18" customHeight="1" x14ac:dyDescent="0.3">
      <c r="A108" s="891">
        <v>99</v>
      </c>
      <c r="B108" s="903"/>
      <c r="C108" s="908"/>
      <c r="D108" s="2013" t="s">
        <v>1189</v>
      </c>
      <c r="E108" s="1668"/>
      <c r="F108" s="1669"/>
      <c r="G108" s="1435"/>
      <c r="H108" s="1708"/>
      <c r="I108" s="1859"/>
      <c r="J108" s="1898"/>
      <c r="K108" s="1904"/>
      <c r="L108" s="1903"/>
    </row>
    <row r="109" spans="1:12" s="909" customFormat="1" ht="18" customHeight="1" x14ac:dyDescent="0.3">
      <c r="A109" s="901">
        <v>100</v>
      </c>
      <c r="B109" s="903"/>
      <c r="C109" s="908">
        <v>12</v>
      </c>
      <c r="D109" s="963" t="s">
        <v>1190</v>
      </c>
      <c r="E109" s="1668"/>
      <c r="F109" s="1669"/>
      <c r="G109" s="1435"/>
      <c r="H109" s="1708"/>
      <c r="I109" s="1859"/>
      <c r="J109" s="1898">
        <v>450</v>
      </c>
      <c r="K109" s="1904"/>
      <c r="L109" s="1903">
        <f t="shared" si="7"/>
        <v>450</v>
      </c>
    </row>
    <row r="110" spans="1:12" s="909" customFormat="1" ht="18" customHeight="1" x14ac:dyDescent="0.3">
      <c r="A110" s="902">
        <v>101</v>
      </c>
      <c r="B110" s="903"/>
      <c r="C110" s="908">
        <v>13</v>
      </c>
      <c r="D110" s="963" t="s">
        <v>1191</v>
      </c>
      <c r="E110" s="1668"/>
      <c r="F110" s="1669"/>
      <c r="G110" s="1435"/>
      <c r="H110" s="1708"/>
      <c r="I110" s="1859"/>
      <c r="J110" s="1898">
        <v>400</v>
      </c>
      <c r="K110" s="1904"/>
      <c r="L110" s="1903">
        <f t="shared" si="7"/>
        <v>400</v>
      </c>
    </row>
    <row r="111" spans="1:12" s="909" customFormat="1" ht="18" customHeight="1" x14ac:dyDescent="0.3">
      <c r="A111" s="891">
        <v>102</v>
      </c>
      <c r="B111" s="903"/>
      <c r="C111" s="908">
        <v>14</v>
      </c>
      <c r="D111" s="963" t="s">
        <v>1192</v>
      </c>
      <c r="E111" s="1668"/>
      <c r="F111" s="1669"/>
      <c r="G111" s="1435"/>
      <c r="H111" s="1708"/>
      <c r="I111" s="1859"/>
      <c r="J111" s="1898">
        <v>300</v>
      </c>
      <c r="K111" s="1904"/>
      <c r="L111" s="1903">
        <f t="shared" si="7"/>
        <v>300</v>
      </c>
    </row>
    <row r="112" spans="1:12" s="909" customFormat="1" ht="18" customHeight="1" x14ac:dyDescent="0.3">
      <c r="A112" s="901">
        <v>103</v>
      </c>
      <c r="B112" s="903"/>
      <c r="C112" s="908">
        <v>15</v>
      </c>
      <c r="D112" s="963" t="s">
        <v>1193</v>
      </c>
      <c r="E112" s="1668"/>
      <c r="F112" s="1669"/>
      <c r="G112" s="1435"/>
      <c r="H112" s="1708"/>
      <c r="I112" s="1859"/>
      <c r="J112" s="1898">
        <v>310</v>
      </c>
      <c r="K112" s="1904"/>
      <c r="L112" s="1903">
        <f t="shared" si="7"/>
        <v>310</v>
      </c>
    </row>
    <row r="113" spans="1:12" s="909" customFormat="1" ht="18" customHeight="1" x14ac:dyDescent="0.3">
      <c r="A113" s="902">
        <v>104</v>
      </c>
      <c r="B113" s="903"/>
      <c r="C113" s="908">
        <v>16</v>
      </c>
      <c r="D113" s="963" t="s">
        <v>1194</v>
      </c>
      <c r="E113" s="1668"/>
      <c r="F113" s="1669"/>
      <c r="G113" s="1435"/>
      <c r="H113" s="1708"/>
      <c r="I113" s="1859"/>
      <c r="J113" s="1898">
        <v>250</v>
      </c>
      <c r="K113" s="1904"/>
      <c r="L113" s="1903">
        <f t="shared" si="7"/>
        <v>250</v>
      </c>
    </row>
    <row r="114" spans="1:12" s="909" customFormat="1" ht="18" customHeight="1" x14ac:dyDescent="0.3">
      <c r="A114" s="891">
        <v>105</v>
      </c>
      <c r="B114" s="903"/>
      <c r="C114" s="908">
        <v>17</v>
      </c>
      <c r="D114" s="963" t="s">
        <v>1195</v>
      </c>
      <c r="E114" s="1668"/>
      <c r="F114" s="1669"/>
      <c r="G114" s="1435"/>
      <c r="H114" s="1708"/>
      <c r="I114" s="1859"/>
      <c r="J114" s="1898">
        <v>430</v>
      </c>
      <c r="K114" s="1904"/>
      <c r="L114" s="1903">
        <f t="shared" si="7"/>
        <v>430</v>
      </c>
    </row>
    <row r="115" spans="1:12" s="907" customFormat="1" ht="22.5" customHeight="1" x14ac:dyDescent="0.3">
      <c r="A115" s="901">
        <v>106</v>
      </c>
      <c r="B115" s="903">
        <v>14</v>
      </c>
      <c r="C115" s="912" t="s">
        <v>526</v>
      </c>
      <c r="D115" s="906"/>
      <c r="E115" s="905" t="s">
        <v>24</v>
      </c>
      <c r="F115" s="956">
        <v>6210</v>
      </c>
      <c r="G115" s="951">
        <v>4000</v>
      </c>
      <c r="H115" s="1706">
        <v>2197</v>
      </c>
      <c r="I115" s="1857"/>
      <c r="J115" s="1896"/>
      <c r="K115" s="1904"/>
      <c r="L115" s="1901"/>
    </row>
    <row r="116" spans="1:12" s="909" customFormat="1" ht="30" x14ac:dyDescent="0.3">
      <c r="A116" s="902">
        <v>107</v>
      </c>
      <c r="B116" s="903"/>
      <c r="C116" s="916">
        <v>1</v>
      </c>
      <c r="D116" s="963" t="s">
        <v>805</v>
      </c>
      <c r="E116" s="905"/>
      <c r="F116" s="952">
        <v>597</v>
      </c>
      <c r="G116" s="953">
        <v>1879</v>
      </c>
      <c r="H116" s="1707">
        <v>835</v>
      </c>
      <c r="I116" s="1858">
        <v>2831</v>
      </c>
      <c r="J116" s="1897">
        <v>869</v>
      </c>
      <c r="K116" s="1905"/>
      <c r="L116" s="1902">
        <f>SUM(J116:K116)</f>
        <v>869</v>
      </c>
    </row>
    <row r="117" spans="1:12" s="909" customFormat="1" ht="45" x14ac:dyDescent="0.3">
      <c r="A117" s="891">
        <v>108</v>
      </c>
      <c r="B117" s="903"/>
      <c r="C117" s="916">
        <v>2</v>
      </c>
      <c r="D117" s="963" t="s">
        <v>1110</v>
      </c>
      <c r="E117" s="905"/>
      <c r="F117" s="952"/>
      <c r="G117" s="953"/>
      <c r="H117" s="1707"/>
      <c r="I117" s="1858"/>
      <c r="J117" s="1897">
        <v>2847</v>
      </c>
      <c r="K117" s="1905"/>
      <c r="L117" s="1902">
        <f>SUM(J117:K117)</f>
        <v>2847</v>
      </c>
    </row>
    <row r="118" spans="1:12" s="909" customFormat="1" ht="18" customHeight="1" x14ac:dyDescent="0.3">
      <c r="A118" s="901">
        <v>109</v>
      </c>
      <c r="B118" s="903"/>
      <c r="C118" s="908">
        <v>3</v>
      </c>
      <c r="D118" s="963" t="s">
        <v>1092</v>
      </c>
      <c r="E118" s="905"/>
      <c r="F118" s="952"/>
      <c r="G118" s="953"/>
      <c r="H118" s="1707"/>
      <c r="I118" s="1858"/>
      <c r="J118" s="1897">
        <v>187</v>
      </c>
      <c r="K118" s="1905"/>
      <c r="L118" s="1902">
        <f t="shared" ref="L118:L121" si="8">SUM(J118:K118)</f>
        <v>187</v>
      </c>
    </row>
    <row r="119" spans="1:12" s="909" customFormat="1" ht="30" x14ac:dyDescent="0.3">
      <c r="A119" s="902">
        <v>110</v>
      </c>
      <c r="B119" s="903"/>
      <c r="C119" s="916">
        <v>4</v>
      </c>
      <c r="D119" s="963" t="s">
        <v>1093</v>
      </c>
      <c r="E119" s="905"/>
      <c r="F119" s="952"/>
      <c r="G119" s="953"/>
      <c r="H119" s="1707"/>
      <c r="I119" s="1858"/>
      <c r="J119" s="1897">
        <v>27</v>
      </c>
      <c r="K119" s="1905"/>
      <c r="L119" s="1902">
        <f t="shared" si="8"/>
        <v>27</v>
      </c>
    </row>
    <row r="120" spans="1:12" s="909" customFormat="1" ht="18" customHeight="1" x14ac:dyDescent="0.3">
      <c r="A120" s="891">
        <v>111</v>
      </c>
      <c r="B120" s="903"/>
      <c r="C120" s="908">
        <v>5</v>
      </c>
      <c r="D120" s="963" t="s">
        <v>1094</v>
      </c>
      <c r="E120" s="905"/>
      <c r="F120" s="952"/>
      <c r="G120" s="953"/>
      <c r="H120" s="1707"/>
      <c r="I120" s="1858"/>
      <c r="J120" s="1897">
        <v>112</v>
      </c>
      <c r="K120" s="1905"/>
      <c r="L120" s="1902">
        <f t="shared" si="8"/>
        <v>112</v>
      </c>
    </row>
    <row r="121" spans="1:12" s="909" customFormat="1" ht="18" customHeight="1" x14ac:dyDescent="0.3">
      <c r="A121" s="901">
        <v>112</v>
      </c>
      <c r="B121" s="903"/>
      <c r="C121" s="908">
        <v>6</v>
      </c>
      <c r="D121" s="963" t="s">
        <v>1176</v>
      </c>
      <c r="E121" s="905"/>
      <c r="F121" s="952"/>
      <c r="G121" s="953"/>
      <c r="H121" s="1707"/>
      <c r="I121" s="1858"/>
      <c r="J121" s="1897">
        <v>24</v>
      </c>
      <c r="K121" s="1905"/>
      <c r="L121" s="1902">
        <f t="shared" si="8"/>
        <v>24</v>
      </c>
    </row>
    <row r="122" spans="1:12" s="907" customFormat="1" ht="22.5" customHeight="1" x14ac:dyDescent="0.3">
      <c r="A122" s="902">
        <v>113</v>
      </c>
      <c r="B122" s="903">
        <v>15</v>
      </c>
      <c r="C122" s="912" t="s">
        <v>157</v>
      </c>
      <c r="D122" s="906"/>
      <c r="E122" s="905" t="s">
        <v>24</v>
      </c>
      <c r="F122" s="956">
        <v>12216</v>
      </c>
      <c r="G122" s="951">
        <v>1500</v>
      </c>
      <c r="H122" s="1706">
        <v>22457</v>
      </c>
      <c r="I122" s="1857"/>
      <c r="J122" s="1896"/>
      <c r="K122" s="1904"/>
      <c r="L122" s="1901"/>
    </row>
    <row r="123" spans="1:12" s="909" customFormat="1" ht="182.25" customHeight="1" x14ac:dyDescent="0.3">
      <c r="A123" s="891">
        <v>114</v>
      </c>
      <c r="B123" s="903"/>
      <c r="C123" s="916">
        <v>1</v>
      </c>
      <c r="D123" s="915" t="s">
        <v>1351</v>
      </c>
      <c r="E123" s="905"/>
      <c r="F123" s="952"/>
      <c r="G123" s="953"/>
      <c r="H123" s="1707"/>
      <c r="I123" s="1858">
        <v>2000</v>
      </c>
      <c r="J123" s="1897">
        <v>7555</v>
      </c>
      <c r="K123" s="1905"/>
      <c r="L123" s="1902">
        <f>SUM(J123:K123)</f>
        <v>7555</v>
      </c>
    </row>
    <row r="124" spans="1:12" s="909" customFormat="1" ht="30" x14ac:dyDescent="0.3">
      <c r="A124" s="901">
        <v>115</v>
      </c>
      <c r="B124" s="903"/>
      <c r="C124" s="1886">
        <v>2</v>
      </c>
      <c r="D124" s="963" t="s">
        <v>1041</v>
      </c>
      <c r="E124" s="905"/>
      <c r="F124" s="952"/>
      <c r="G124" s="953"/>
      <c r="H124" s="1707"/>
      <c r="I124" s="1858"/>
      <c r="J124" s="1897">
        <v>9961</v>
      </c>
      <c r="K124" s="1905"/>
      <c r="L124" s="1902">
        <f>SUM(J124:K124)</f>
        <v>9961</v>
      </c>
    </row>
    <row r="125" spans="1:12" s="909" customFormat="1" ht="18" customHeight="1" x14ac:dyDescent="0.3">
      <c r="A125" s="902">
        <v>116</v>
      </c>
      <c r="B125" s="903"/>
      <c r="C125" s="1666">
        <v>3</v>
      </c>
      <c r="D125" s="963" t="s">
        <v>1108</v>
      </c>
      <c r="E125" s="905"/>
      <c r="F125" s="952"/>
      <c r="G125" s="953"/>
      <c r="H125" s="1707"/>
      <c r="I125" s="1858"/>
      <c r="J125" s="1897">
        <v>6120</v>
      </c>
      <c r="K125" s="1905"/>
      <c r="L125" s="1902">
        <f>SUM(J125:K125)</f>
        <v>6120</v>
      </c>
    </row>
    <row r="126" spans="1:12" s="909" customFormat="1" ht="30" x14ac:dyDescent="0.3">
      <c r="A126" s="891">
        <v>117</v>
      </c>
      <c r="B126" s="903"/>
      <c r="C126" s="1886">
        <v>4</v>
      </c>
      <c r="D126" s="963" t="s">
        <v>1239</v>
      </c>
      <c r="E126" s="905"/>
      <c r="F126" s="952"/>
      <c r="G126" s="953"/>
      <c r="H126" s="1707"/>
      <c r="I126" s="1858"/>
      <c r="J126" s="1897">
        <v>808</v>
      </c>
      <c r="K126" s="1905"/>
      <c r="L126" s="1902">
        <f t="shared" ref="L126:L132" si="9">SUM(J126:K126)</f>
        <v>808</v>
      </c>
    </row>
    <row r="127" spans="1:12" s="909" customFormat="1" ht="30" x14ac:dyDescent="0.3">
      <c r="A127" s="901">
        <v>118</v>
      </c>
      <c r="B127" s="903"/>
      <c r="C127" s="1886">
        <v>5</v>
      </c>
      <c r="D127" s="963" t="s">
        <v>1240</v>
      </c>
      <c r="E127" s="905"/>
      <c r="F127" s="952"/>
      <c r="G127" s="953"/>
      <c r="H127" s="1707"/>
      <c r="I127" s="1858"/>
      <c r="J127" s="1897">
        <v>895</v>
      </c>
      <c r="K127" s="1905"/>
      <c r="L127" s="1902">
        <f t="shared" si="9"/>
        <v>895</v>
      </c>
    </row>
    <row r="128" spans="1:12" s="909" customFormat="1" ht="18" customHeight="1" x14ac:dyDescent="0.3">
      <c r="A128" s="902">
        <v>119</v>
      </c>
      <c r="B128" s="903"/>
      <c r="C128" s="1666">
        <v>6</v>
      </c>
      <c r="D128" s="963" t="s">
        <v>1126</v>
      </c>
      <c r="E128" s="905"/>
      <c r="F128" s="952"/>
      <c r="G128" s="953"/>
      <c r="H128" s="1707"/>
      <c r="I128" s="1858"/>
      <c r="J128" s="1897">
        <v>378</v>
      </c>
      <c r="K128" s="1905"/>
      <c r="L128" s="1902">
        <f t="shared" si="9"/>
        <v>378</v>
      </c>
    </row>
    <row r="129" spans="1:12" s="909" customFormat="1" ht="18" customHeight="1" x14ac:dyDescent="0.3">
      <c r="A129" s="891">
        <v>120</v>
      </c>
      <c r="B129" s="903"/>
      <c r="C129" s="1666">
        <v>7</v>
      </c>
      <c r="D129" s="963" t="s">
        <v>1196</v>
      </c>
      <c r="E129" s="905"/>
      <c r="F129" s="952"/>
      <c r="G129" s="953"/>
      <c r="H129" s="1707"/>
      <c r="I129" s="1858"/>
      <c r="J129" s="1897">
        <v>1080</v>
      </c>
      <c r="K129" s="1905"/>
      <c r="L129" s="1902">
        <f t="shared" si="9"/>
        <v>1080</v>
      </c>
    </row>
    <row r="130" spans="1:12" s="909" customFormat="1" ht="32.25" customHeight="1" x14ac:dyDescent="0.3">
      <c r="A130" s="901">
        <v>121</v>
      </c>
      <c r="B130" s="903"/>
      <c r="C130" s="1886">
        <v>8</v>
      </c>
      <c r="D130" s="963" t="s">
        <v>1197</v>
      </c>
      <c r="E130" s="905"/>
      <c r="F130" s="952"/>
      <c r="G130" s="953"/>
      <c r="H130" s="1707"/>
      <c r="I130" s="1858"/>
      <c r="J130" s="1897">
        <v>1397</v>
      </c>
      <c r="K130" s="1905"/>
      <c r="L130" s="1902">
        <f t="shared" si="9"/>
        <v>1397</v>
      </c>
    </row>
    <row r="131" spans="1:12" s="907" customFormat="1" ht="22.5" customHeight="1" x14ac:dyDescent="0.3">
      <c r="A131" s="902">
        <v>122</v>
      </c>
      <c r="B131" s="903">
        <v>16</v>
      </c>
      <c r="C131" s="917" t="s">
        <v>269</v>
      </c>
      <c r="D131" s="906"/>
      <c r="E131" s="905" t="s">
        <v>23</v>
      </c>
      <c r="F131" s="956">
        <v>8876</v>
      </c>
      <c r="G131" s="951">
        <v>1000</v>
      </c>
      <c r="H131" s="1706">
        <v>9248</v>
      </c>
      <c r="I131" s="1857"/>
      <c r="J131" s="1896"/>
      <c r="K131" s="1904"/>
      <c r="L131" s="1901"/>
    </row>
    <row r="132" spans="1:12" s="907" customFormat="1" ht="34.5" customHeight="1" thickBot="1" x14ac:dyDescent="0.35">
      <c r="A132" s="891">
        <v>123</v>
      </c>
      <c r="B132" s="1950"/>
      <c r="C132" s="1666">
        <v>1</v>
      </c>
      <c r="D132" s="963" t="s">
        <v>1241</v>
      </c>
      <c r="E132" s="1951"/>
      <c r="F132" s="1952"/>
      <c r="G132" s="1953"/>
      <c r="H132" s="1954"/>
      <c r="I132" s="1955"/>
      <c r="J132" s="1984">
        <v>4500</v>
      </c>
      <c r="K132" s="1956"/>
      <c r="L132" s="1902">
        <f t="shared" si="9"/>
        <v>4500</v>
      </c>
    </row>
    <row r="133" spans="1:12" s="918" customFormat="1" ht="36" customHeight="1" thickTop="1" thickBot="1" x14ac:dyDescent="0.25">
      <c r="A133" s="901">
        <v>124</v>
      </c>
      <c r="B133" s="2277" t="s">
        <v>665</v>
      </c>
      <c r="C133" s="2278"/>
      <c r="D133" s="2279"/>
      <c r="E133" s="957"/>
      <c r="F133" s="958">
        <f t="shared" ref="F133:L133" si="10">SUM(F11:F132)</f>
        <v>139842</v>
      </c>
      <c r="G133" s="959">
        <f t="shared" si="10"/>
        <v>141948</v>
      </c>
      <c r="H133" s="1710">
        <f t="shared" si="10"/>
        <v>253498</v>
      </c>
      <c r="I133" s="1861">
        <f t="shared" si="10"/>
        <v>32671</v>
      </c>
      <c r="J133" s="1849">
        <f t="shared" si="10"/>
        <v>177437</v>
      </c>
      <c r="K133" s="1907">
        <f t="shared" si="10"/>
        <v>-1405</v>
      </c>
      <c r="L133" s="1436">
        <f t="shared" si="10"/>
        <v>176032</v>
      </c>
    </row>
    <row r="134" spans="1:12" s="907" customFormat="1" ht="22.5" customHeight="1" x14ac:dyDescent="0.3">
      <c r="A134" s="902">
        <v>125</v>
      </c>
      <c r="B134" s="903">
        <v>17</v>
      </c>
      <c r="C134" s="919" t="s">
        <v>26</v>
      </c>
      <c r="D134" s="906"/>
      <c r="E134" s="905" t="s">
        <v>23</v>
      </c>
      <c r="F134" s="950"/>
      <c r="G134" s="951"/>
      <c r="H134" s="1706"/>
      <c r="I134" s="1857"/>
      <c r="J134" s="1896"/>
      <c r="K134" s="1904"/>
      <c r="L134" s="1901"/>
    </row>
    <row r="135" spans="1:12" s="909" customFormat="1" ht="18" customHeight="1" x14ac:dyDescent="0.3">
      <c r="A135" s="891">
        <v>126</v>
      </c>
      <c r="B135" s="903"/>
      <c r="C135" s="908">
        <v>1</v>
      </c>
      <c r="D135" s="915" t="s">
        <v>435</v>
      </c>
      <c r="E135" s="905"/>
      <c r="F135" s="952"/>
      <c r="G135" s="953">
        <v>889</v>
      </c>
      <c r="H135" s="1707"/>
      <c r="I135" s="1858">
        <v>889</v>
      </c>
      <c r="J135" s="1897">
        <v>889</v>
      </c>
      <c r="K135" s="1905"/>
      <c r="L135" s="1902">
        <f t="shared" ref="L135:L139" si="11">SUM(J135:K135)</f>
        <v>889</v>
      </c>
    </row>
    <row r="136" spans="1:12" s="909" customFormat="1" ht="30" x14ac:dyDescent="0.3">
      <c r="A136" s="901">
        <v>127</v>
      </c>
      <c r="B136" s="903"/>
      <c r="C136" s="920">
        <v>2</v>
      </c>
      <c r="D136" s="915" t="s">
        <v>1101</v>
      </c>
      <c r="E136" s="905"/>
      <c r="F136" s="952">
        <v>2728</v>
      </c>
      <c r="G136" s="953">
        <v>3556</v>
      </c>
      <c r="H136" s="1707">
        <v>1718</v>
      </c>
      <c r="I136" s="1858">
        <v>6096</v>
      </c>
      <c r="J136" s="1897">
        <v>7594</v>
      </c>
      <c r="K136" s="1905"/>
      <c r="L136" s="1902">
        <f t="shared" si="11"/>
        <v>7594</v>
      </c>
    </row>
    <row r="137" spans="1:12" s="909" customFormat="1" ht="18" customHeight="1" x14ac:dyDescent="0.3">
      <c r="A137" s="902">
        <v>128</v>
      </c>
      <c r="B137" s="903"/>
      <c r="C137" s="905">
        <v>3</v>
      </c>
      <c r="D137" s="915" t="s">
        <v>35</v>
      </c>
      <c r="E137" s="905"/>
      <c r="F137" s="952">
        <v>12879</v>
      </c>
      <c r="G137" s="953">
        <v>18380</v>
      </c>
      <c r="H137" s="1707">
        <v>22105</v>
      </c>
      <c r="I137" s="1858">
        <v>18380</v>
      </c>
      <c r="J137" s="1897">
        <v>24074</v>
      </c>
      <c r="K137" s="1905"/>
      <c r="L137" s="1902">
        <f t="shared" si="11"/>
        <v>24074</v>
      </c>
    </row>
    <row r="138" spans="1:12" s="909" customFormat="1" ht="18" customHeight="1" x14ac:dyDescent="0.3">
      <c r="A138" s="891">
        <v>129</v>
      </c>
      <c r="B138" s="903"/>
      <c r="C138" s="905">
        <v>4</v>
      </c>
      <c r="D138" s="915" t="s">
        <v>806</v>
      </c>
      <c r="E138" s="905"/>
      <c r="F138" s="952"/>
      <c r="G138" s="953"/>
      <c r="H138" s="1707"/>
      <c r="I138" s="1858">
        <v>9000</v>
      </c>
      <c r="J138" s="1897">
        <v>0</v>
      </c>
      <c r="K138" s="1905"/>
      <c r="L138" s="1902">
        <f t="shared" si="11"/>
        <v>0</v>
      </c>
    </row>
    <row r="139" spans="1:12" s="909" customFormat="1" ht="18" customHeight="1" thickBot="1" x14ac:dyDescent="0.35">
      <c r="A139" s="901">
        <v>130</v>
      </c>
      <c r="B139" s="903"/>
      <c r="C139" s="905">
        <v>5</v>
      </c>
      <c r="D139" s="915" t="s">
        <v>1234</v>
      </c>
      <c r="E139" s="905"/>
      <c r="F139" s="952"/>
      <c r="G139" s="951"/>
      <c r="H139" s="1708"/>
      <c r="I139" s="1866"/>
      <c r="J139" s="1897">
        <v>330</v>
      </c>
      <c r="K139" s="1905"/>
      <c r="L139" s="1902">
        <f t="shared" si="11"/>
        <v>330</v>
      </c>
    </row>
    <row r="140" spans="1:12" s="918" customFormat="1" ht="36" customHeight="1" thickTop="1" thickBot="1" x14ac:dyDescent="0.25">
      <c r="A140" s="902">
        <v>131</v>
      </c>
      <c r="B140" s="2277" t="s">
        <v>666</v>
      </c>
      <c r="C140" s="2278"/>
      <c r="D140" s="2279"/>
      <c r="E140" s="957"/>
      <c r="F140" s="958">
        <f>SUM(F134:F139)</f>
        <v>15607</v>
      </c>
      <c r="G140" s="959">
        <f t="shared" ref="G140:L140" si="12">SUM(G134:G139)</f>
        <v>22825</v>
      </c>
      <c r="H140" s="1710">
        <f>SUM(H134:H139)</f>
        <v>23823</v>
      </c>
      <c r="I140" s="1861">
        <f t="shared" ref="I140:J140" si="13">SUM(I134:I139)</f>
        <v>34365</v>
      </c>
      <c r="J140" s="1849">
        <f t="shared" si="13"/>
        <v>32887</v>
      </c>
      <c r="K140" s="1907">
        <f>SUM(K134:K139)</f>
        <v>0</v>
      </c>
      <c r="L140" s="1436">
        <f t="shared" si="12"/>
        <v>32887</v>
      </c>
    </row>
    <row r="141" spans="1:12" s="918" customFormat="1" ht="36" customHeight="1" thickBot="1" x14ac:dyDescent="0.25">
      <c r="A141" s="891">
        <v>132</v>
      </c>
      <c r="B141" s="2272" t="s">
        <v>987</v>
      </c>
      <c r="C141" s="2273"/>
      <c r="D141" s="2274"/>
      <c r="E141" s="960"/>
      <c r="F141" s="961">
        <f t="shared" ref="F141:L141" si="14">SUM(F140,F133)</f>
        <v>155449</v>
      </c>
      <c r="G141" s="962">
        <f t="shared" si="14"/>
        <v>164773</v>
      </c>
      <c r="H141" s="1711">
        <f t="shared" si="14"/>
        <v>277321</v>
      </c>
      <c r="I141" s="1862">
        <f t="shared" si="14"/>
        <v>67036</v>
      </c>
      <c r="J141" s="1850">
        <f t="shared" si="14"/>
        <v>210324</v>
      </c>
      <c r="K141" s="1908">
        <f t="shared" si="14"/>
        <v>-1405</v>
      </c>
      <c r="L141" s="1437">
        <f t="shared" si="14"/>
        <v>208919</v>
      </c>
    </row>
    <row r="142" spans="1:12" s="918" customFormat="1" ht="20.100000000000001" customHeight="1" x14ac:dyDescent="0.2">
      <c r="A142" s="901">
        <v>133</v>
      </c>
      <c r="B142" s="1701"/>
      <c r="C142" s="2271" t="s">
        <v>230</v>
      </c>
      <c r="D142" s="2271"/>
      <c r="E142" s="2271"/>
      <c r="F142" s="1690"/>
      <c r="G142" s="1691"/>
      <c r="H142" s="1852"/>
      <c r="I142" s="1863"/>
      <c r="J142" s="1694"/>
      <c r="K142" s="1909"/>
      <c r="L142" s="1702"/>
    </row>
    <row r="143" spans="1:12" s="918" customFormat="1" ht="30.75" customHeight="1" x14ac:dyDescent="0.3">
      <c r="A143" s="902">
        <v>134</v>
      </c>
      <c r="B143" s="1787">
        <v>1</v>
      </c>
      <c r="C143" s="1848">
        <v>1</v>
      </c>
      <c r="D143" s="963" t="s">
        <v>1087</v>
      </c>
      <c r="E143" s="905" t="s">
        <v>23</v>
      </c>
      <c r="F143" s="1692"/>
      <c r="G143" s="1693"/>
      <c r="H143" s="1853"/>
      <c r="I143" s="1864"/>
      <c r="J143" s="1695">
        <v>170</v>
      </c>
      <c r="K143" s="1882"/>
      <c r="L143" s="1703">
        <f>SUM(J143:K143)</f>
        <v>170</v>
      </c>
    </row>
    <row r="144" spans="1:12" s="918" customFormat="1" ht="35.25" customHeight="1" thickBot="1" x14ac:dyDescent="0.35">
      <c r="A144" s="891">
        <v>135</v>
      </c>
      <c r="B144" s="1787">
        <v>2</v>
      </c>
      <c r="C144" s="1848">
        <v>1</v>
      </c>
      <c r="D144" s="963" t="s">
        <v>1042</v>
      </c>
      <c r="E144" s="905" t="s">
        <v>23</v>
      </c>
      <c r="F144" s="1696"/>
      <c r="G144" s="1697"/>
      <c r="H144" s="1854"/>
      <c r="I144" s="1865"/>
      <c r="J144" s="1698">
        <v>2947</v>
      </c>
      <c r="K144" s="1883"/>
      <c r="L144" s="1704">
        <f>SUM(J144:K144)</f>
        <v>2947</v>
      </c>
    </row>
    <row r="145" spans="1:250" s="918" customFormat="1" ht="18" customHeight="1" thickBot="1" x14ac:dyDescent="0.25">
      <c r="A145" s="901">
        <v>136</v>
      </c>
      <c r="B145" s="2272" t="s">
        <v>986</v>
      </c>
      <c r="C145" s="2273"/>
      <c r="D145" s="2274"/>
      <c r="E145" s="960"/>
      <c r="F145" s="961"/>
      <c r="G145" s="1699"/>
      <c r="H145" s="1711"/>
      <c r="I145" s="1862">
        <f>SUM(I143:I144)</f>
        <v>0</v>
      </c>
      <c r="J145" s="1700">
        <f>SUM(J143:J144)</f>
        <v>3117</v>
      </c>
      <c r="K145" s="1884">
        <f>SUM(K143:K144)</f>
        <v>0</v>
      </c>
      <c r="L145" s="1705">
        <f>SUM(L143:L144)</f>
        <v>3117</v>
      </c>
    </row>
    <row r="146" spans="1:250" s="918" customFormat="1" ht="36" customHeight="1" thickBot="1" x14ac:dyDescent="0.25">
      <c r="A146" s="902">
        <v>137</v>
      </c>
      <c r="B146" s="2272" t="s">
        <v>985</v>
      </c>
      <c r="C146" s="2273"/>
      <c r="D146" s="2274"/>
      <c r="E146" s="960"/>
      <c r="F146" s="961">
        <f>F145+F141</f>
        <v>155449</v>
      </c>
      <c r="G146" s="961">
        <f t="shared" ref="G146:H146" si="15">G145+G141</f>
        <v>164773</v>
      </c>
      <c r="H146" s="1855">
        <f t="shared" si="15"/>
        <v>277321</v>
      </c>
      <c r="I146" s="1862">
        <f>I145+I141</f>
        <v>67036</v>
      </c>
      <c r="J146" s="1700">
        <f>J145+J141</f>
        <v>213441</v>
      </c>
      <c r="K146" s="1908">
        <f>K145+K141</f>
        <v>-1405</v>
      </c>
      <c r="L146" s="1705">
        <f>L145+L141</f>
        <v>212036</v>
      </c>
    </row>
    <row r="147" spans="1:250" ht="18" customHeight="1" x14ac:dyDescent="0.3">
      <c r="B147" s="1438"/>
      <c r="C147" s="1439" t="s">
        <v>27</v>
      </c>
      <c r="D147" s="1438"/>
      <c r="E147" s="1440"/>
      <c r="F147" s="954"/>
      <c r="G147" s="955"/>
      <c r="H147" s="921"/>
      <c r="I147" s="921"/>
      <c r="J147" s="1899"/>
      <c r="K147" s="1910"/>
      <c r="L147" s="1899"/>
    </row>
    <row r="148" spans="1:250" s="922" customFormat="1" ht="18" customHeight="1" x14ac:dyDescent="0.3">
      <c r="A148" s="901"/>
      <c r="B148" s="1438" t="s">
        <v>28</v>
      </c>
      <c r="C148" s="1438"/>
      <c r="D148" s="1438"/>
      <c r="E148" s="1440"/>
      <c r="F148" s="1441"/>
      <c r="G148" s="955"/>
      <c r="H148" s="921"/>
      <c r="I148" s="921"/>
      <c r="J148" s="1899"/>
      <c r="K148" s="1910"/>
      <c r="L148" s="1899"/>
      <c r="M148" s="896"/>
      <c r="N148" s="896"/>
      <c r="O148" s="896"/>
      <c r="P148" s="896"/>
      <c r="Q148" s="896"/>
      <c r="R148" s="896"/>
      <c r="S148" s="896"/>
      <c r="T148" s="896"/>
      <c r="U148" s="896"/>
      <c r="V148" s="896"/>
      <c r="W148" s="896"/>
      <c r="X148" s="896"/>
      <c r="Y148" s="896"/>
      <c r="Z148" s="896"/>
      <c r="AA148" s="896"/>
      <c r="AB148" s="896"/>
      <c r="AC148" s="896"/>
      <c r="AD148" s="896"/>
      <c r="AE148" s="896"/>
      <c r="AF148" s="896"/>
      <c r="AG148" s="896"/>
      <c r="AH148" s="896"/>
      <c r="AI148" s="896"/>
      <c r="AJ148" s="896"/>
      <c r="AK148" s="896"/>
      <c r="AL148" s="896"/>
      <c r="AM148" s="896"/>
      <c r="AN148" s="896"/>
      <c r="AO148" s="896"/>
      <c r="AP148" s="896"/>
      <c r="AQ148" s="896"/>
      <c r="AR148" s="896"/>
      <c r="AS148" s="896"/>
      <c r="AT148" s="896"/>
      <c r="AU148" s="896"/>
      <c r="AV148" s="896"/>
      <c r="AW148" s="896"/>
      <c r="AX148" s="896"/>
      <c r="AY148" s="896"/>
      <c r="AZ148" s="896"/>
      <c r="BA148" s="896"/>
      <c r="BB148" s="896"/>
      <c r="BC148" s="896"/>
      <c r="BD148" s="896"/>
      <c r="BE148" s="896"/>
      <c r="BF148" s="896"/>
      <c r="BG148" s="896"/>
      <c r="BH148" s="896"/>
      <c r="BI148" s="896"/>
      <c r="BJ148" s="896"/>
      <c r="BK148" s="896"/>
      <c r="BL148" s="896"/>
      <c r="BM148" s="896"/>
      <c r="BN148" s="896"/>
      <c r="BO148" s="896"/>
      <c r="BP148" s="896"/>
      <c r="BQ148" s="896"/>
      <c r="BR148" s="896"/>
      <c r="BS148" s="896"/>
      <c r="BT148" s="896"/>
      <c r="BU148" s="896"/>
      <c r="BV148" s="896"/>
      <c r="BW148" s="896"/>
      <c r="BX148" s="896"/>
      <c r="BY148" s="896"/>
      <c r="BZ148" s="896"/>
      <c r="CA148" s="896"/>
      <c r="CB148" s="896"/>
      <c r="CC148" s="896"/>
      <c r="CD148" s="896"/>
      <c r="CE148" s="896"/>
      <c r="CF148" s="896"/>
      <c r="CG148" s="896"/>
      <c r="CH148" s="896"/>
      <c r="CI148" s="896"/>
      <c r="CJ148" s="896"/>
      <c r="CK148" s="896"/>
      <c r="CL148" s="896"/>
      <c r="CM148" s="896"/>
      <c r="CN148" s="896"/>
      <c r="CO148" s="896"/>
      <c r="CP148" s="896"/>
      <c r="CQ148" s="896"/>
      <c r="CR148" s="896"/>
      <c r="CS148" s="896"/>
      <c r="CT148" s="896"/>
      <c r="CU148" s="896"/>
      <c r="CV148" s="896"/>
      <c r="CW148" s="896"/>
      <c r="CX148" s="896"/>
      <c r="CY148" s="896"/>
      <c r="CZ148" s="896"/>
      <c r="DA148" s="896"/>
      <c r="DB148" s="896"/>
      <c r="DC148" s="896"/>
      <c r="DD148" s="896"/>
      <c r="DE148" s="896"/>
      <c r="DF148" s="896"/>
      <c r="DG148" s="896"/>
      <c r="DH148" s="896"/>
      <c r="DI148" s="896"/>
      <c r="DJ148" s="896"/>
      <c r="DK148" s="896"/>
      <c r="DL148" s="896"/>
      <c r="DM148" s="896"/>
      <c r="DN148" s="896"/>
      <c r="DO148" s="896"/>
      <c r="DP148" s="896"/>
      <c r="DQ148" s="896"/>
      <c r="DR148" s="896"/>
      <c r="DS148" s="896"/>
      <c r="DT148" s="896"/>
      <c r="DU148" s="896"/>
      <c r="DV148" s="896"/>
      <c r="DW148" s="896"/>
      <c r="DX148" s="896"/>
      <c r="DY148" s="896"/>
      <c r="DZ148" s="896"/>
      <c r="EA148" s="896"/>
      <c r="EB148" s="896"/>
      <c r="EC148" s="896"/>
      <c r="ED148" s="896"/>
      <c r="EE148" s="896"/>
      <c r="EF148" s="896"/>
      <c r="EG148" s="896"/>
      <c r="EH148" s="896"/>
      <c r="EI148" s="896"/>
      <c r="EJ148" s="896"/>
      <c r="EK148" s="896"/>
      <c r="EL148" s="896"/>
      <c r="EM148" s="896"/>
      <c r="EN148" s="896"/>
      <c r="EO148" s="896"/>
      <c r="EP148" s="896"/>
      <c r="EQ148" s="896"/>
      <c r="ER148" s="896"/>
      <c r="ES148" s="896"/>
      <c r="ET148" s="896"/>
      <c r="EU148" s="896"/>
      <c r="EV148" s="896"/>
      <c r="EW148" s="896"/>
      <c r="EX148" s="896"/>
      <c r="EY148" s="896"/>
      <c r="EZ148" s="896"/>
      <c r="FA148" s="896"/>
      <c r="FB148" s="896"/>
      <c r="FC148" s="896"/>
      <c r="FD148" s="896"/>
      <c r="FE148" s="896"/>
      <c r="FF148" s="896"/>
      <c r="FG148" s="896"/>
      <c r="FH148" s="896"/>
      <c r="FI148" s="896"/>
      <c r="FJ148" s="896"/>
      <c r="FK148" s="896"/>
      <c r="FL148" s="896"/>
      <c r="FM148" s="896"/>
      <c r="FN148" s="896"/>
      <c r="FO148" s="896"/>
      <c r="FP148" s="896"/>
      <c r="FQ148" s="896"/>
      <c r="FR148" s="896"/>
      <c r="FS148" s="896"/>
      <c r="FT148" s="896"/>
      <c r="FU148" s="896"/>
      <c r="FV148" s="896"/>
      <c r="FW148" s="896"/>
      <c r="FX148" s="896"/>
      <c r="FY148" s="896"/>
      <c r="FZ148" s="896"/>
      <c r="GA148" s="896"/>
      <c r="GB148" s="896"/>
      <c r="GC148" s="896"/>
      <c r="GD148" s="896"/>
      <c r="GE148" s="896"/>
      <c r="GF148" s="896"/>
      <c r="GG148" s="896"/>
      <c r="GH148" s="896"/>
      <c r="GI148" s="896"/>
      <c r="GJ148" s="896"/>
      <c r="GK148" s="896"/>
      <c r="GL148" s="896"/>
      <c r="GM148" s="896"/>
      <c r="GN148" s="896"/>
      <c r="GO148" s="896"/>
      <c r="GP148" s="896"/>
      <c r="GQ148" s="896"/>
      <c r="GR148" s="896"/>
      <c r="GS148" s="896"/>
      <c r="GT148" s="896"/>
      <c r="GU148" s="896"/>
      <c r="GV148" s="896"/>
      <c r="GW148" s="896"/>
      <c r="GX148" s="896"/>
      <c r="GY148" s="896"/>
      <c r="GZ148" s="896"/>
      <c r="HA148" s="896"/>
      <c r="HB148" s="896"/>
      <c r="HC148" s="896"/>
      <c r="HD148" s="896"/>
      <c r="HE148" s="896"/>
      <c r="HF148" s="896"/>
      <c r="HG148" s="896"/>
      <c r="HH148" s="896"/>
      <c r="HI148" s="896"/>
      <c r="HJ148" s="896"/>
      <c r="HK148" s="896"/>
      <c r="HL148" s="896"/>
      <c r="HM148" s="896"/>
      <c r="HN148" s="896"/>
      <c r="HO148" s="896"/>
      <c r="HP148" s="896"/>
      <c r="HQ148" s="896"/>
      <c r="HR148" s="896"/>
      <c r="HS148" s="896"/>
      <c r="HT148" s="896"/>
      <c r="HU148" s="896"/>
      <c r="HV148" s="896"/>
      <c r="HW148" s="896"/>
      <c r="HX148" s="896"/>
      <c r="HY148" s="896"/>
      <c r="HZ148" s="896"/>
      <c r="IA148" s="896"/>
      <c r="IB148" s="896"/>
      <c r="IC148" s="896"/>
      <c r="ID148" s="896"/>
      <c r="IE148" s="896"/>
      <c r="IF148" s="896"/>
      <c r="IG148" s="896"/>
      <c r="IH148" s="896"/>
      <c r="II148" s="896"/>
      <c r="IJ148" s="896"/>
      <c r="IK148" s="896"/>
      <c r="IL148" s="896"/>
      <c r="IM148" s="896"/>
      <c r="IN148" s="896"/>
      <c r="IO148" s="896"/>
      <c r="IP148" s="896"/>
    </row>
    <row r="149" spans="1:250" s="922" customFormat="1" ht="18" customHeight="1" x14ac:dyDescent="0.3">
      <c r="A149" s="901"/>
      <c r="B149" s="1438" t="s">
        <v>29</v>
      </c>
      <c r="C149" s="1438"/>
      <c r="D149" s="1438"/>
      <c r="E149" s="1440"/>
      <c r="F149" s="1441"/>
      <c r="G149" s="955"/>
      <c r="H149" s="921"/>
      <c r="I149" s="921"/>
      <c r="J149" s="1899"/>
      <c r="K149" s="1910"/>
      <c r="L149" s="1899"/>
      <c r="M149" s="896"/>
      <c r="N149" s="896"/>
      <c r="O149" s="896"/>
      <c r="P149" s="896"/>
      <c r="Q149" s="896"/>
      <c r="R149" s="896"/>
      <c r="S149" s="896"/>
      <c r="T149" s="896"/>
      <c r="U149" s="896"/>
      <c r="V149" s="896"/>
      <c r="W149" s="896"/>
      <c r="X149" s="896"/>
      <c r="Y149" s="896"/>
      <c r="Z149" s="896"/>
      <c r="AA149" s="896"/>
      <c r="AB149" s="896"/>
      <c r="AC149" s="896"/>
      <c r="AD149" s="896"/>
      <c r="AE149" s="896"/>
      <c r="AF149" s="896"/>
      <c r="AG149" s="896"/>
      <c r="AH149" s="896"/>
      <c r="AI149" s="896"/>
      <c r="AJ149" s="896"/>
      <c r="AK149" s="896"/>
      <c r="AL149" s="896"/>
      <c r="AM149" s="896"/>
      <c r="AN149" s="896"/>
      <c r="AO149" s="896"/>
      <c r="AP149" s="896"/>
      <c r="AQ149" s="896"/>
      <c r="AR149" s="896"/>
      <c r="AS149" s="896"/>
      <c r="AT149" s="896"/>
      <c r="AU149" s="896"/>
      <c r="AV149" s="896"/>
      <c r="AW149" s="896"/>
      <c r="AX149" s="896"/>
      <c r="AY149" s="896"/>
      <c r="AZ149" s="896"/>
      <c r="BA149" s="896"/>
      <c r="BB149" s="896"/>
      <c r="BC149" s="896"/>
      <c r="BD149" s="896"/>
      <c r="BE149" s="896"/>
      <c r="BF149" s="896"/>
      <c r="BG149" s="896"/>
      <c r="BH149" s="896"/>
      <c r="BI149" s="896"/>
      <c r="BJ149" s="896"/>
      <c r="BK149" s="896"/>
      <c r="BL149" s="896"/>
      <c r="BM149" s="896"/>
      <c r="BN149" s="896"/>
      <c r="BO149" s="896"/>
      <c r="BP149" s="896"/>
      <c r="BQ149" s="896"/>
      <c r="BR149" s="896"/>
      <c r="BS149" s="896"/>
      <c r="BT149" s="896"/>
      <c r="BU149" s="896"/>
      <c r="BV149" s="896"/>
      <c r="BW149" s="896"/>
      <c r="BX149" s="896"/>
      <c r="BY149" s="896"/>
      <c r="BZ149" s="896"/>
      <c r="CA149" s="896"/>
      <c r="CB149" s="896"/>
      <c r="CC149" s="896"/>
      <c r="CD149" s="896"/>
      <c r="CE149" s="896"/>
      <c r="CF149" s="896"/>
      <c r="CG149" s="896"/>
      <c r="CH149" s="896"/>
      <c r="CI149" s="896"/>
      <c r="CJ149" s="896"/>
      <c r="CK149" s="896"/>
      <c r="CL149" s="896"/>
      <c r="CM149" s="896"/>
      <c r="CN149" s="896"/>
      <c r="CO149" s="896"/>
      <c r="CP149" s="896"/>
      <c r="CQ149" s="896"/>
      <c r="CR149" s="896"/>
      <c r="CS149" s="896"/>
      <c r="CT149" s="896"/>
      <c r="CU149" s="896"/>
      <c r="CV149" s="896"/>
      <c r="CW149" s="896"/>
      <c r="CX149" s="896"/>
      <c r="CY149" s="896"/>
      <c r="CZ149" s="896"/>
      <c r="DA149" s="896"/>
      <c r="DB149" s="896"/>
      <c r="DC149" s="896"/>
      <c r="DD149" s="896"/>
      <c r="DE149" s="896"/>
      <c r="DF149" s="896"/>
      <c r="DG149" s="896"/>
      <c r="DH149" s="896"/>
      <c r="DI149" s="896"/>
      <c r="DJ149" s="896"/>
      <c r="DK149" s="896"/>
      <c r="DL149" s="896"/>
      <c r="DM149" s="896"/>
      <c r="DN149" s="896"/>
      <c r="DO149" s="896"/>
      <c r="DP149" s="896"/>
      <c r="DQ149" s="896"/>
      <c r="DR149" s="896"/>
      <c r="DS149" s="896"/>
      <c r="DT149" s="896"/>
      <c r="DU149" s="896"/>
      <c r="DV149" s="896"/>
      <c r="DW149" s="896"/>
      <c r="DX149" s="896"/>
      <c r="DY149" s="896"/>
      <c r="DZ149" s="896"/>
      <c r="EA149" s="896"/>
      <c r="EB149" s="896"/>
      <c r="EC149" s="896"/>
      <c r="ED149" s="896"/>
      <c r="EE149" s="896"/>
      <c r="EF149" s="896"/>
      <c r="EG149" s="896"/>
      <c r="EH149" s="896"/>
      <c r="EI149" s="896"/>
      <c r="EJ149" s="896"/>
      <c r="EK149" s="896"/>
      <c r="EL149" s="896"/>
      <c r="EM149" s="896"/>
      <c r="EN149" s="896"/>
      <c r="EO149" s="896"/>
      <c r="EP149" s="896"/>
      <c r="EQ149" s="896"/>
      <c r="ER149" s="896"/>
      <c r="ES149" s="896"/>
      <c r="ET149" s="896"/>
      <c r="EU149" s="896"/>
      <c r="EV149" s="896"/>
      <c r="EW149" s="896"/>
      <c r="EX149" s="896"/>
      <c r="EY149" s="896"/>
      <c r="EZ149" s="896"/>
      <c r="FA149" s="896"/>
      <c r="FB149" s="896"/>
      <c r="FC149" s="896"/>
      <c r="FD149" s="896"/>
      <c r="FE149" s="896"/>
      <c r="FF149" s="896"/>
      <c r="FG149" s="896"/>
      <c r="FH149" s="896"/>
      <c r="FI149" s="896"/>
      <c r="FJ149" s="896"/>
      <c r="FK149" s="896"/>
      <c r="FL149" s="896"/>
      <c r="FM149" s="896"/>
      <c r="FN149" s="896"/>
      <c r="FO149" s="896"/>
      <c r="FP149" s="896"/>
      <c r="FQ149" s="896"/>
      <c r="FR149" s="896"/>
      <c r="FS149" s="896"/>
      <c r="FT149" s="896"/>
      <c r="FU149" s="896"/>
      <c r="FV149" s="896"/>
      <c r="FW149" s="896"/>
      <c r="FX149" s="896"/>
      <c r="FY149" s="896"/>
      <c r="FZ149" s="896"/>
      <c r="GA149" s="896"/>
      <c r="GB149" s="896"/>
      <c r="GC149" s="896"/>
      <c r="GD149" s="896"/>
      <c r="GE149" s="896"/>
      <c r="GF149" s="896"/>
      <c r="GG149" s="896"/>
      <c r="GH149" s="896"/>
      <c r="GI149" s="896"/>
      <c r="GJ149" s="896"/>
      <c r="GK149" s="896"/>
      <c r="GL149" s="896"/>
      <c r="GM149" s="896"/>
      <c r="GN149" s="896"/>
      <c r="GO149" s="896"/>
      <c r="GP149" s="896"/>
      <c r="GQ149" s="896"/>
      <c r="GR149" s="896"/>
      <c r="GS149" s="896"/>
      <c r="GT149" s="896"/>
      <c r="GU149" s="896"/>
      <c r="GV149" s="896"/>
      <c r="GW149" s="896"/>
      <c r="GX149" s="896"/>
      <c r="GY149" s="896"/>
      <c r="GZ149" s="896"/>
      <c r="HA149" s="896"/>
      <c r="HB149" s="896"/>
      <c r="HC149" s="896"/>
      <c r="HD149" s="896"/>
      <c r="HE149" s="896"/>
      <c r="HF149" s="896"/>
      <c r="HG149" s="896"/>
      <c r="HH149" s="896"/>
      <c r="HI149" s="896"/>
      <c r="HJ149" s="896"/>
      <c r="HK149" s="896"/>
      <c r="HL149" s="896"/>
      <c r="HM149" s="896"/>
      <c r="HN149" s="896"/>
      <c r="HO149" s="896"/>
      <c r="HP149" s="896"/>
      <c r="HQ149" s="896"/>
      <c r="HR149" s="896"/>
      <c r="HS149" s="896"/>
      <c r="HT149" s="896"/>
      <c r="HU149" s="896"/>
      <c r="HV149" s="896"/>
      <c r="HW149" s="896"/>
      <c r="HX149" s="896"/>
      <c r="HY149" s="896"/>
      <c r="HZ149" s="896"/>
      <c r="IA149" s="896"/>
      <c r="IB149" s="896"/>
      <c r="IC149" s="896"/>
      <c r="ID149" s="896"/>
      <c r="IE149" s="896"/>
      <c r="IF149" s="896"/>
      <c r="IG149" s="896"/>
      <c r="IH149" s="896"/>
      <c r="II149" s="896"/>
      <c r="IJ149" s="896"/>
      <c r="IK149" s="896"/>
      <c r="IL149" s="896"/>
      <c r="IM149" s="896"/>
      <c r="IN149" s="896"/>
      <c r="IO149" s="896"/>
      <c r="IP149" s="896"/>
    </row>
    <row r="150" spans="1:250" s="922" customFormat="1" x14ac:dyDescent="0.3">
      <c r="A150" s="901"/>
      <c r="B150" s="891"/>
      <c r="C150" s="892"/>
      <c r="D150" s="893"/>
      <c r="E150" s="894"/>
      <c r="F150" s="949"/>
      <c r="G150" s="949"/>
      <c r="H150" s="1434"/>
      <c r="I150" s="1434"/>
      <c r="J150" s="1900"/>
      <c r="K150" s="1880"/>
      <c r="L150" s="1900"/>
      <c r="M150" s="896"/>
      <c r="N150" s="896"/>
      <c r="O150" s="896"/>
      <c r="P150" s="896"/>
      <c r="Q150" s="896"/>
      <c r="R150" s="896"/>
      <c r="S150" s="896"/>
      <c r="T150" s="896"/>
      <c r="U150" s="896"/>
      <c r="V150" s="896"/>
      <c r="W150" s="896"/>
      <c r="X150" s="896"/>
      <c r="Y150" s="896"/>
      <c r="Z150" s="896"/>
      <c r="AA150" s="896"/>
      <c r="AB150" s="896"/>
      <c r="AC150" s="896"/>
      <c r="AD150" s="896"/>
      <c r="AE150" s="896"/>
      <c r="AF150" s="896"/>
      <c r="AG150" s="896"/>
      <c r="AH150" s="896"/>
      <c r="AI150" s="896"/>
      <c r="AJ150" s="896"/>
      <c r="AK150" s="896"/>
      <c r="AL150" s="896"/>
      <c r="AM150" s="896"/>
      <c r="AN150" s="896"/>
      <c r="AO150" s="896"/>
      <c r="AP150" s="896"/>
      <c r="AQ150" s="896"/>
      <c r="AR150" s="896"/>
      <c r="AS150" s="896"/>
      <c r="AT150" s="896"/>
      <c r="AU150" s="896"/>
      <c r="AV150" s="896"/>
      <c r="AW150" s="896"/>
      <c r="AX150" s="896"/>
      <c r="AY150" s="896"/>
      <c r="AZ150" s="896"/>
      <c r="BA150" s="896"/>
      <c r="BB150" s="896"/>
      <c r="BC150" s="896"/>
      <c r="BD150" s="896"/>
      <c r="BE150" s="896"/>
      <c r="BF150" s="896"/>
      <c r="BG150" s="896"/>
      <c r="BH150" s="896"/>
      <c r="BI150" s="896"/>
      <c r="BJ150" s="896"/>
      <c r="BK150" s="896"/>
      <c r="BL150" s="896"/>
      <c r="BM150" s="896"/>
      <c r="BN150" s="896"/>
      <c r="BO150" s="896"/>
      <c r="BP150" s="896"/>
      <c r="BQ150" s="896"/>
      <c r="BR150" s="896"/>
      <c r="BS150" s="896"/>
      <c r="BT150" s="896"/>
      <c r="BU150" s="896"/>
      <c r="BV150" s="896"/>
      <c r="BW150" s="896"/>
      <c r="BX150" s="896"/>
      <c r="BY150" s="896"/>
      <c r="BZ150" s="896"/>
      <c r="CA150" s="896"/>
      <c r="CB150" s="896"/>
      <c r="CC150" s="896"/>
      <c r="CD150" s="896"/>
      <c r="CE150" s="896"/>
      <c r="CF150" s="896"/>
      <c r="CG150" s="896"/>
      <c r="CH150" s="896"/>
      <c r="CI150" s="896"/>
      <c r="CJ150" s="896"/>
      <c r="CK150" s="896"/>
      <c r="CL150" s="896"/>
      <c r="CM150" s="896"/>
      <c r="CN150" s="896"/>
      <c r="CO150" s="896"/>
      <c r="CP150" s="896"/>
      <c r="CQ150" s="896"/>
      <c r="CR150" s="896"/>
      <c r="CS150" s="896"/>
      <c r="CT150" s="896"/>
      <c r="CU150" s="896"/>
      <c r="CV150" s="896"/>
      <c r="CW150" s="896"/>
      <c r="CX150" s="896"/>
      <c r="CY150" s="896"/>
      <c r="CZ150" s="896"/>
      <c r="DA150" s="896"/>
      <c r="DB150" s="896"/>
      <c r="DC150" s="896"/>
      <c r="DD150" s="896"/>
      <c r="DE150" s="896"/>
      <c r="DF150" s="896"/>
      <c r="DG150" s="896"/>
      <c r="DH150" s="896"/>
      <c r="DI150" s="896"/>
      <c r="DJ150" s="896"/>
      <c r="DK150" s="896"/>
      <c r="DL150" s="896"/>
      <c r="DM150" s="896"/>
      <c r="DN150" s="896"/>
      <c r="DO150" s="896"/>
      <c r="DP150" s="896"/>
      <c r="DQ150" s="896"/>
      <c r="DR150" s="896"/>
      <c r="DS150" s="896"/>
      <c r="DT150" s="896"/>
      <c r="DU150" s="896"/>
      <c r="DV150" s="896"/>
      <c r="DW150" s="896"/>
      <c r="DX150" s="896"/>
      <c r="DY150" s="896"/>
      <c r="DZ150" s="896"/>
      <c r="EA150" s="896"/>
      <c r="EB150" s="896"/>
      <c r="EC150" s="896"/>
      <c r="ED150" s="896"/>
      <c r="EE150" s="896"/>
      <c r="EF150" s="896"/>
      <c r="EG150" s="896"/>
      <c r="EH150" s="896"/>
      <c r="EI150" s="896"/>
      <c r="EJ150" s="896"/>
      <c r="EK150" s="896"/>
      <c r="EL150" s="896"/>
      <c r="EM150" s="896"/>
      <c r="EN150" s="896"/>
      <c r="EO150" s="896"/>
      <c r="EP150" s="896"/>
      <c r="EQ150" s="896"/>
      <c r="ER150" s="896"/>
      <c r="ES150" s="896"/>
      <c r="ET150" s="896"/>
      <c r="EU150" s="896"/>
      <c r="EV150" s="896"/>
      <c r="EW150" s="896"/>
      <c r="EX150" s="896"/>
      <c r="EY150" s="896"/>
      <c r="EZ150" s="896"/>
      <c r="FA150" s="896"/>
      <c r="FB150" s="896"/>
      <c r="FC150" s="896"/>
      <c r="FD150" s="896"/>
      <c r="FE150" s="896"/>
      <c r="FF150" s="896"/>
      <c r="FG150" s="896"/>
      <c r="FH150" s="896"/>
      <c r="FI150" s="896"/>
      <c r="FJ150" s="896"/>
      <c r="FK150" s="896"/>
      <c r="FL150" s="896"/>
      <c r="FM150" s="896"/>
      <c r="FN150" s="896"/>
      <c r="FO150" s="896"/>
      <c r="FP150" s="896"/>
      <c r="FQ150" s="896"/>
      <c r="FR150" s="896"/>
      <c r="FS150" s="896"/>
      <c r="FT150" s="896"/>
      <c r="FU150" s="896"/>
      <c r="FV150" s="896"/>
      <c r="FW150" s="896"/>
      <c r="FX150" s="896"/>
      <c r="FY150" s="896"/>
      <c r="FZ150" s="896"/>
      <c r="GA150" s="896"/>
      <c r="GB150" s="896"/>
      <c r="GC150" s="896"/>
      <c r="GD150" s="896"/>
      <c r="GE150" s="896"/>
      <c r="GF150" s="896"/>
      <c r="GG150" s="896"/>
      <c r="GH150" s="896"/>
      <c r="GI150" s="896"/>
      <c r="GJ150" s="896"/>
      <c r="GK150" s="896"/>
      <c r="GL150" s="896"/>
      <c r="GM150" s="896"/>
      <c r="GN150" s="896"/>
      <c r="GO150" s="896"/>
      <c r="GP150" s="896"/>
      <c r="GQ150" s="896"/>
      <c r="GR150" s="896"/>
      <c r="GS150" s="896"/>
      <c r="GT150" s="896"/>
      <c r="GU150" s="896"/>
      <c r="GV150" s="896"/>
      <c r="GW150" s="896"/>
      <c r="GX150" s="896"/>
      <c r="GY150" s="896"/>
      <c r="GZ150" s="896"/>
      <c r="HA150" s="896"/>
      <c r="HB150" s="896"/>
      <c r="HC150" s="896"/>
      <c r="HD150" s="896"/>
      <c r="HE150" s="896"/>
      <c r="HF150" s="896"/>
      <c r="HG150" s="896"/>
      <c r="HH150" s="896"/>
      <c r="HI150" s="896"/>
      <c r="HJ150" s="896"/>
      <c r="HK150" s="896"/>
      <c r="HL150" s="896"/>
      <c r="HM150" s="896"/>
      <c r="HN150" s="896"/>
      <c r="HO150" s="896"/>
      <c r="HP150" s="896"/>
      <c r="HQ150" s="896"/>
      <c r="HR150" s="896"/>
      <c r="HS150" s="896"/>
      <c r="HT150" s="896"/>
      <c r="HU150" s="896"/>
      <c r="HV150" s="896"/>
      <c r="HW150" s="896"/>
      <c r="HX150" s="896"/>
      <c r="HY150" s="896"/>
      <c r="HZ150" s="896"/>
      <c r="IA150" s="896"/>
      <c r="IB150" s="896"/>
      <c r="IC150" s="896"/>
      <c r="ID150" s="896"/>
      <c r="IE150" s="896"/>
      <c r="IF150" s="896"/>
      <c r="IG150" s="896"/>
      <c r="IH150" s="896"/>
      <c r="II150" s="896"/>
      <c r="IJ150" s="896"/>
      <c r="IK150" s="896"/>
      <c r="IL150" s="896"/>
      <c r="IM150" s="896"/>
      <c r="IN150" s="896"/>
      <c r="IO150" s="896"/>
      <c r="IP150" s="896"/>
    </row>
  </sheetData>
  <mergeCells count="23">
    <mergeCell ref="C10:D10"/>
    <mergeCell ref="C142:E142"/>
    <mergeCell ref="B145:D145"/>
    <mergeCell ref="B146:D146"/>
    <mergeCell ref="C21:D21"/>
    <mergeCell ref="B141:D141"/>
    <mergeCell ref="B133:D133"/>
    <mergeCell ref="B140:D140"/>
    <mergeCell ref="B1:L1"/>
    <mergeCell ref="B2:L2"/>
    <mergeCell ref="B4:L4"/>
    <mergeCell ref="B5:L5"/>
    <mergeCell ref="B8:B9"/>
    <mergeCell ref="C8:C9"/>
    <mergeCell ref="D8:D9"/>
    <mergeCell ref="E8:E9"/>
    <mergeCell ref="F8:F9"/>
    <mergeCell ref="G8:G9"/>
    <mergeCell ref="H8:H9"/>
    <mergeCell ref="J8:J9"/>
    <mergeCell ref="K8:K9"/>
    <mergeCell ref="L8:L9"/>
    <mergeCell ref="I8:I9"/>
  </mergeCells>
  <printOptions horizontalCentered="1"/>
  <pageMargins left="0.19685039370078741" right="0.19685039370078741" top="0.78740157480314965" bottom="0.59055118110236227" header="0.31496062992125984" footer="0.31496062992125984"/>
  <pageSetup paperSize="9" scale="55" fitToHeight="0" orientation="portrait" r:id="rId1"/>
  <headerFooter alignWithMargins="0">
    <oddFooter>&amp;C- &amp;P -</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1120"/>
  <sheetViews>
    <sheetView view="pageBreakPreview" zoomScaleNormal="75" zoomScaleSheetLayoutView="100" workbookViewId="0">
      <selection activeCell="B1" sqref="B1:N1"/>
    </sheetView>
  </sheetViews>
  <sheetFormatPr defaultColWidth="9.140625" defaultRowHeight="17.25" x14ac:dyDescent="0.35"/>
  <cols>
    <col min="1" max="1" width="3.7109375" style="583" customWidth="1"/>
    <col min="2" max="2" width="5.7109375" style="3" customWidth="1"/>
    <col min="3" max="3" width="5.7109375" style="7" customWidth="1"/>
    <col min="4" max="4" width="87.7109375" style="16" customWidth="1"/>
    <col min="5" max="7" width="11.7109375" style="4" customWidth="1"/>
    <col min="8" max="8" width="6.7109375" style="3" customWidth="1"/>
    <col min="9" max="9" width="12.7109375" style="13" customWidth="1"/>
    <col min="10" max="14" width="12.7109375" style="376" customWidth="1"/>
    <col min="15" max="15" width="9.28515625" style="4" bestFit="1" customWidth="1"/>
    <col min="16" max="16384" width="9.140625" style="4"/>
  </cols>
  <sheetData>
    <row r="1" spans="1:16" x14ac:dyDescent="0.35">
      <c r="A1" s="926"/>
      <c r="B1" s="2288" t="s">
        <v>1367</v>
      </c>
      <c r="C1" s="2288"/>
      <c r="D1" s="2288"/>
      <c r="E1" s="2288"/>
      <c r="F1" s="2288"/>
      <c r="G1" s="2288"/>
      <c r="H1" s="2288"/>
      <c r="I1" s="2288"/>
      <c r="J1" s="2288"/>
      <c r="K1" s="2288"/>
      <c r="L1" s="2288"/>
      <c r="M1" s="2288"/>
      <c r="N1" s="2288"/>
    </row>
    <row r="2" spans="1:16" ht="16.5" x14ac:dyDescent="0.3">
      <c r="A2" s="926"/>
      <c r="B2" s="2289" t="s">
        <v>1149</v>
      </c>
      <c r="C2" s="2289"/>
      <c r="D2" s="2289"/>
      <c r="E2" s="2289"/>
      <c r="F2" s="2289"/>
      <c r="G2" s="2289"/>
      <c r="H2" s="2289"/>
      <c r="I2" s="2289"/>
      <c r="J2" s="2289"/>
      <c r="K2" s="2289"/>
      <c r="L2" s="2289"/>
      <c r="M2" s="2289"/>
      <c r="N2" s="2289"/>
    </row>
    <row r="3" spans="1:16" ht="16.5" x14ac:dyDescent="0.3">
      <c r="A3" s="926"/>
      <c r="B3" s="2025"/>
      <c r="C3" s="2025"/>
      <c r="D3" s="2025"/>
      <c r="E3" s="2025"/>
      <c r="F3" s="2025"/>
      <c r="G3" s="2025"/>
      <c r="H3" s="2025"/>
      <c r="I3" s="2025"/>
      <c r="J3" s="2025"/>
      <c r="K3" s="2025"/>
      <c r="L3" s="2025"/>
      <c r="M3" s="2025"/>
      <c r="N3" s="2025"/>
    </row>
    <row r="4" spans="1:16" ht="24.75" customHeight="1" x14ac:dyDescent="0.35">
      <c r="A4" s="926"/>
      <c r="B4" s="2295" t="s">
        <v>14</v>
      </c>
      <c r="C4" s="2295"/>
      <c r="D4" s="2295"/>
      <c r="E4" s="2295"/>
      <c r="F4" s="2295"/>
      <c r="G4" s="2295"/>
      <c r="H4" s="2295"/>
      <c r="I4" s="2295"/>
      <c r="J4" s="2295"/>
      <c r="K4" s="2295"/>
      <c r="L4" s="2295"/>
      <c r="M4" s="2295"/>
      <c r="N4" s="2295"/>
    </row>
    <row r="5" spans="1:16" s="6" customFormat="1" ht="24.75" customHeight="1" x14ac:dyDescent="0.2">
      <c r="A5" s="926"/>
      <c r="B5" s="2296" t="s">
        <v>1137</v>
      </c>
      <c r="C5" s="2296"/>
      <c r="D5" s="2296"/>
      <c r="E5" s="2296"/>
      <c r="F5" s="2296"/>
      <c r="G5" s="2296"/>
      <c r="H5" s="2296"/>
      <c r="I5" s="2296"/>
      <c r="J5" s="2296"/>
      <c r="K5" s="2296"/>
      <c r="L5" s="2296"/>
      <c r="M5" s="2296"/>
      <c r="N5" s="2296"/>
    </row>
    <row r="6" spans="1:16" s="374" customFormat="1" ht="15" x14ac:dyDescent="0.3">
      <c r="A6" s="925"/>
      <c r="B6" s="927"/>
      <c r="C6" s="928"/>
      <c r="D6" s="929"/>
      <c r="G6" s="1743"/>
      <c r="H6" s="930"/>
      <c r="I6" s="931"/>
      <c r="J6" s="886"/>
      <c r="K6" s="886"/>
      <c r="L6" s="886"/>
      <c r="M6" s="2297" t="s">
        <v>0</v>
      </c>
      <c r="N6" s="2297"/>
    </row>
    <row r="7" spans="1:16" s="115" customFormat="1" ht="18" customHeight="1" thickBot="1" x14ac:dyDescent="0.35">
      <c r="A7" s="932"/>
      <c r="B7" s="115" t="s">
        <v>1</v>
      </c>
      <c r="C7" s="933" t="s">
        <v>3</v>
      </c>
      <c r="D7" s="934" t="s">
        <v>2</v>
      </c>
      <c r="E7" s="115" t="s">
        <v>4</v>
      </c>
      <c r="F7" s="115" t="s">
        <v>5</v>
      </c>
      <c r="G7" s="115" t="s">
        <v>15</v>
      </c>
      <c r="H7" s="935" t="s">
        <v>16</v>
      </c>
      <c r="I7" s="933" t="s">
        <v>17</v>
      </c>
      <c r="J7" s="933" t="s">
        <v>36</v>
      </c>
      <c r="K7" s="933" t="s">
        <v>30</v>
      </c>
      <c r="L7" s="933" t="s">
        <v>23</v>
      </c>
      <c r="M7" s="933" t="s">
        <v>37</v>
      </c>
      <c r="N7" s="933" t="s">
        <v>38</v>
      </c>
    </row>
    <row r="8" spans="1:16" s="2027" customFormat="1" ht="34.5" customHeight="1" x14ac:dyDescent="0.2">
      <c r="A8" s="583"/>
      <c r="B8" s="2304" t="s">
        <v>18</v>
      </c>
      <c r="C8" s="2306" t="s">
        <v>19</v>
      </c>
      <c r="D8" s="2310" t="s">
        <v>6</v>
      </c>
      <c r="E8" s="2302" t="s">
        <v>630</v>
      </c>
      <c r="F8" s="2302" t="s">
        <v>628</v>
      </c>
      <c r="G8" s="2308" t="s">
        <v>877</v>
      </c>
      <c r="H8" s="2312" t="s">
        <v>20</v>
      </c>
      <c r="I8" s="2298" t="s">
        <v>631</v>
      </c>
      <c r="J8" s="2300" t="s">
        <v>39</v>
      </c>
      <c r="K8" s="2300"/>
      <c r="L8" s="2300"/>
      <c r="M8" s="2300"/>
      <c r="N8" s="2301"/>
    </row>
    <row r="9" spans="1:16" s="2027" customFormat="1" ht="45.75" thickBot="1" x14ac:dyDescent="0.25">
      <c r="A9" s="583"/>
      <c r="B9" s="2305"/>
      <c r="C9" s="2307"/>
      <c r="D9" s="2311"/>
      <c r="E9" s="2303"/>
      <c r="F9" s="2303"/>
      <c r="G9" s="2309"/>
      <c r="H9" s="2313"/>
      <c r="I9" s="2299"/>
      <c r="J9" s="2130" t="s">
        <v>40</v>
      </c>
      <c r="K9" s="2130" t="s">
        <v>41</v>
      </c>
      <c r="L9" s="2130" t="s">
        <v>42</v>
      </c>
      <c r="M9" s="2130" t="s">
        <v>221</v>
      </c>
      <c r="N9" s="924" t="s">
        <v>43</v>
      </c>
    </row>
    <row r="10" spans="1:16" s="2027" customFormat="1" ht="23.25" customHeight="1" x14ac:dyDescent="0.3">
      <c r="A10" s="583">
        <v>1</v>
      </c>
      <c r="B10" s="936">
        <v>18</v>
      </c>
      <c r="C10" s="937" t="s">
        <v>664</v>
      </c>
      <c r="D10" s="938"/>
      <c r="E10" s="939"/>
      <c r="F10" s="939"/>
      <c r="G10" s="1744"/>
      <c r="H10" s="943"/>
      <c r="I10" s="940"/>
      <c r="J10" s="941"/>
      <c r="K10" s="941"/>
      <c r="L10" s="941"/>
      <c r="M10" s="941"/>
      <c r="N10" s="942"/>
    </row>
    <row r="11" spans="1:16" s="3" customFormat="1" ht="22.5" customHeight="1" x14ac:dyDescent="0.3">
      <c r="A11" s="583">
        <v>2</v>
      </c>
      <c r="B11" s="189"/>
      <c r="C11" s="923">
        <v>1</v>
      </c>
      <c r="D11" s="576" t="s">
        <v>44</v>
      </c>
      <c r="E11" s="195">
        <v>6918</v>
      </c>
      <c r="F11" s="195">
        <v>7000</v>
      </c>
      <c r="G11" s="1745">
        <v>1779</v>
      </c>
      <c r="H11" s="600" t="s">
        <v>23</v>
      </c>
      <c r="I11" s="565"/>
      <c r="J11" s="194"/>
      <c r="K11" s="194"/>
      <c r="L11" s="194"/>
      <c r="M11" s="194"/>
      <c r="N11" s="200"/>
    </row>
    <row r="12" spans="1:16" s="3" customFormat="1" ht="18" customHeight="1" x14ac:dyDescent="0.3">
      <c r="A12" s="583">
        <v>3</v>
      </c>
      <c r="B12" s="189"/>
      <c r="C12" s="923"/>
      <c r="D12" s="576" t="s">
        <v>1158</v>
      </c>
      <c r="E12" s="195"/>
      <c r="F12" s="195"/>
      <c r="G12" s="1745"/>
      <c r="H12" s="600"/>
      <c r="I12" s="566">
        <f t="shared" ref="I12:I14" si="0">SUM(J12:N12)</f>
        <v>255</v>
      </c>
      <c r="J12" s="194"/>
      <c r="K12" s="194"/>
      <c r="L12" s="1319">
        <v>255</v>
      </c>
      <c r="M12" s="194"/>
      <c r="N12" s="200"/>
    </row>
    <row r="13" spans="1:16" s="8" customFormat="1" ht="18" customHeight="1" x14ac:dyDescent="0.3">
      <c r="A13" s="583">
        <v>4</v>
      </c>
      <c r="B13" s="164"/>
      <c r="C13" s="165"/>
      <c r="D13" s="1318" t="s">
        <v>969</v>
      </c>
      <c r="E13" s="163"/>
      <c r="F13" s="163"/>
      <c r="G13" s="1746"/>
      <c r="H13" s="598"/>
      <c r="I13" s="1321">
        <f t="shared" si="0"/>
        <v>0</v>
      </c>
      <c r="J13" s="194"/>
      <c r="K13" s="194"/>
      <c r="L13" s="621"/>
      <c r="M13" s="194"/>
      <c r="N13" s="200"/>
    </row>
    <row r="14" spans="1:16" s="8" customFormat="1" ht="18" customHeight="1" x14ac:dyDescent="0.3">
      <c r="A14" s="583">
        <v>5</v>
      </c>
      <c r="B14" s="164"/>
      <c r="C14" s="165"/>
      <c r="D14" s="576" t="s">
        <v>1250</v>
      </c>
      <c r="E14" s="163"/>
      <c r="F14" s="163"/>
      <c r="G14" s="1746"/>
      <c r="H14" s="598"/>
      <c r="I14" s="566">
        <f t="shared" si="0"/>
        <v>255</v>
      </c>
      <c r="J14" s="194"/>
      <c r="K14" s="194"/>
      <c r="L14" s="443">
        <f>SUM(L12:L13)</f>
        <v>255</v>
      </c>
      <c r="M14" s="194"/>
      <c r="N14" s="200"/>
    </row>
    <row r="15" spans="1:16" s="3" customFormat="1" ht="22.5" customHeight="1" x14ac:dyDescent="0.3">
      <c r="A15" s="583">
        <v>6</v>
      </c>
      <c r="B15" s="160"/>
      <c r="C15" s="161">
        <v>2</v>
      </c>
      <c r="D15" s="577" t="s">
        <v>45</v>
      </c>
      <c r="E15" s="163">
        <v>4298</v>
      </c>
      <c r="F15" s="163">
        <v>5000</v>
      </c>
      <c r="G15" s="1746">
        <v>3685</v>
      </c>
      <c r="H15" s="598" t="s">
        <v>24</v>
      </c>
      <c r="I15" s="565"/>
      <c r="J15" s="194"/>
      <c r="K15" s="194"/>
      <c r="L15" s="194"/>
      <c r="M15" s="194"/>
      <c r="N15" s="200"/>
      <c r="P15" s="8"/>
    </row>
    <row r="16" spans="1:16" s="3" customFormat="1" ht="18" customHeight="1" x14ac:dyDescent="0.3">
      <c r="A16" s="583">
        <v>7</v>
      </c>
      <c r="B16" s="160"/>
      <c r="C16" s="161"/>
      <c r="D16" s="576" t="s">
        <v>1158</v>
      </c>
      <c r="E16" s="163"/>
      <c r="F16" s="163"/>
      <c r="G16" s="1746"/>
      <c r="H16" s="598"/>
      <c r="I16" s="566">
        <f>SUM(J16:N16)</f>
        <v>4500</v>
      </c>
      <c r="J16" s="1319">
        <v>22</v>
      </c>
      <c r="K16" s="1319">
        <v>12</v>
      </c>
      <c r="L16" s="1319">
        <v>4466</v>
      </c>
      <c r="M16" s="194"/>
      <c r="N16" s="200"/>
      <c r="P16" s="8"/>
    </row>
    <row r="17" spans="1:16" s="8" customFormat="1" ht="18" customHeight="1" x14ac:dyDescent="0.3">
      <c r="A17" s="583">
        <v>8</v>
      </c>
      <c r="B17" s="164"/>
      <c r="C17" s="165"/>
      <c r="D17" s="1318" t="s">
        <v>969</v>
      </c>
      <c r="E17" s="163"/>
      <c r="F17" s="163"/>
      <c r="G17" s="1746"/>
      <c r="H17" s="598"/>
      <c r="I17" s="1321">
        <f t="shared" ref="I17:I18" si="1">SUM(J17:N17)</f>
        <v>0</v>
      </c>
      <c r="J17" s="167"/>
      <c r="K17" s="167"/>
      <c r="L17" s="184"/>
      <c r="M17" s="167"/>
      <c r="N17" s="168"/>
    </row>
    <row r="18" spans="1:16" s="8" customFormat="1" ht="18" customHeight="1" x14ac:dyDescent="0.3">
      <c r="A18" s="583">
        <v>9</v>
      </c>
      <c r="B18" s="164"/>
      <c r="C18" s="165"/>
      <c r="D18" s="576" t="s">
        <v>1250</v>
      </c>
      <c r="E18" s="163"/>
      <c r="F18" s="163"/>
      <c r="G18" s="1746"/>
      <c r="H18" s="598"/>
      <c r="I18" s="566">
        <f t="shared" si="1"/>
        <v>4500</v>
      </c>
      <c r="J18" s="443">
        <f>SUM(J16:J17)</f>
        <v>22</v>
      </c>
      <c r="K18" s="443">
        <f>SUM(K16:K17)</f>
        <v>12</v>
      </c>
      <c r="L18" s="443">
        <f>SUM(L16:L17)</f>
        <v>4466</v>
      </c>
      <c r="M18" s="167"/>
      <c r="N18" s="168"/>
    </row>
    <row r="19" spans="1:16" s="3" customFormat="1" ht="22.5" customHeight="1" x14ac:dyDescent="0.3">
      <c r="A19" s="583">
        <v>10</v>
      </c>
      <c r="B19" s="160"/>
      <c r="C19" s="161">
        <v>3</v>
      </c>
      <c r="D19" s="577" t="s">
        <v>46</v>
      </c>
      <c r="E19" s="163">
        <v>15651</v>
      </c>
      <c r="F19" s="163">
        <v>10000</v>
      </c>
      <c r="G19" s="1746">
        <v>7056</v>
      </c>
      <c r="H19" s="598" t="s">
        <v>24</v>
      </c>
      <c r="I19" s="567"/>
      <c r="J19" s="170"/>
      <c r="K19" s="170"/>
      <c r="L19" s="170"/>
      <c r="M19" s="170"/>
      <c r="N19" s="171"/>
      <c r="P19" s="8"/>
    </row>
    <row r="20" spans="1:16" s="8" customFormat="1" ht="18" customHeight="1" x14ac:dyDescent="0.3">
      <c r="A20" s="583">
        <v>11</v>
      </c>
      <c r="B20" s="164"/>
      <c r="C20" s="165"/>
      <c r="D20" s="1190" t="s">
        <v>308</v>
      </c>
      <c r="E20" s="163"/>
      <c r="F20" s="163"/>
      <c r="G20" s="1746"/>
      <c r="H20" s="598"/>
      <c r="I20" s="1183">
        <f>SUM(J20:N20)</f>
        <v>3000</v>
      </c>
      <c r="J20" s="167"/>
      <c r="K20" s="167"/>
      <c r="L20" s="1184">
        <v>3000</v>
      </c>
      <c r="M20" s="167"/>
      <c r="N20" s="168"/>
    </row>
    <row r="21" spans="1:16" s="8" customFormat="1" ht="18" customHeight="1" x14ac:dyDescent="0.3">
      <c r="A21" s="583">
        <v>12</v>
      </c>
      <c r="B21" s="164"/>
      <c r="C21" s="165"/>
      <c r="D21" s="576" t="s">
        <v>1158</v>
      </c>
      <c r="E21" s="163"/>
      <c r="F21" s="163"/>
      <c r="G21" s="1746"/>
      <c r="H21" s="598"/>
      <c r="I21" s="566">
        <f>SUM(J21:N21)</f>
        <v>3485</v>
      </c>
      <c r="J21" s="443">
        <v>30</v>
      </c>
      <c r="K21" s="443">
        <v>42</v>
      </c>
      <c r="L21" s="443">
        <v>3413</v>
      </c>
      <c r="M21" s="167"/>
      <c r="N21" s="168"/>
    </row>
    <row r="22" spans="1:16" s="8" customFormat="1" ht="18" customHeight="1" x14ac:dyDescent="0.3">
      <c r="A22" s="583">
        <v>13</v>
      </c>
      <c r="B22" s="164"/>
      <c r="C22" s="165"/>
      <c r="D22" s="1318" t="s">
        <v>969</v>
      </c>
      <c r="E22" s="163"/>
      <c r="F22" s="163"/>
      <c r="G22" s="1746"/>
      <c r="H22" s="598"/>
      <c r="I22" s="1321">
        <f t="shared" ref="I22" si="2">SUM(J22:N22)</f>
        <v>0</v>
      </c>
      <c r="J22" s="184"/>
      <c r="K22" s="184"/>
      <c r="L22" s="184"/>
      <c r="M22" s="167"/>
      <c r="N22" s="168"/>
    </row>
    <row r="23" spans="1:16" s="8" customFormat="1" ht="18" customHeight="1" x14ac:dyDescent="0.3">
      <c r="A23" s="583">
        <v>14</v>
      </c>
      <c r="B23" s="164"/>
      <c r="C23" s="165"/>
      <c r="D23" s="576" t="s">
        <v>1250</v>
      </c>
      <c r="E23" s="163"/>
      <c r="F23" s="163"/>
      <c r="G23" s="1746"/>
      <c r="H23" s="598"/>
      <c r="I23" s="566">
        <f>SUM(J23:N23)</f>
        <v>3485</v>
      </c>
      <c r="J23" s="443">
        <f>SUM(J21:J22)</f>
        <v>30</v>
      </c>
      <c r="K23" s="443">
        <f>SUM(K21:K22)</f>
        <v>42</v>
      </c>
      <c r="L23" s="443">
        <f>SUM(L21:L22)</f>
        <v>3413</v>
      </c>
      <c r="M23" s="167"/>
      <c r="N23" s="168"/>
    </row>
    <row r="24" spans="1:16" s="3" customFormat="1" ht="22.5" customHeight="1" x14ac:dyDescent="0.3">
      <c r="A24" s="583">
        <v>15</v>
      </c>
      <c r="B24" s="160"/>
      <c r="C24" s="161">
        <v>4</v>
      </c>
      <c r="D24" s="577" t="s">
        <v>47</v>
      </c>
      <c r="E24" s="163">
        <v>12950</v>
      </c>
      <c r="F24" s="163">
        <v>11000</v>
      </c>
      <c r="G24" s="1746">
        <v>13218</v>
      </c>
      <c r="H24" s="598" t="s">
        <v>24</v>
      </c>
      <c r="I24" s="1183"/>
      <c r="J24" s="167"/>
      <c r="K24" s="167"/>
      <c r="L24" s="167"/>
      <c r="M24" s="167"/>
      <c r="N24" s="168"/>
      <c r="P24" s="8"/>
    </row>
    <row r="25" spans="1:16" s="3" customFormat="1" ht="18" customHeight="1" x14ac:dyDescent="0.3">
      <c r="A25" s="583">
        <v>16</v>
      </c>
      <c r="B25" s="160"/>
      <c r="C25" s="161"/>
      <c r="D25" s="576" t="s">
        <v>1158</v>
      </c>
      <c r="E25" s="163"/>
      <c r="F25" s="163"/>
      <c r="G25" s="1746"/>
      <c r="H25" s="598"/>
      <c r="I25" s="566">
        <f t="shared" ref="I25:I27" si="3">SUM(J25:N25)</f>
        <v>4078</v>
      </c>
      <c r="J25" s="167"/>
      <c r="K25" s="167"/>
      <c r="L25" s="443">
        <v>4078</v>
      </c>
      <c r="M25" s="167"/>
      <c r="N25" s="168"/>
      <c r="P25" s="8"/>
    </row>
    <row r="26" spans="1:16" s="8" customFormat="1" ht="18" customHeight="1" x14ac:dyDescent="0.3">
      <c r="A26" s="583">
        <v>17</v>
      </c>
      <c r="B26" s="164"/>
      <c r="C26" s="165"/>
      <c r="D26" s="1318" t="s">
        <v>969</v>
      </c>
      <c r="E26" s="1090"/>
      <c r="F26" s="1090"/>
      <c r="G26" s="1747"/>
      <c r="H26" s="598"/>
      <c r="I26" s="1321">
        <f t="shared" si="3"/>
        <v>0</v>
      </c>
      <c r="J26" s="184"/>
      <c r="K26" s="184"/>
      <c r="L26" s="184"/>
      <c r="M26" s="184"/>
      <c r="N26" s="185"/>
    </row>
    <row r="27" spans="1:16" s="8" customFormat="1" ht="18" customHeight="1" x14ac:dyDescent="0.3">
      <c r="A27" s="583">
        <v>18</v>
      </c>
      <c r="B27" s="164"/>
      <c r="C27" s="165"/>
      <c r="D27" s="576" t="s">
        <v>1250</v>
      </c>
      <c r="E27" s="1090"/>
      <c r="F27" s="1090"/>
      <c r="G27" s="1747"/>
      <c r="H27" s="598"/>
      <c r="I27" s="566">
        <f t="shared" si="3"/>
        <v>4078</v>
      </c>
      <c r="J27" s="167"/>
      <c r="K27" s="167"/>
      <c r="L27" s="443">
        <f>SUM(L25:L26)</f>
        <v>4078</v>
      </c>
      <c r="M27" s="167"/>
      <c r="N27" s="168"/>
    </row>
    <row r="28" spans="1:16" s="3" customFormat="1" ht="22.5" customHeight="1" x14ac:dyDescent="0.3">
      <c r="A28" s="583">
        <v>19</v>
      </c>
      <c r="B28" s="160"/>
      <c r="C28" s="161">
        <v>5</v>
      </c>
      <c r="D28" s="577" t="s">
        <v>12</v>
      </c>
      <c r="E28" s="163">
        <v>8243</v>
      </c>
      <c r="F28" s="163">
        <v>10167</v>
      </c>
      <c r="G28" s="1746">
        <v>9366</v>
      </c>
      <c r="H28" s="598" t="s">
        <v>24</v>
      </c>
      <c r="I28" s="567"/>
      <c r="J28" s="170"/>
      <c r="K28" s="170"/>
      <c r="L28" s="170"/>
      <c r="M28" s="170"/>
      <c r="N28" s="171"/>
      <c r="O28" s="8"/>
      <c r="P28" s="8"/>
    </row>
    <row r="29" spans="1:16" s="1193" customFormat="1" ht="18" customHeight="1" x14ac:dyDescent="0.3">
      <c r="A29" s="583">
        <v>20</v>
      </c>
      <c r="B29" s="1188"/>
      <c r="C29" s="1189"/>
      <c r="D29" s="1190" t="s">
        <v>308</v>
      </c>
      <c r="E29" s="1191"/>
      <c r="F29" s="1191"/>
      <c r="G29" s="1748"/>
      <c r="H29" s="1192"/>
      <c r="I29" s="1183">
        <f>SUM(J29:N29)</f>
        <v>9601</v>
      </c>
      <c r="J29" s="1184">
        <v>3800</v>
      </c>
      <c r="K29" s="1184">
        <v>1100</v>
      </c>
      <c r="L29" s="1184">
        <v>4701</v>
      </c>
      <c r="M29" s="1184"/>
      <c r="N29" s="1185"/>
    </row>
    <row r="30" spans="1:16" s="1193" customFormat="1" ht="18" customHeight="1" x14ac:dyDescent="0.3">
      <c r="A30" s="583">
        <v>21</v>
      </c>
      <c r="B30" s="1188"/>
      <c r="C30" s="1189"/>
      <c r="D30" s="576" t="s">
        <v>1158</v>
      </c>
      <c r="E30" s="1191"/>
      <c r="F30" s="1191"/>
      <c r="G30" s="1748"/>
      <c r="H30" s="1192"/>
      <c r="I30" s="566">
        <f t="shared" ref="I30:I32" si="4">SUM(J30:N30)</f>
        <v>9601</v>
      </c>
      <c r="J30" s="443">
        <v>3500</v>
      </c>
      <c r="K30" s="443">
        <v>1061</v>
      </c>
      <c r="L30" s="443">
        <v>4701</v>
      </c>
      <c r="M30" s="1184"/>
      <c r="N30" s="439">
        <v>339</v>
      </c>
    </row>
    <row r="31" spans="1:16" s="1193" customFormat="1" ht="18" customHeight="1" x14ac:dyDescent="0.3">
      <c r="A31" s="583">
        <v>22</v>
      </c>
      <c r="B31" s="1188"/>
      <c r="C31" s="1189"/>
      <c r="D31" s="1318" t="s">
        <v>969</v>
      </c>
      <c r="E31" s="1191"/>
      <c r="F31" s="1191"/>
      <c r="G31" s="1748"/>
      <c r="H31" s="1192"/>
      <c r="I31" s="1321">
        <f t="shared" si="4"/>
        <v>0</v>
      </c>
      <c r="J31" s="184"/>
      <c r="K31" s="184"/>
      <c r="L31" s="184"/>
      <c r="M31" s="184"/>
      <c r="N31" s="185"/>
    </row>
    <row r="32" spans="1:16" s="1193" customFormat="1" ht="18" customHeight="1" x14ac:dyDescent="0.3">
      <c r="A32" s="583">
        <v>23</v>
      </c>
      <c r="B32" s="1188"/>
      <c r="C32" s="1189"/>
      <c r="D32" s="576" t="s">
        <v>1250</v>
      </c>
      <c r="E32" s="1191"/>
      <c r="F32" s="1191"/>
      <c r="G32" s="1748"/>
      <c r="H32" s="1192"/>
      <c r="I32" s="566">
        <f t="shared" si="4"/>
        <v>9601</v>
      </c>
      <c r="J32" s="443">
        <f>SUM(J30:J31)</f>
        <v>3500</v>
      </c>
      <c r="K32" s="443">
        <f t="shared" ref="K32:L32" si="5">SUM(K30:K31)</f>
        <v>1061</v>
      </c>
      <c r="L32" s="443">
        <f t="shared" si="5"/>
        <v>4701</v>
      </c>
      <c r="M32" s="443"/>
      <c r="N32" s="439">
        <f>SUM(N30:N31)</f>
        <v>339</v>
      </c>
    </row>
    <row r="33" spans="1:16" s="3" customFormat="1" ht="22.5" customHeight="1" x14ac:dyDescent="0.3">
      <c r="A33" s="583">
        <v>24</v>
      </c>
      <c r="B33" s="160"/>
      <c r="C33" s="161">
        <v>6</v>
      </c>
      <c r="D33" s="577" t="s">
        <v>436</v>
      </c>
      <c r="E33" s="163">
        <v>1000</v>
      </c>
      <c r="F33" s="163">
        <v>1000</v>
      </c>
      <c r="G33" s="1746"/>
      <c r="H33" s="598" t="s">
        <v>24</v>
      </c>
      <c r="I33" s="1183"/>
      <c r="J33" s="170"/>
      <c r="K33" s="170"/>
      <c r="L33" s="170"/>
      <c r="M33" s="170"/>
      <c r="N33" s="171"/>
      <c r="O33" s="8"/>
      <c r="P33" s="8"/>
    </row>
    <row r="34" spans="1:16" s="3" customFormat="1" ht="22.5" customHeight="1" x14ac:dyDescent="0.3">
      <c r="A34" s="583">
        <v>25</v>
      </c>
      <c r="B34" s="160"/>
      <c r="C34" s="161">
        <v>7</v>
      </c>
      <c r="D34" s="577" t="s">
        <v>10</v>
      </c>
      <c r="E34" s="163">
        <f>SUM(E35,E36,E37,E38,E40,E39)</f>
        <v>72000</v>
      </c>
      <c r="F34" s="163">
        <f>SUM(F35,F36,F37,F38,F40,F39)</f>
        <v>74000</v>
      </c>
      <c r="G34" s="1746">
        <f>SUM(G35,G36,G37,G38,G40,G39)</f>
        <v>74000</v>
      </c>
      <c r="H34" s="598" t="s">
        <v>24</v>
      </c>
      <c r="I34" s="1183"/>
      <c r="J34" s="170"/>
      <c r="K34" s="170"/>
      <c r="L34" s="170"/>
      <c r="M34" s="170"/>
      <c r="N34" s="171"/>
      <c r="O34" s="8"/>
      <c r="P34" s="8"/>
    </row>
    <row r="35" spans="1:16" s="9" customFormat="1" ht="18" customHeight="1" x14ac:dyDescent="0.3">
      <c r="A35" s="583">
        <v>26</v>
      </c>
      <c r="B35" s="172"/>
      <c r="C35" s="554"/>
      <c r="D35" s="440" t="s">
        <v>48</v>
      </c>
      <c r="E35" s="173">
        <v>30000</v>
      </c>
      <c r="F35" s="173">
        <v>30000</v>
      </c>
      <c r="G35" s="1749">
        <v>30000</v>
      </c>
      <c r="H35" s="599"/>
      <c r="I35" s="1183"/>
      <c r="J35" s="184"/>
      <c r="K35" s="184"/>
      <c r="L35" s="184"/>
      <c r="M35" s="184"/>
      <c r="N35" s="185"/>
      <c r="P35" s="8"/>
    </row>
    <row r="36" spans="1:16" s="9" customFormat="1" ht="18" customHeight="1" x14ac:dyDescent="0.3">
      <c r="A36" s="583">
        <v>27</v>
      </c>
      <c r="B36" s="172"/>
      <c r="C36" s="554"/>
      <c r="D36" s="440" t="s">
        <v>49</v>
      </c>
      <c r="E36" s="173">
        <v>15000</v>
      </c>
      <c r="F36" s="173">
        <v>15000</v>
      </c>
      <c r="G36" s="1749">
        <v>15000</v>
      </c>
      <c r="H36" s="599"/>
      <c r="I36" s="1183"/>
      <c r="J36" s="174"/>
      <c r="K36" s="174"/>
      <c r="L36" s="174"/>
      <c r="M36" s="174"/>
      <c r="N36" s="175"/>
      <c r="P36" s="8"/>
    </row>
    <row r="37" spans="1:16" s="9" customFormat="1" ht="18" customHeight="1" x14ac:dyDescent="0.3">
      <c r="A37" s="583">
        <v>28</v>
      </c>
      <c r="B37" s="172"/>
      <c r="C37" s="554"/>
      <c r="D37" s="440" t="s">
        <v>50</v>
      </c>
      <c r="E37" s="173">
        <v>5000</v>
      </c>
      <c r="F37" s="173">
        <v>2000</v>
      </c>
      <c r="G37" s="1749">
        <v>2000</v>
      </c>
      <c r="H37" s="599"/>
      <c r="I37" s="1183"/>
      <c r="J37" s="174"/>
      <c r="K37" s="174"/>
      <c r="L37" s="174"/>
      <c r="M37" s="174"/>
      <c r="N37" s="175"/>
      <c r="P37" s="8"/>
    </row>
    <row r="38" spans="1:16" s="9" customFormat="1" ht="18" customHeight="1" x14ac:dyDescent="0.3">
      <c r="A38" s="583">
        <v>29</v>
      </c>
      <c r="B38" s="172"/>
      <c r="C38" s="554"/>
      <c r="D38" s="440" t="s">
        <v>51</v>
      </c>
      <c r="E38" s="173">
        <v>15000</v>
      </c>
      <c r="F38" s="173">
        <v>15000</v>
      </c>
      <c r="G38" s="1749">
        <v>15000</v>
      </c>
      <c r="H38" s="599"/>
      <c r="I38" s="1183"/>
      <c r="J38" s="174"/>
      <c r="K38" s="174"/>
      <c r="L38" s="174"/>
      <c r="M38" s="174"/>
      <c r="N38" s="175"/>
      <c r="P38" s="8"/>
    </row>
    <row r="39" spans="1:16" s="9" customFormat="1" ht="18" customHeight="1" x14ac:dyDescent="0.3">
      <c r="A39" s="583">
        <v>30</v>
      </c>
      <c r="B39" s="172"/>
      <c r="C39" s="165"/>
      <c r="D39" s="440" t="s">
        <v>52</v>
      </c>
      <c r="E39" s="173">
        <v>5000</v>
      </c>
      <c r="F39" s="173">
        <v>10000</v>
      </c>
      <c r="G39" s="1749">
        <v>10000</v>
      </c>
      <c r="H39" s="599"/>
      <c r="I39" s="1183"/>
      <c r="J39" s="174"/>
      <c r="K39" s="174"/>
      <c r="L39" s="174"/>
      <c r="M39" s="174"/>
      <c r="N39" s="175"/>
    </row>
    <row r="40" spans="1:16" s="9" customFormat="1" ht="22.5" customHeight="1" x14ac:dyDescent="0.3">
      <c r="A40" s="583">
        <v>31</v>
      </c>
      <c r="B40" s="172"/>
      <c r="C40" s="161">
        <v>8</v>
      </c>
      <c r="D40" s="577" t="s">
        <v>775</v>
      </c>
      <c r="E40" s="163">
        <v>2000</v>
      </c>
      <c r="F40" s="173">
        <v>2000</v>
      </c>
      <c r="G40" s="1749">
        <v>2000</v>
      </c>
      <c r="H40" s="598" t="s">
        <v>24</v>
      </c>
      <c r="I40" s="1183"/>
      <c r="J40" s="184"/>
      <c r="K40" s="184"/>
      <c r="L40" s="184"/>
      <c r="M40" s="184"/>
      <c r="N40" s="185"/>
      <c r="P40" s="8"/>
    </row>
    <row r="41" spans="1:16" s="3" customFormat="1" ht="22.5" customHeight="1" x14ac:dyDescent="0.3">
      <c r="A41" s="583">
        <v>32</v>
      </c>
      <c r="B41" s="160"/>
      <c r="C41" s="161">
        <v>9</v>
      </c>
      <c r="D41" s="577" t="s">
        <v>278</v>
      </c>
      <c r="E41" s="163">
        <v>7817</v>
      </c>
      <c r="F41" s="163">
        <v>10000</v>
      </c>
      <c r="G41" s="1746">
        <v>16207</v>
      </c>
      <c r="H41" s="598" t="s">
        <v>24</v>
      </c>
      <c r="I41" s="1183"/>
      <c r="J41" s="167"/>
      <c r="K41" s="167"/>
      <c r="L41" s="167"/>
      <c r="M41" s="167"/>
      <c r="N41" s="168"/>
      <c r="P41" s="8"/>
    </row>
    <row r="42" spans="1:16" s="3" customFormat="1" ht="18" customHeight="1" x14ac:dyDescent="0.3">
      <c r="A42" s="583">
        <v>33</v>
      </c>
      <c r="B42" s="160"/>
      <c r="C42" s="161"/>
      <c r="D42" s="576" t="s">
        <v>1158</v>
      </c>
      <c r="E42" s="1746"/>
      <c r="F42" s="163"/>
      <c r="G42" s="1832"/>
      <c r="H42" s="598"/>
      <c r="I42" s="566">
        <f t="shared" ref="I42:I49" si="6">SUM(J42:N42)</f>
        <v>6657</v>
      </c>
      <c r="J42" s="167"/>
      <c r="K42" s="167"/>
      <c r="L42" s="443">
        <v>6657</v>
      </c>
      <c r="M42" s="167"/>
      <c r="N42" s="168"/>
      <c r="P42" s="8"/>
    </row>
    <row r="43" spans="1:16" s="8" customFormat="1" ht="18" customHeight="1" x14ac:dyDescent="0.3">
      <c r="A43" s="583">
        <v>34</v>
      </c>
      <c r="B43" s="164"/>
      <c r="C43" s="165"/>
      <c r="D43" s="1318" t="s">
        <v>969</v>
      </c>
      <c r="E43" s="1352"/>
      <c r="F43" s="1090"/>
      <c r="G43" s="1750"/>
      <c r="H43" s="598"/>
      <c r="I43" s="1321">
        <f t="shared" si="6"/>
        <v>0</v>
      </c>
      <c r="J43" s="167"/>
      <c r="K43" s="167"/>
      <c r="L43" s="167"/>
      <c r="M43" s="167"/>
      <c r="N43" s="168"/>
    </row>
    <row r="44" spans="1:16" s="8" customFormat="1" ht="18" customHeight="1" x14ac:dyDescent="0.3">
      <c r="A44" s="583">
        <v>35</v>
      </c>
      <c r="B44" s="164"/>
      <c r="C44" s="165"/>
      <c r="D44" s="576" t="s">
        <v>1250</v>
      </c>
      <c r="E44" s="1096"/>
      <c r="F44" s="1351"/>
      <c r="G44" s="1096"/>
      <c r="H44" s="598"/>
      <c r="I44" s="566">
        <f t="shared" si="6"/>
        <v>6657</v>
      </c>
      <c r="J44" s="167"/>
      <c r="K44" s="167"/>
      <c r="L44" s="443">
        <f>SUM(L42:L43)</f>
        <v>6657</v>
      </c>
      <c r="M44" s="167"/>
      <c r="N44" s="168"/>
    </row>
    <row r="45" spans="1:16" s="3" customFormat="1" ht="22.5" customHeight="1" x14ac:dyDescent="0.3">
      <c r="A45" s="583">
        <v>36</v>
      </c>
      <c r="B45" s="160"/>
      <c r="C45" s="161">
        <v>10</v>
      </c>
      <c r="D45" s="577" t="s">
        <v>53</v>
      </c>
      <c r="E45" s="163">
        <v>6008</v>
      </c>
      <c r="F45" s="163">
        <v>4500</v>
      </c>
      <c r="G45" s="1746">
        <v>22414</v>
      </c>
      <c r="H45" s="598" t="s">
        <v>24</v>
      </c>
      <c r="I45" s="1183"/>
      <c r="J45" s="167"/>
      <c r="K45" s="167"/>
      <c r="L45" s="167"/>
      <c r="M45" s="167"/>
      <c r="N45" s="168"/>
      <c r="P45" s="8"/>
    </row>
    <row r="46" spans="1:16" s="3" customFormat="1" ht="18" customHeight="1" x14ac:dyDescent="0.3">
      <c r="A46" s="583">
        <v>37</v>
      </c>
      <c r="B46" s="160"/>
      <c r="C46" s="161"/>
      <c r="D46" s="576" t="s">
        <v>1158</v>
      </c>
      <c r="E46" s="163"/>
      <c r="F46" s="163"/>
      <c r="G46" s="1746"/>
      <c r="H46" s="600"/>
      <c r="I46" s="566">
        <f t="shared" si="6"/>
        <v>5711</v>
      </c>
      <c r="J46" s="167"/>
      <c r="K46" s="167"/>
      <c r="L46" s="443">
        <v>5711</v>
      </c>
      <c r="M46" s="167"/>
      <c r="N46" s="168"/>
      <c r="P46" s="8"/>
    </row>
    <row r="47" spans="1:16" s="8" customFormat="1" ht="18" customHeight="1" x14ac:dyDescent="0.3">
      <c r="A47" s="583">
        <v>38</v>
      </c>
      <c r="B47" s="164"/>
      <c r="C47" s="165"/>
      <c r="D47" s="1318" t="s">
        <v>970</v>
      </c>
      <c r="E47" s="163"/>
      <c r="F47" s="163"/>
      <c r="G47" s="1746"/>
      <c r="H47" s="600"/>
      <c r="I47" s="1321">
        <f t="shared" si="6"/>
        <v>181</v>
      </c>
      <c r="J47" s="184"/>
      <c r="K47" s="184"/>
      <c r="L47" s="184">
        <v>181</v>
      </c>
      <c r="M47" s="184"/>
      <c r="N47" s="185"/>
    </row>
    <row r="48" spans="1:16" s="8" customFormat="1" ht="18" customHeight="1" x14ac:dyDescent="0.3">
      <c r="A48" s="583">
        <v>39</v>
      </c>
      <c r="B48" s="164"/>
      <c r="C48" s="165"/>
      <c r="D48" s="1318" t="s">
        <v>1168</v>
      </c>
      <c r="E48" s="163"/>
      <c r="F48" s="163"/>
      <c r="G48" s="1746"/>
      <c r="H48" s="600"/>
      <c r="I48" s="1321">
        <f t="shared" si="6"/>
        <v>0</v>
      </c>
      <c r="J48" s="184">
        <v>27</v>
      </c>
      <c r="K48" s="184">
        <v>13</v>
      </c>
      <c r="L48" s="184">
        <v>-40</v>
      </c>
      <c r="M48" s="184"/>
      <c r="N48" s="185"/>
    </row>
    <row r="49" spans="1:16" s="8" customFormat="1" ht="18" customHeight="1" x14ac:dyDescent="0.3">
      <c r="A49" s="583">
        <v>40</v>
      </c>
      <c r="B49" s="164"/>
      <c r="C49" s="165"/>
      <c r="D49" s="576" t="s">
        <v>1250</v>
      </c>
      <c r="E49" s="163"/>
      <c r="F49" s="163"/>
      <c r="G49" s="1746"/>
      <c r="H49" s="600"/>
      <c r="I49" s="566">
        <f t="shared" si="6"/>
        <v>5892</v>
      </c>
      <c r="J49" s="443">
        <f t="shared" ref="J49:K49" si="7">SUM(J46:J48)</f>
        <v>27</v>
      </c>
      <c r="K49" s="443">
        <f t="shared" si="7"/>
        <v>13</v>
      </c>
      <c r="L49" s="443">
        <f>SUM(L46:L48)</f>
        <v>5852</v>
      </c>
      <c r="M49" s="167"/>
      <c r="N49" s="168"/>
    </row>
    <row r="50" spans="1:16" s="3" customFormat="1" ht="22.5" customHeight="1" x14ac:dyDescent="0.3">
      <c r="A50" s="583">
        <v>41</v>
      </c>
      <c r="B50" s="160"/>
      <c r="C50" s="161">
        <v>11</v>
      </c>
      <c r="D50" s="577" t="s">
        <v>54</v>
      </c>
      <c r="E50" s="163">
        <v>21</v>
      </c>
      <c r="F50" s="163">
        <v>2000</v>
      </c>
      <c r="G50" s="1746">
        <v>450</v>
      </c>
      <c r="H50" s="600" t="s">
        <v>24</v>
      </c>
      <c r="I50" s="566"/>
      <c r="J50" s="167"/>
      <c r="K50" s="167"/>
      <c r="L50" s="167"/>
      <c r="M50" s="167"/>
      <c r="N50" s="168"/>
      <c r="P50" s="8"/>
    </row>
    <row r="51" spans="1:16" s="1199" customFormat="1" ht="18" customHeight="1" x14ac:dyDescent="0.35">
      <c r="A51" s="583">
        <v>42</v>
      </c>
      <c r="B51" s="1194"/>
      <c r="C51" s="1189"/>
      <c r="D51" s="1190" t="s">
        <v>308</v>
      </c>
      <c r="E51" s="1195"/>
      <c r="F51" s="1195"/>
      <c r="G51" s="1751"/>
      <c r="H51" s="1196"/>
      <c r="I51" s="1183">
        <f>SUM(J51:N51)</f>
        <v>1000</v>
      </c>
      <c r="J51" s="1197"/>
      <c r="K51" s="1197"/>
      <c r="L51" s="1197">
        <v>1000</v>
      </c>
      <c r="M51" s="1197"/>
      <c r="N51" s="1198"/>
      <c r="P51" s="1193"/>
    </row>
    <row r="52" spans="1:16" s="1199" customFormat="1" ht="18" customHeight="1" x14ac:dyDescent="0.35">
      <c r="A52" s="583">
        <v>43</v>
      </c>
      <c r="B52" s="1194"/>
      <c r="C52" s="1189"/>
      <c r="D52" s="576" t="s">
        <v>1158</v>
      </c>
      <c r="E52" s="1195"/>
      <c r="F52" s="1195"/>
      <c r="G52" s="1751"/>
      <c r="H52" s="1196"/>
      <c r="I52" s="566">
        <f t="shared" ref="I52:I54" si="8">SUM(J52:N52)</f>
        <v>509</v>
      </c>
      <c r="J52" s="1197"/>
      <c r="K52" s="1197"/>
      <c r="L52" s="1319">
        <v>509</v>
      </c>
      <c r="M52" s="1197"/>
      <c r="N52" s="1198"/>
      <c r="P52" s="1193"/>
    </row>
    <row r="53" spans="1:16" s="1199" customFormat="1" ht="18" customHeight="1" x14ac:dyDescent="0.35">
      <c r="A53" s="583">
        <v>44</v>
      </c>
      <c r="B53" s="1194"/>
      <c r="C53" s="1189"/>
      <c r="D53" s="1318" t="s">
        <v>970</v>
      </c>
      <c r="E53" s="1195"/>
      <c r="F53" s="1195"/>
      <c r="G53" s="1751"/>
      <c r="H53" s="1196"/>
      <c r="I53" s="1321">
        <f t="shared" si="8"/>
        <v>185</v>
      </c>
      <c r="J53" s="621"/>
      <c r="K53" s="621"/>
      <c r="L53" s="621">
        <v>185</v>
      </c>
      <c r="M53" s="621"/>
      <c r="N53" s="622"/>
      <c r="P53" s="1193"/>
    </row>
    <row r="54" spans="1:16" s="1199" customFormat="1" ht="18" customHeight="1" x14ac:dyDescent="0.35">
      <c r="A54" s="583">
        <v>45</v>
      </c>
      <c r="B54" s="1194"/>
      <c r="C54" s="1189"/>
      <c r="D54" s="576" t="s">
        <v>1250</v>
      </c>
      <c r="E54" s="1195"/>
      <c r="F54" s="1195"/>
      <c r="G54" s="1751"/>
      <c r="H54" s="1196"/>
      <c r="I54" s="566">
        <f t="shared" si="8"/>
        <v>694</v>
      </c>
      <c r="J54" s="1319"/>
      <c r="K54" s="1319"/>
      <c r="L54" s="1319">
        <f>SUM(L52:L53)</f>
        <v>694</v>
      </c>
      <c r="M54" s="1319"/>
      <c r="N54" s="1320"/>
      <c r="P54" s="1193"/>
    </row>
    <row r="55" spans="1:16" s="3" customFormat="1" ht="22.5" customHeight="1" x14ac:dyDescent="0.3">
      <c r="A55" s="583">
        <v>46</v>
      </c>
      <c r="B55" s="160"/>
      <c r="C55" s="161">
        <v>12</v>
      </c>
      <c r="D55" s="577" t="s">
        <v>55</v>
      </c>
      <c r="E55" s="163">
        <v>2657</v>
      </c>
      <c r="F55" s="163">
        <v>4000</v>
      </c>
      <c r="G55" s="1746">
        <v>1887</v>
      </c>
      <c r="H55" s="598" t="s">
        <v>24</v>
      </c>
      <c r="I55" s="566"/>
      <c r="J55" s="167"/>
      <c r="K55" s="167"/>
      <c r="L55" s="167"/>
      <c r="M55" s="167"/>
      <c r="N55" s="168"/>
      <c r="P55" s="8"/>
    </row>
    <row r="56" spans="1:16" s="1193" customFormat="1" ht="18" customHeight="1" x14ac:dyDescent="0.3">
      <c r="A56" s="583">
        <v>47</v>
      </c>
      <c r="B56" s="1188"/>
      <c r="C56" s="1189"/>
      <c r="D56" s="1190" t="s">
        <v>308</v>
      </c>
      <c r="E56" s="1191"/>
      <c r="F56" s="1191"/>
      <c r="G56" s="1748"/>
      <c r="H56" s="1192"/>
      <c r="I56" s="1183">
        <f>SUM(J56:N56)</f>
        <v>2000</v>
      </c>
      <c r="J56" s="1184"/>
      <c r="K56" s="1184"/>
      <c r="L56" s="1184">
        <v>2000</v>
      </c>
      <c r="M56" s="1184"/>
      <c r="N56" s="1185"/>
    </row>
    <row r="57" spans="1:16" s="1193" customFormat="1" ht="18" customHeight="1" x14ac:dyDescent="0.3">
      <c r="A57" s="583">
        <v>48</v>
      </c>
      <c r="B57" s="1188"/>
      <c r="C57" s="1189"/>
      <c r="D57" s="576" t="s">
        <v>1158</v>
      </c>
      <c r="E57" s="1191"/>
      <c r="F57" s="1191"/>
      <c r="G57" s="1748"/>
      <c r="H57" s="1192"/>
      <c r="I57" s="566">
        <f t="shared" ref="I57:I59" si="9">SUM(J57:N57)</f>
        <v>0</v>
      </c>
      <c r="J57" s="1184"/>
      <c r="K57" s="1184"/>
      <c r="L57" s="443">
        <v>0</v>
      </c>
      <c r="M57" s="1184"/>
      <c r="N57" s="1185"/>
    </row>
    <row r="58" spans="1:16" s="1193" customFormat="1" ht="18" customHeight="1" x14ac:dyDescent="0.3">
      <c r="A58" s="583">
        <v>49</v>
      </c>
      <c r="B58" s="1188"/>
      <c r="C58" s="1189"/>
      <c r="D58" s="1318" t="s">
        <v>969</v>
      </c>
      <c r="E58" s="1191"/>
      <c r="F58" s="1191"/>
      <c r="G58" s="1748"/>
      <c r="H58" s="1192"/>
      <c r="I58" s="1321">
        <f t="shared" si="9"/>
        <v>0</v>
      </c>
      <c r="J58" s="184"/>
      <c r="K58" s="184"/>
      <c r="L58" s="184"/>
      <c r="M58" s="184"/>
      <c r="N58" s="185"/>
    </row>
    <row r="59" spans="1:16" s="1193" customFormat="1" ht="18" customHeight="1" x14ac:dyDescent="0.3">
      <c r="A59" s="583">
        <v>50</v>
      </c>
      <c r="B59" s="1188"/>
      <c r="C59" s="1189"/>
      <c r="D59" s="576" t="s">
        <v>1250</v>
      </c>
      <c r="E59" s="1191"/>
      <c r="F59" s="1191"/>
      <c r="G59" s="1748"/>
      <c r="H59" s="1192"/>
      <c r="I59" s="566">
        <f t="shared" si="9"/>
        <v>0</v>
      </c>
      <c r="J59" s="443"/>
      <c r="K59" s="443"/>
      <c r="L59" s="443">
        <f>SUM(L57:L58)</f>
        <v>0</v>
      </c>
      <c r="M59" s="443"/>
      <c r="N59" s="439"/>
    </row>
    <row r="60" spans="1:16" s="3" customFormat="1" ht="22.5" customHeight="1" x14ac:dyDescent="0.3">
      <c r="A60" s="583">
        <v>51</v>
      </c>
      <c r="B60" s="160"/>
      <c r="C60" s="161">
        <v>13</v>
      </c>
      <c r="D60" s="577" t="s">
        <v>56</v>
      </c>
      <c r="E60" s="163">
        <f>SUM(E65,E70,E75,E80)</f>
        <v>5498</v>
      </c>
      <c r="F60" s="163">
        <f>SUM(F65,F70,F75,F80)+F84+F85</f>
        <v>13000</v>
      </c>
      <c r="G60" s="163">
        <f>SUM(G65,G70,G75,G80)+G86</f>
        <v>7346</v>
      </c>
      <c r="H60" s="598" t="s">
        <v>24</v>
      </c>
      <c r="I60" s="566"/>
      <c r="J60" s="167"/>
      <c r="K60" s="167"/>
      <c r="L60" s="167"/>
      <c r="M60" s="167"/>
      <c r="N60" s="168"/>
      <c r="P60" s="8"/>
    </row>
    <row r="61" spans="1:16" s="1193" customFormat="1" ht="18" customHeight="1" x14ac:dyDescent="0.3">
      <c r="A61" s="583">
        <v>52</v>
      </c>
      <c r="B61" s="1188"/>
      <c r="C61" s="1189"/>
      <c r="D61" s="1190" t="s">
        <v>308</v>
      </c>
      <c r="E61" s="1191"/>
      <c r="F61" s="1191"/>
      <c r="G61" s="1748"/>
      <c r="H61" s="1192"/>
      <c r="I61" s="1183">
        <f>SUM(J61:N61)</f>
        <v>2925</v>
      </c>
      <c r="J61" s="1184">
        <f>SUM(J66,J71,J76,)</f>
        <v>0</v>
      </c>
      <c r="K61" s="1184">
        <f t="shared" ref="K61:N61" si="10">SUM(K66,K71,K76,)</f>
        <v>0</v>
      </c>
      <c r="L61" s="1184">
        <f t="shared" si="10"/>
        <v>0</v>
      </c>
      <c r="M61" s="1184">
        <f t="shared" si="10"/>
        <v>0</v>
      </c>
      <c r="N61" s="1185">
        <f t="shared" si="10"/>
        <v>2925</v>
      </c>
    </row>
    <row r="62" spans="1:16" s="1193" customFormat="1" ht="18" customHeight="1" x14ac:dyDescent="0.3">
      <c r="A62" s="583">
        <v>53</v>
      </c>
      <c r="B62" s="1188"/>
      <c r="C62" s="1189"/>
      <c r="D62" s="576" t="s">
        <v>1158</v>
      </c>
      <c r="E62" s="1191"/>
      <c r="F62" s="1191"/>
      <c r="G62" s="1748"/>
      <c r="H62" s="1192"/>
      <c r="I62" s="566">
        <f>SUM(J62:N62)</f>
        <v>6475</v>
      </c>
      <c r="J62" s="443">
        <f>SUM(J67,J72,J77,)+J81</f>
        <v>0</v>
      </c>
      <c r="K62" s="443">
        <f t="shared" ref="K62:N62" si="11">SUM(K67,K72,K77,)+K81</f>
        <v>0</v>
      </c>
      <c r="L62" s="443">
        <f t="shared" si="11"/>
        <v>0</v>
      </c>
      <c r="M62" s="443">
        <f t="shared" si="11"/>
        <v>0</v>
      </c>
      <c r="N62" s="439">
        <f t="shared" si="11"/>
        <v>6475</v>
      </c>
    </row>
    <row r="63" spans="1:16" s="1193" customFormat="1" ht="18" customHeight="1" x14ac:dyDescent="0.3">
      <c r="A63" s="583">
        <v>54</v>
      </c>
      <c r="B63" s="1188"/>
      <c r="C63" s="1189"/>
      <c r="D63" s="1318" t="s">
        <v>947</v>
      </c>
      <c r="E63" s="1191"/>
      <c r="F63" s="1191"/>
      <c r="G63" s="1748"/>
      <c r="H63" s="1192"/>
      <c r="I63" s="1321">
        <f t="shared" ref="I63" si="12">SUM(J63:N63)</f>
        <v>0</v>
      </c>
      <c r="J63" s="184">
        <f>J68+J73+J78+J82</f>
        <v>0</v>
      </c>
      <c r="K63" s="184">
        <f t="shared" ref="K63:N63" si="13">K68+K73+K78+K82</f>
        <v>0</v>
      </c>
      <c r="L63" s="184">
        <f t="shared" si="13"/>
        <v>0</v>
      </c>
      <c r="M63" s="184">
        <f t="shared" si="13"/>
        <v>0</v>
      </c>
      <c r="N63" s="185">
        <f t="shared" si="13"/>
        <v>0</v>
      </c>
    </row>
    <row r="64" spans="1:16" s="1193" customFormat="1" ht="18" customHeight="1" x14ac:dyDescent="0.3">
      <c r="A64" s="583">
        <v>55</v>
      </c>
      <c r="B64" s="1188"/>
      <c r="C64" s="1189"/>
      <c r="D64" s="576" t="s">
        <v>1250</v>
      </c>
      <c r="E64" s="1191"/>
      <c r="F64" s="1191"/>
      <c r="G64" s="1748"/>
      <c r="H64" s="1192"/>
      <c r="I64" s="566">
        <f>SUM(J64:N64)</f>
        <v>6475</v>
      </c>
      <c r="J64" s="443">
        <f>SUM(J62:J63)</f>
        <v>0</v>
      </c>
      <c r="K64" s="443">
        <f t="shared" ref="K64:N64" si="14">SUM(K62:K63)</f>
        <v>0</v>
      </c>
      <c r="L64" s="443">
        <f t="shared" si="14"/>
        <v>0</v>
      </c>
      <c r="M64" s="443">
        <f t="shared" si="14"/>
        <v>0</v>
      </c>
      <c r="N64" s="439">
        <f t="shared" si="14"/>
        <v>6475</v>
      </c>
    </row>
    <row r="65" spans="1:14" s="9" customFormat="1" ht="18" customHeight="1" x14ac:dyDescent="0.3">
      <c r="A65" s="583">
        <v>56</v>
      </c>
      <c r="B65" s="172"/>
      <c r="C65" s="165"/>
      <c r="D65" s="176" t="s">
        <v>287</v>
      </c>
      <c r="E65" s="173"/>
      <c r="F65" s="173">
        <v>1500</v>
      </c>
      <c r="G65" s="1749"/>
      <c r="H65" s="599"/>
      <c r="I65" s="568"/>
      <c r="J65" s="184"/>
      <c r="K65" s="184"/>
      <c r="L65" s="184"/>
      <c r="M65" s="184"/>
      <c r="N65" s="185"/>
    </row>
    <row r="66" spans="1:14" s="1206" customFormat="1" ht="18" customHeight="1" x14ac:dyDescent="0.3">
      <c r="A66" s="583">
        <v>57</v>
      </c>
      <c r="B66" s="1200"/>
      <c r="C66" s="1189"/>
      <c r="D66" s="1201" t="s">
        <v>308</v>
      </c>
      <c r="E66" s="1202"/>
      <c r="F66" s="1202"/>
      <c r="G66" s="1752"/>
      <c r="H66" s="1203"/>
      <c r="I66" s="1186">
        <f>SUM(J66:N66)</f>
        <v>1000</v>
      </c>
      <c r="J66" s="1204"/>
      <c r="K66" s="1204"/>
      <c r="L66" s="1204"/>
      <c r="M66" s="1204"/>
      <c r="N66" s="1205">
        <v>1000</v>
      </c>
    </row>
    <row r="67" spans="1:14" s="1206" customFormat="1" ht="18" customHeight="1" x14ac:dyDescent="0.3">
      <c r="A67" s="583">
        <v>58</v>
      </c>
      <c r="B67" s="1200"/>
      <c r="C67" s="1189"/>
      <c r="D67" s="1324" t="s">
        <v>1158</v>
      </c>
      <c r="E67" s="1202"/>
      <c r="F67" s="1202"/>
      <c r="G67" s="1752"/>
      <c r="H67" s="1203"/>
      <c r="I67" s="568">
        <f t="shared" ref="I67:I69" si="15">SUM(J67:N67)</f>
        <v>0</v>
      </c>
      <c r="J67" s="1204"/>
      <c r="K67" s="1204"/>
      <c r="L67" s="1204"/>
      <c r="M67" s="1204"/>
      <c r="N67" s="1323">
        <v>0</v>
      </c>
    </row>
    <row r="68" spans="1:14" s="1206" customFormat="1" ht="18" customHeight="1" x14ac:dyDescent="0.3">
      <c r="A68" s="583">
        <v>59</v>
      </c>
      <c r="B68" s="1200"/>
      <c r="C68" s="1189"/>
      <c r="D68" s="1325" t="s">
        <v>969</v>
      </c>
      <c r="E68" s="1202"/>
      <c r="F68" s="1202"/>
      <c r="G68" s="1752"/>
      <c r="H68" s="1203"/>
      <c r="I68" s="1321">
        <f t="shared" si="15"/>
        <v>0</v>
      </c>
      <c r="J68" s="184"/>
      <c r="K68" s="184"/>
      <c r="L68" s="184"/>
      <c r="M68" s="184"/>
      <c r="N68" s="185"/>
    </row>
    <row r="69" spans="1:14" s="1206" customFormat="1" ht="18" customHeight="1" x14ac:dyDescent="0.3">
      <c r="A69" s="583">
        <v>60</v>
      </c>
      <c r="B69" s="1200"/>
      <c r="C69" s="1189"/>
      <c r="D69" s="1324" t="s">
        <v>1250</v>
      </c>
      <c r="E69" s="1202"/>
      <c r="F69" s="1202"/>
      <c r="G69" s="1752"/>
      <c r="H69" s="1203"/>
      <c r="I69" s="568">
        <f t="shared" si="15"/>
        <v>0</v>
      </c>
      <c r="J69" s="1322"/>
      <c r="K69" s="1322"/>
      <c r="L69" s="1322"/>
      <c r="M69" s="1322"/>
      <c r="N69" s="1323">
        <f>SUM(N67:N68)</f>
        <v>0</v>
      </c>
    </row>
    <row r="70" spans="1:14" s="9" customFormat="1" ht="18" customHeight="1" x14ac:dyDescent="0.3">
      <c r="A70" s="583">
        <v>61</v>
      </c>
      <c r="B70" s="172"/>
      <c r="C70" s="165"/>
      <c r="D70" s="176" t="s">
        <v>288</v>
      </c>
      <c r="E70" s="173">
        <v>2998</v>
      </c>
      <c r="F70" s="173">
        <v>2000</v>
      </c>
      <c r="G70" s="1749">
        <v>2846</v>
      </c>
      <c r="H70" s="599"/>
      <c r="I70" s="569"/>
      <c r="J70" s="174"/>
      <c r="K70" s="174"/>
      <c r="L70" s="174"/>
      <c r="M70" s="174"/>
      <c r="N70" s="175"/>
    </row>
    <row r="71" spans="1:14" s="1206" customFormat="1" ht="18" customHeight="1" x14ac:dyDescent="0.3">
      <c r="A71" s="583">
        <v>62</v>
      </c>
      <c r="B71" s="1200"/>
      <c r="C71" s="1189"/>
      <c r="D71" s="1201" t="s">
        <v>308</v>
      </c>
      <c r="E71" s="1202"/>
      <c r="F71" s="1202"/>
      <c r="G71" s="1752"/>
      <c r="H71" s="1203"/>
      <c r="I71" s="1186">
        <f>SUM(J71:N71)</f>
        <v>1500</v>
      </c>
      <c r="J71" s="1204"/>
      <c r="K71" s="1204"/>
      <c r="L71" s="1204"/>
      <c r="M71" s="1204"/>
      <c r="N71" s="1205">
        <v>1500</v>
      </c>
    </row>
    <row r="72" spans="1:14" s="1206" customFormat="1" ht="18" customHeight="1" x14ac:dyDescent="0.3">
      <c r="A72" s="583">
        <v>63</v>
      </c>
      <c r="B72" s="1200"/>
      <c r="C72" s="1189"/>
      <c r="D72" s="1324" t="s">
        <v>1158</v>
      </c>
      <c r="E72" s="1202"/>
      <c r="F72" s="1202"/>
      <c r="G72" s="1752"/>
      <c r="H72" s="1203"/>
      <c r="I72" s="568">
        <f t="shared" ref="I72" si="16">SUM(J72:N72)</f>
        <v>1500</v>
      </c>
      <c r="J72" s="1204"/>
      <c r="K72" s="1204"/>
      <c r="L72" s="1204"/>
      <c r="M72" s="1204"/>
      <c r="N72" s="1323">
        <v>1500</v>
      </c>
    </row>
    <row r="73" spans="1:14" s="1206" customFormat="1" ht="18" customHeight="1" x14ac:dyDescent="0.3">
      <c r="A73" s="583">
        <v>64</v>
      </c>
      <c r="B73" s="1200"/>
      <c r="C73" s="1189"/>
      <c r="D73" s="1325" t="s">
        <v>969</v>
      </c>
      <c r="E73" s="1202"/>
      <c r="F73" s="1202"/>
      <c r="G73" s="1752"/>
      <c r="H73" s="1203"/>
      <c r="I73" s="1321">
        <f t="shared" ref="I73:I74" si="17">SUM(J73:N73)</f>
        <v>0</v>
      </c>
      <c r="J73" s="184"/>
      <c r="K73" s="184"/>
      <c r="L73" s="184"/>
      <c r="M73" s="184"/>
      <c r="N73" s="185"/>
    </row>
    <row r="74" spans="1:14" s="1206" customFormat="1" ht="18" customHeight="1" x14ac:dyDescent="0.3">
      <c r="A74" s="583">
        <v>65</v>
      </c>
      <c r="B74" s="1200"/>
      <c r="C74" s="1189"/>
      <c r="D74" s="1324" t="s">
        <v>1250</v>
      </c>
      <c r="E74" s="1202"/>
      <c r="F74" s="1202"/>
      <c r="G74" s="1752"/>
      <c r="H74" s="1203"/>
      <c r="I74" s="568">
        <f t="shared" si="17"/>
        <v>1500</v>
      </c>
      <c r="J74" s="1322"/>
      <c r="K74" s="1322"/>
      <c r="L74" s="1322"/>
      <c r="M74" s="1322"/>
      <c r="N74" s="1323">
        <f>SUM(N72:N73)</f>
        <v>1500</v>
      </c>
    </row>
    <row r="75" spans="1:14" s="9" customFormat="1" ht="18" customHeight="1" x14ac:dyDescent="0.3">
      <c r="A75" s="583">
        <v>66</v>
      </c>
      <c r="B75" s="172"/>
      <c r="C75" s="165"/>
      <c r="D75" s="176" t="s">
        <v>939</v>
      </c>
      <c r="E75" s="173">
        <v>500</v>
      </c>
      <c r="F75" s="173">
        <v>500</v>
      </c>
      <c r="G75" s="1749">
        <v>500</v>
      </c>
      <c r="H75" s="599"/>
      <c r="I75" s="568"/>
      <c r="J75" s="184"/>
      <c r="K75" s="184"/>
      <c r="L75" s="184"/>
      <c r="M75" s="184"/>
      <c r="N75" s="185"/>
    </row>
    <row r="76" spans="1:14" s="1206" customFormat="1" ht="18" customHeight="1" x14ac:dyDescent="0.3">
      <c r="A76" s="583">
        <v>67</v>
      </c>
      <c r="B76" s="1200"/>
      <c r="C76" s="1189"/>
      <c r="D76" s="1201" t="s">
        <v>308</v>
      </c>
      <c r="E76" s="1202"/>
      <c r="F76" s="1202"/>
      <c r="G76" s="1752"/>
      <c r="H76" s="1203"/>
      <c r="I76" s="1186">
        <f>SUM(J76:N76)</f>
        <v>425</v>
      </c>
      <c r="J76" s="1204"/>
      <c r="K76" s="1204"/>
      <c r="L76" s="1204"/>
      <c r="M76" s="1204"/>
      <c r="N76" s="1205">
        <v>425</v>
      </c>
    </row>
    <row r="77" spans="1:14" s="1206" customFormat="1" ht="18" customHeight="1" x14ac:dyDescent="0.3">
      <c r="A77" s="583">
        <v>68</v>
      </c>
      <c r="B77" s="1200"/>
      <c r="C77" s="1189"/>
      <c r="D77" s="1324" t="s">
        <v>1158</v>
      </c>
      <c r="E77" s="1202"/>
      <c r="F77" s="1202"/>
      <c r="G77" s="1752"/>
      <c r="H77" s="1203"/>
      <c r="I77" s="568">
        <f t="shared" ref="I77" si="18">SUM(J77:N77)</f>
        <v>600</v>
      </c>
      <c r="J77" s="1204"/>
      <c r="K77" s="1204"/>
      <c r="L77" s="1204"/>
      <c r="M77" s="1204"/>
      <c r="N77" s="1323">
        <v>600</v>
      </c>
    </row>
    <row r="78" spans="1:14" s="1206" customFormat="1" ht="18" customHeight="1" x14ac:dyDescent="0.3">
      <c r="A78" s="583">
        <v>69</v>
      </c>
      <c r="B78" s="1200"/>
      <c r="C78" s="1189"/>
      <c r="D78" s="1325" t="s">
        <v>969</v>
      </c>
      <c r="E78" s="1202"/>
      <c r="F78" s="1202"/>
      <c r="G78" s="1752"/>
      <c r="H78" s="1203"/>
      <c r="I78" s="1321">
        <f t="shared" ref="I78:I83" si="19">SUM(J78:N78)</f>
        <v>0</v>
      </c>
      <c r="J78" s="1322"/>
      <c r="K78" s="1322"/>
      <c r="L78" s="1322"/>
      <c r="M78" s="1322"/>
      <c r="N78" s="185"/>
    </row>
    <row r="79" spans="1:14" s="1206" customFormat="1" ht="18" customHeight="1" x14ac:dyDescent="0.3">
      <c r="A79" s="583">
        <v>70</v>
      </c>
      <c r="B79" s="1200"/>
      <c r="C79" s="1189"/>
      <c r="D79" s="1324" t="s">
        <v>1250</v>
      </c>
      <c r="E79" s="1202"/>
      <c r="F79" s="1202"/>
      <c r="G79" s="1752"/>
      <c r="H79" s="1203"/>
      <c r="I79" s="568">
        <f t="shared" si="19"/>
        <v>600</v>
      </c>
      <c r="J79" s="1322"/>
      <c r="K79" s="1322"/>
      <c r="L79" s="1322"/>
      <c r="M79" s="1322"/>
      <c r="N79" s="1323">
        <f>SUM(N77:N78)</f>
        <v>600</v>
      </c>
    </row>
    <row r="80" spans="1:14" s="9" customFormat="1" ht="18" customHeight="1" x14ac:dyDescent="0.3">
      <c r="A80" s="583">
        <v>71</v>
      </c>
      <c r="B80" s="172"/>
      <c r="C80" s="165"/>
      <c r="D80" s="176" t="s">
        <v>999</v>
      </c>
      <c r="E80" s="173">
        <v>2000</v>
      </c>
      <c r="F80" s="173">
        <v>2000</v>
      </c>
      <c r="G80" s="1749">
        <v>2000</v>
      </c>
      <c r="H80" s="599"/>
      <c r="I80" s="1186"/>
      <c r="J80" s="184"/>
      <c r="K80" s="184"/>
      <c r="L80" s="184"/>
      <c r="M80" s="184"/>
      <c r="N80" s="185"/>
    </row>
    <row r="81" spans="1:14" s="9" customFormat="1" ht="18" customHeight="1" x14ac:dyDescent="0.3">
      <c r="A81" s="583">
        <v>72</v>
      </c>
      <c r="B81" s="172"/>
      <c r="C81" s="165"/>
      <c r="D81" s="1324" t="s">
        <v>1158</v>
      </c>
      <c r="E81" s="173"/>
      <c r="F81" s="173"/>
      <c r="G81" s="1749"/>
      <c r="H81" s="599"/>
      <c r="I81" s="568">
        <f t="shared" si="19"/>
        <v>4375</v>
      </c>
      <c r="J81" s="184"/>
      <c r="K81" s="184"/>
      <c r="L81" s="184"/>
      <c r="M81" s="184"/>
      <c r="N81" s="1323">
        <v>4375</v>
      </c>
    </row>
    <row r="82" spans="1:14" s="9" customFormat="1" ht="18" customHeight="1" x14ac:dyDescent="0.3">
      <c r="A82" s="583">
        <v>73</v>
      </c>
      <c r="B82" s="172"/>
      <c r="C82" s="165"/>
      <c r="D82" s="1325" t="s">
        <v>969</v>
      </c>
      <c r="E82" s="173"/>
      <c r="F82" s="173"/>
      <c r="G82" s="1749"/>
      <c r="H82" s="599"/>
      <c r="I82" s="1321">
        <f t="shared" si="19"/>
        <v>0</v>
      </c>
      <c r="J82" s="184"/>
      <c r="K82" s="184"/>
      <c r="L82" s="184"/>
      <c r="M82" s="184"/>
      <c r="N82" s="185"/>
    </row>
    <row r="83" spans="1:14" s="9" customFormat="1" ht="18" customHeight="1" x14ac:dyDescent="0.3">
      <c r="A83" s="583">
        <v>74</v>
      </c>
      <c r="B83" s="172"/>
      <c r="C83" s="165"/>
      <c r="D83" s="1324" t="s">
        <v>1250</v>
      </c>
      <c r="E83" s="173"/>
      <c r="F83" s="173"/>
      <c r="G83" s="1749"/>
      <c r="H83" s="599"/>
      <c r="I83" s="568">
        <f t="shared" si="19"/>
        <v>4375</v>
      </c>
      <c r="J83" s="184"/>
      <c r="K83" s="184"/>
      <c r="L83" s="184"/>
      <c r="M83" s="184"/>
      <c r="N83" s="1323">
        <f>SUM(N81:N82)</f>
        <v>4375</v>
      </c>
    </row>
    <row r="84" spans="1:14" s="9" customFormat="1" ht="18" customHeight="1" x14ac:dyDescent="0.3">
      <c r="A84" s="583">
        <v>75</v>
      </c>
      <c r="B84" s="172"/>
      <c r="C84" s="165"/>
      <c r="D84" s="176" t="s">
        <v>1014</v>
      </c>
      <c r="E84" s="173"/>
      <c r="F84" s="173">
        <v>2000</v>
      </c>
      <c r="G84" s="1749"/>
      <c r="H84" s="599"/>
      <c r="I84" s="1186"/>
      <c r="J84" s="184"/>
      <c r="K84" s="184"/>
      <c r="L84" s="184"/>
      <c r="M84" s="184"/>
      <c r="N84" s="185"/>
    </row>
    <row r="85" spans="1:14" s="9" customFormat="1" ht="18" customHeight="1" x14ac:dyDescent="0.3">
      <c r="A85" s="583">
        <v>76</v>
      </c>
      <c r="B85" s="172"/>
      <c r="C85" s="165"/>
      <c r="D85" s="176" t="s">
        <v>550</v>
      </c>
      <c r="E85" s="173"/>
      <c r="F85" s="173">
        <v>5000</v>
      </c>
      <c r="G85" s="1749"/>
      <c r="H85" s="599"/>
      <c r="I85" s="1186"/>
      <c r="J85" s="184"/>
      <c r="K85" s="184"/>
      <c r="L85" s="184"/>
      <c r="M85" s="184"/>
      <c r="N85" s="185"/>
    </row>
    <row r="86" spans="1:14" s="9" customFormat="1" ht="18" customHeight="1" x14ac:dyDescent="0.3">
      <c r="A86" s="583">
        <v>77</v>
      </c>
      <c r="B86" s="172"/>
      <c r="C86" s="165"/>
      <c r="D86" s="176" t="s">
        <v>998</v>
      </c>
      <c r="E86" s="173"/>
      <c r="F86" s="173"/>
      <c r="G86" s="1749">
        <v>2000</v>
      </c>
      <c r="H86" s="599"/>
      <c r="I86" s="1186"/>
      <c r="J86" s="184"/>
      <c r="K86" s="184"/>
      <c r="L86" s="184"/>
      <c r="M86" s="184"/>
      <c r="N86" s="185"/>
    </row>
    <row r="87" spans="1:14" s="9" customFormat="1" ht="22.5" customHeight="1" x14ac:dyDescent="0.3">
      <c r="A87" s="583">
        <v>78</v>
      </c>
      <c r="B87" s="172"/>
      <c r="C87" s="161">
        <v>14</v>
      </c>
      <c r="D87" s="577" t="s">
        <v>807</v>
      </c>
      <c r="E87" s="173"/>
      <c r="F87" s="173"/>
      <c r="G87" s="1749"/>
      <c r="H87" s="598" t="s">
        <v>24</v>
      </c>
      <c r="I87" s="568"/>
      <c r="J87" s="184"/>
      <c r="K87" s="184"/>
      <c r="L87" s="184"/>
      <c r="M87" s="184"/>
      <c r="N87" s="185"/>
    </row>
    <row r="88" spans="1:14" s="1206" customFormat="1" ht="18" customHeight="1" x14ac:dyDescent="0.3">
      <c r="A88" s="583">
        <v>79</v>
      </c>
      <c r="B88" s="1200"/>
      <c r="C88" s="1189"/>
      <c r="D88" s="1190" t="s">
        <v>308</v>
      </c>
      <c r="E88" s="1202"/>
      <c r="F88" s="1202"/>
      <c r="G88" s="1752"/>
      <c r="H88" s="1192"/>
      <c r="I88" s="1183">
        <f>SUM(J88:N88)</f>
        <v>2550</v>
      </c>
      <c r="J88" s="1204"/>
      <c r="K88" s="1204"/>
      <c r="L88" s="1204"/>
      <c r="M88" s="1204"/>
      <c r="N88" s="1185">
        <v>2550</v>
      </c>
    </row>
    <row r="89" spans="1:14" s="1206" customFormat="1" ht="18" customHeight="1" x14ac:dyDescent="0.3">
      <c r="A89" s="583">
        <v>80</v>
      </c>
      <c r="B89" s="1200"/>
      <c r="C89" s="1189"/>
      <c r="D89" s="576" t="s">
        <v>1158</v>
      </c>
      <c r="E89" s="1202"/>
      <c r="F89" s="1202"/>
      <c r="G89" s="1752"/>
      <c r="H89" s="1192"/>
      <c r="I89" s="566">
        <f t="shared" ref="I89:I91" si="20">SUM(J89:N89)</f>
        <v>1000</v>
      </c>
      <c r="J89" s="1204"/>
      <c r="K89" s="1204"/>
      <c r="L89" s="1204"/>
      <c r="M89" s="1204"/>
      <c r="N89" s="439">
        <v>1000</v>
      </c>
    </row>
    <row r="90" spans="1:14" s="1206" customFormat="1" ht="18" customHeight="1" x14ac:dyDescent="0.3">
      <c r="A90" s="583">
        <v>81</v>
      </c>
      <c r="B90" s="1200"/>
      <c r="C90" s="1189"/>
      <c r="D90" s="1318" t="s">
        <v>969</v>
      </c>
      <c r="E90" s="1202"/>
      <c r="F90" s="1202"/>
      <c r="G90" s="1752"/>
      <c r="H90" s="1192"/>
      <c r="I90" s="1321">
        <f t="shared" si="20"/>
        <v>0</v>
      </c>
      <c r="J90" s="184"/>
      <c r="K90" s="184"/>
      <c r="L90" s="184"/>
      <c r="M90" s="184"/>
      <c r="N90" s="185"/>
    </row>
    <row r="91" spans="1:14" s="1206" customFormat="1" ht="18" customHeight="1" x14ac:dyDescent="0.3">
      <c r="A91" s="583">
        <v>82</v>
      </c>
      <c r="B91" s="1200"/>
      <c r="C91" s="1189"/>
      <c r="D91" s="576" t="s">
        <v>1250</v>
      </c>
      <c r="E91" s="1202"/>
      <c r="F91" s="1202"/>
      <c r="G91" s="1752"/>
      <c r="H91" s="1192"/>
      <c r="I91" s="566">
        <f t="shared" si="20"/>
        <v>1000</v>
      </c>
      <c r="J91" s="1322"/>
      <c r="K91" s="1322"/>
      <c r="L91" s="1322"/>
      <c r="M91" s="1322"/>
      <c r="N91" s="439">
        <f>SUM(N89:N90)</f>
        <v>1000</v>
      </c>
    </row>
    <row r="92" spans="1:14" s="9" customFormat="1" ht="22.5" customHeight="1" x14ac:dyDescent="0.3">
      <c r="A92" s="583">
        <v>83</v>
      </c>
      <c r="B92" s="172"/>
      <c r="C92" s="161">
        <v>15</v>
      </c>
      <c r="D92" s="577" t="s">
        <v>808</v>
      </c>
      <c r="E92" s="173"/>
      <c r="F92" s="173"/>
      <c r="G92" s="1749"/>
      <c r="H92" s="598" t="s">
        <v>24</v>
      </c>
      <c r="I92" s="568"/>
      <c r="J92" s="184"/>
      <c r="K92" s="184"/>
      <c r="L92" s="184"/>
      <c r="M92" s="184"/>
      <c r="N92" s="185"/>
    </row>
    <row r="93" spans="1:14" s="1206" customFormat="1" ht="18" customHeight="1" x14ac:dyDescent="0.3">
      <c r="A93" s="583">
        <v>84</v>
      </c>
      <c r="B93" s="1200"/>
      <c r="C93" s="1189"/>
      <c r="D93" s="1190" t="s">
        <v>308</v>
      </c>
      <c r="E93" s="1202"/>
      <c r="F93" s="1202"/>
      <c r="G93" s="1752"/>
      <c r="H93" s="1192"/>
      <c r="I93" s="1183">
        <f>SUM(J93:N93)</f>
        <v>2550</v>
      </c>
      <c r="J93" s="1204"/>
      <c r="K93" s="1204"/>
      <c r="L93" s="1204"/>
      <c r="M93" s="1204"/>
      <c r="N93" s="1185">
        <v>2550</v>
      </c>
    </row>
    <row r="94" spans="1:14" s="1206" customFormat="1" ht="18" customHeight="1" x14ac:dyDescent="0.3">
      <c r="A94" s="583">
        <v>85</v>
      </c>
      <c r="B94" s="1200"/>
      <c r="C94" s="1189"/>
      <c r="D94" s="576" t="s">
        <v>1158</v>
      </c>
      <c r="E94" s="1202"/>
      <c r="F94" s="1202"/>
      <c r="G94" s="1752"/>
      <c r="H94" s="1192"/>
      <c r="I94" s="566">
        <f t="shared" ref="I94" si="21">SUM(J94:N94)</f>
        <v>1000</v>
      </c>
      <c r="J94" s="1204"/>
      <c r="K94" s="1204"/>
      <c r="L94" s="1204"/>
      <c r="M94" s="1204"/>
      <c r="N94" s="439">
        <v>1000</v>
      </c>
    </row>
    <row r="95" spans="1:14" s="1206" customFormat="1" ht="18" customHeight="1" x14ac:dyDescent="0.3">
      <c r="A95" s="583">
        <v>86</v>
      </c>
      <c r="B95" s="1200"/>
      <c r="C95" s="1189"/>
      <c r="D95" s="1318" t="s">
        <v>969</v>
      </c>
      <c r="E95" s="1202"/>
      <c r="F95" s="1202"/>
      <c r="G95" s="1752"/>
      <c r="H95" s="1192"/>
      <c r="I95" s="1321">
        <f t="shared" ref="I95:I96" si="22">SUM(J95:N95)</f>
        <v>0</v>
      </c>
      <c r="J95" s="184"/>
      <c r="K95" s="184"/>
      <c r="L95" s="184"/>
      <c r="M95" s="184"/>
      <c r="N95" s="185"/>
    </row>
    <row r="96" spans="1:14" s="1206" customFormat="1" ht="18" customHeight="1" x14ac:dyDescent="0.3">
      <c r="A96" s="583">
        <v>87</v>
      </c>
      <c r="B96" s="1200"/>
      <c r="C96" s="1189"/>
      <c r="D96" s="576" t="s">
        <v>1250</v>
      </c>
      <c r="E96" s="1202"/>
      <c r="F96" s="1202"/>
      <c r="G96" s="1752"/>
      <c r="H96" s="1192"/>
      <c r="I96" s="566">
        <f t="shared" si="22"/>
        <v>1000</v>
      </c>
      <c r="J96" s="1322"/>
      <c r="K96" s="1322"/>
      <c r="L96" s="1322"/>
      <c r="M96" s="1322"/>
      <c r="N96" s="439">
        <f>SUM(N94:N95)</f>
        <v>1000</v>
      </c>
    </row>
    <row r="97" spans="1:16" s="9" customFormat="1" ht="22.5" customHeight="1" x14ac:dyDescent="0.3">
      <c r="A97" s="583">
        <v>88</v>
      </c>
      <c r="B97" s="172"/>
      <c r="C97" s="161">
        <v>16</v>
      </c>
      <c r="D97" s="577" t="s">
        <v>809</v>
      </c>
      <c r="E97" s="173"/>
      <c r="F97" s="173"/>
      <c r="G97" s="1749"/>
      <c r="H97" s="598" t="s">
        <v>24</v>
      </c>
      <c r="I97" s="568"/>
      <c r="J97" s="184"/>
      <c r="K97" s="184"/>
      <c r="L97" s="184"/>
      <c r="M97" s="184"/>
      <c r="N97" s="185"/>
    </row>
    <row r="98" spans="1:16" s="1206" customFormat="1" ht="18" customHeight="1" x14ac:dyDescent="0.3">
      <c r="A98" s="583">
        <v>89</v>
      </c>
      <c r="B98" s="1200"/>
      <c r="C98" s="1189"/>
      <c r="D98" s="1190" t="s">
        <v>308</v>
      </c>
      <c r="E98" s="1202"/>
      <c r="F98" s="1202"/>
      <c r="G98" s="1752"/>
      <c r="H98" s="1203"/>
      <c r="I98" s="1183">
        <f>SUM(J98:N98)</f>
        <v>850</v>
      </c>
      <c r="J98" s="1204"/>
      <c r="K98" s="1204"/>
      <c r="L98" s="1204"/>
      <c r="M98" s="1204"/>
      <c r="N98" s="1205">
        <v>850</v>
      </c>
    </row>
    <row r="99" spans="1:16" s="1206" customFormat="1" ht="18" customHeight="1" x14ac:dyDescent="0.3">
      <c r="A99" s="583">
        <v>90</v>
      </c>
      <c r="B99" s="1200"/>
      <c r="C99" s="1189"/>
      <c r="D99" s="576" t="s">
        <v>1158</v>
      </c>
      <c r="E99" s="1202"/>
      <c r="F99" s="1202"/>
      <c r="G99" s="1752"/>
      <c r="H99" s="1203"/>
      <c r="I99" s="566">
        <f t="shared" ref="I99" si="23">SUM(J99:N99)</f>
        <v>450</v>
      </c>
      <c r="J99" s="1204"/>
      <c r="K99" s="1204"/>
      <c r="L99" s="1204"/>
      <c r="M99" s="1204"/>
      <c r="N99" s="1323">
        <v>450</v>
      </c>
    </row>
    <row r="100" spans="1:16" s="1206" customFormat="1" ht="18" customHeight="1" x14ac:dyDescent="0.3">
      <c r="A100" s="583">
        <v>91</v>
      </c>
      <c r="B100" s="1200"/>
      <c r="C100" s="1189"/>
      <c r="D100" s="1318" t="s">
        <v>969</v>
      </c>
      <c r="E100" s="1202"/>
      <c r="F100" s="1202"/>
      <c r="G100" s="1752"/>
      <c r="H100" s="1203"/>
      <c r="I100" s="1321">
        <f t="shared" ref="I100:I101" si="24">SUM(J100:N100)</f>
        <v>0</v>
      </c>
      <c r="J100" s="184"/>
      <c r="K100" s="184"/>
      <c r="L100" s="184"/>
      <c r="M100" s="184"/>
      <c r="N100" s="185"/>
    </row>
    <row r="101" spans="1:16" s="1206" customFormat="1" ht="18" customHeight="1" x14ac:dyDescent="0.3">
      <c r="A101" s="583">
        <v>92</v>
      </c>
      <c r="B101" s="1200"/>
      <c r="C101" s="1189"/>
      <c r="D101" s="576" t="s">
        <v>1250</v>
      </c>
      <c r="E101" s="1202"/>
      <c r="F101" s="1202"/>
      <c r="G101" s="1752"/>
      <c r="H101" s="1203"/>
      <c r="I101" s="566">
        <f t="shared" si="24"/>
        <v>450</v>
      </c>
      <c r="J101" s="1322"/>
      <c r="K101" s="1322"/>
      <c r="L101" s="1322"/>
      <c r="M101" s="1322"/>
      <c r="N101" s="1323">
        <f>SUM(N99:N100)</f>
        <v>450</v>
      </c>
    </row>
    <row r="102" spans="1:16" s="9" customFormat="1" ht="22.5" customHeight="1" x14ac:dyDescent="0.3">
      <c r="A102" s="583">
        <v>93</v>
      </c>
      <c r="B102" s="172"/>
      <c r="C102" s="161">
        <v>17</v>
      </c>
      <c r="D102" s="577" t="s">
        <v>594</v>
      </c>
      <c r="E102" s="173">
        <v>500</v>
      </c>
      <c r="F102" s="173">
        <v>650</v>
      </c>
      <c r="G102" s="1749">
        <v>650</v>
      </c>
      <c r="H102" s="598" t="s">
        <v>24</v>
      </c>
      <c r="I102" s="568"/>
      <c r="J102" s="184"/>
      <c r="K102" s="184"/>
      <c r="L102" s="184"/>
      <c r="M102" s="184"/>
      <c r="N102" s="185"/>
    </row>
    <row r="103" spans="1:16" s="1206" customFormat="1" ht="18" customHeight="1" x14ac:dyDescent="0.3">
      <c r="A103" s="583">
        <v>94</v>
      </c>
      <c r="B103" s="1200"/>
      <c r="C103" s="1189"/>
      <c r="D103" s="1190" t="s">
        <v>308</v>
      </c>
      <c r="E103" s="1208"/>
      <c r="F103" s="1208"/>
      <c r="G103" s="1207"/>
      <c r="H103" s="1203"/>
      <c r="I103" s="1183">
        <f>SUM(J103:N103)</f>
        <v>553</v>
      </c>
      <c r="J103" s="1204"/>
      <c r="K103" s="1204"/>
      <c r="L103" s="1204"/>
      <c r="M103" s="1204"/>
      <c r="N103" s="1205">
        <v>553</v>
      </c>
    </row>
    <row r="104" spans="1:16" s="1206" customFormat="1" ht="18" customHeight="1" x14ac:dyDescent="0.3">
      <c r="A104" s="583">
        <v>95</v>
      </c>
      <c r="B104" s="1200"/>
      <c r="C104" s="1189"/>
      <c r="D104" s="576" t="s">
        <v>1158</v>
      </c>
      <c r="E104" s="1207"/>
      <c r="F104" s="1208"/>
      <c r="G104" s="1753"/>
      <c r="H104" s="1326"/>
      <c r="I104" s="566">
        <f t="shared" ref="I104:I106" si="25">SUM(J104:N104)</f>
        <v>500</v>
      </c>
      <c r="J104" s="1204"/>
      <c r="K104" s="1204"/>
      <c r="L104" s="1204"/>
      <c r="M104" s="1204"/>
      <c r="N104" s="1323">
        <f>0+500</f>
        <v>500</v>
      </c>
    </row>
    <row r="105" spans="1:16" s="1206" customFormat="1" ht="18" customHeight="1" x14ac:dyDescent="0.3">
      <c r="A105" s="583">
        <v>96</v>
      </c>
      <c r="B105" s="1200"/>
      <c r="C105" s="1189"/>
      <c r="D105" s="1318" t="s">
        <v>969</v>
      </c>
      <c r="E105" s="1208"/>
      <c r="F105" s="1208"/>
      <c r="G105" s="1753"/>
      <c r="H105" s="1326"/>
      <c r="I105" s="1321">
        <f t="shared" si="25"/>
        <v>0</v>
      </c>
      <c r="J105" s="184"/>
      <c r="K105" s="184"/>
      <c r="L105" s="184"/>
      <c r="M105" s="184"/>
      <c r="N105" s="185"/>
    </row>
    <row r="106" spans="1:16" s="1206" customFormat="1" ht="18" customHeight="1" x14ac:dyDescent="0.3">
      <c r="A106" s="583">
        <v>97</v>
      </c>
      <c r="B106" s="1200"/>
      <c r="C106" s="1189"/>
      <c r="D106" s="576" t="s">
        <v>1250</v>
      </c>
      <c r="E106" s="1207"/>
      <c r="F106" s="1208"/>
      <c r="G106" s="1207"/>
      <c r="H106" s="1203"/>
      <c r="I106" s="566">
        <f t="shared" si="25"/>
        <v>500</v>
      </c>
      <c r="J106" s="1322"/>
      <c r="K106" s="1322"/>
      <c r="L106" s="1322"/>
      <c r="M106" s="1322"/>
      <c r="N106" s="1323">
        <f>SUM(N104:N105)</f>
        <v>500</v>
      </c>
    </row>
    <row r="107" spans="1:16" s="3" customFormat="1" ht="22.5" customHeight="1" x14ac:dyDescent="0.3">
      <c r="A107" s="583">
        <v>98</v>
      </c>
      <c r="B107" s="160"/>
      <c r="C107" s="161">
        <v>18</v>
      </c>
      <c r="D107" s="577" t="s">
        <v>57</v>
      </c>
      <c r="E107" s="163">
        <v>5000</v>
      </c>
      <c r="F107" s="163">
        <v>5000</v>
      </c>
      <c r="G107" s="1746">
        <v>5000</v>
      </c>
      <c r="H107" s="598" t="s">
        <v>24</v>
      </c>
      <c r="I107" s="567"/>
      <c r="J107" s="170"/>
      <c r="K107" s="170"/>
      <c r="L107" s="170"/>
      <c r="M107" s="170"/>
      <c r="N107" s="171"/>
      <c r="O107" s="8"/>
      <c r="P107" s="8"/>
    </row>
    <row r="108" spans="1:16" s="1193" customFormat="1" ht="18" customHeight="1" x14ac:dyDescent="0.3">
      <c r="A108" s="583">
        <v>99</v>
      </c>
      <c r="B108" s="1188"/>
      <c r="C108" s="1189"/>
      <c r="D108" s="1190" t="s">
        <v>308</v>
      </c>
      <c r="E108" s="1191"/>
      <c r="F108" s="1191"/>
      <c r="G108" s="1748"/>
      <c r="H108" s="1192"/>
      <c r="I108" s="1183">
        <f>SUM(J108:N108)</f>
        <v>840</v>
      </c>
      <c r="J108" s="1184"/>
      <c r="K108" s="1184"/>
      <c r="L108" s="1184">
        <v>840</v>
      </c>
      <c r="M108" s="1184"/>
      <c r="N108" s="1185"/>
    </row>
    <row r="109" spans="1:16" s="1193" customFormat="1" ht="18" customHeight="1" x14ac:dyDescent="0.3">
      <c r="A109" s="583">
        <v>100</v>
      </c>
      <c r="B109" s="1188"/>
      <c r="C109" s="1189"/>
      <c r="D109" s="576" t="s">
        <v>1158</v>
      </c>
      <c r="E109" s="1191"/>
      <c r="F109" s="1191"/>
      <c r="G109" s="1748"/>
      <c r="H109" s="1192"/>
      <c r="I109" s="566">
        <f t="shared" ref="I109:I111" si="26">SUM(J109:N109)</f>
        <v>1260</v>
      </c>
      <c r="J109" s="1184"/>
      <c r="K109" s="1184"/>
      <c r="L109" s="443">
        <v>1260</v>
      </c>
      <c r="M109" s="1184"/>
      <c r="N109" s="1185"/>
    </row>
    <row r="110" spans="1:16" s="1193" customFormat="1" ht="18" customHeight="1" x14ac:dyDescent="0.3">
      <c r="A110" s="583">
        <v>101</v>
      </c>
      <c r="B110" s="1188"/>
      <c r="C110" s="1189"/>
      <c r="D110" s="1318" t="s">
        <v>969</v>
      </c>
      <c r="E110" s="1191"/>
      <c r="F110" s="1191"/>
      <c r="G110" s="1748"/>
      <c r="H110" s="1192"/>
      <c r="I110" s="1321">
        <f t="shared" si="26"/>
        <v>0</v>
      </c>
      <c r="J110" s="443"/>
      <c r="K110" s="443"/>
      <c r="L110" s="184"/>
      <c r="M110" s="1184"/>
      <c r="N110" s="1185"/>
    </row>
    <row r="111" spans="1:16" s="1193" customFormat="1" ht="18" customHeight="1" x14ac:dyDescent="0.3">
      <c r="A111" s="583">
        <v>102</v>
      </c>
      <c r="B111" s="1188"/>
      <c r="C111" s="1189"/>
      <c r="D111" s="576" t="s">
        <v>1250</v>
      </c>
      <c r="E111" s="1191"/>
      <c r="F111" s="1191"/>
      <c r="G111" s="1748"/>
      <c r="H111" s="1192"/>
      <c r="I111" s="566">
        <f t="shared" si="26"/>
        <v>1260</v>
      </c>
      <c r="J111" s="443"/>
      <c r="K111" s="443"/>
      <c r="L111" s="443">
        <f>SUM(L109:L110)</f>
        <v>1260</v>
      </c>
      <c r="M111" s="1184"/>
      <c r="N111" s="1185"/>
    </row>
    <row r="112" spans="1:16" s="3" customFormat="1" ht="22.5" customHeight="1" x14ac:dyDescent="0.3">
      <c r="A112" s="583">
        <v>103</v>
      </c>
      <c r="B112" s="160"/>
      <c r="C112" s="161">
        <v>19</v>
      </c>
      <c r="D112" s="577" t="s">
        <v>551</v>
      </c>
      <c r="E112" s="163">
        <v>1000</v>
      </c>
      <c r="F112" s="163">
        <v>1000</v>
      </c>
      <c r="G112" s="1746">
        <v>1000</v>
      </c>
      <c r="H112" s="598" t="s">
        <v>24</v>
      </c>
      <c r="I112" s="1183"/>
      <c r="J112" s="170"/>
      <c r="K112" s="170"/>
      <c r="L112" s="170"/>
      <c r="M112" s="170"/>
      <c r="N112" s="171"/>
      <c r="O112" s="8"/>
      <c r="P112" s="8"/>
    </row>
    <row r="113" spans="1:16" s="3" customFormat="1" ht="22.5" customHeight="1" x14ac:dyDescent="0.3">
      <c r="A113" s="583">
        <v>104</v>
      </c>
      <c r="B113" s="160"/>
      <c r="C113" s="161">
        <v>20</v>
      </c>
      <c r="D113" s="577" t="s">
        <v>255</v>
      </c>
      <c r="E113" s="163">
        <f>SUM(E118,E123,E128,E133,E138)</f>
        <v>92300</v>
      </c>
      <c r="F113" s="163">
        <f>SUM(F118,F123,F128,F133,F138)</f>
        <v>97600</v>
      </c>
      <c r="G113" s="1746">
        <f>SUM(G118,G123,G128,G133,G138)</f>
        <v>97600</v>
      </c>
      <c r="H113" s="598" t="s">
        <v>24</v>
      </c>
      <c r="I113" s="567"/>
      <c r="J113" s="170"/>
      <c r="K113" s="170"/>
      <c r="L113" s="170"/>
      <c r="M113" s="170"/>
      <c r="N113" s="171"/>
      <c r="O113" s="8"/>
      <c r="P113" s="8"/>
    </row>
    <row r="114" spans="1:16" s="1193" customFormat="1" ht="18" customHeight="1" x14ac:dyDescent="0.3">
      <c r="A114" s="583">
        <v>105</v>
      </c>
      <c r="B114" s="1188"/>
      <c r="C114" s="1189"/>
      <c r="D114" s="1190" t="s">
        <v>308</v>
      </c>
      <c r="E114" s="1191"/>
      <c r="F114" s="1191"/>
      <c r="G114" s="1748"/>
      <c r="H114" s="1192"/>
      <c r="I114" s="1183">
        <f>SUM(J114:N114)</f>
        <v>32435</v>
      </c>
      <c r="J114" s="1187">
        <f t="shared" ref="J114:N115" si="27">SUM(J119,J124,J129,J134,J139)</f>
        <v>0</v>
      </c>
      <c r="K114" s="1187">
        <f t="shared" si="27"/>
        <v>0</v>
      </c>
      <c r="L114" s="1187">
        <f t="shared" si="27"/>
        <v>0</v>
      </c>
      <c r="M114" s="1187">
        <f t="shared" si="27"/>
        <v>0</v>
      </c>
      <c r="N114" s="1185">
        <f t="shared" si="27"/>
        <v>32435</v>
      </c>
    </row>
    <row r="115" spans="1:16" s="1193" customFormat="1" ht="18" customHeight="1" x14ac:dyDescent="0.3">
      <c r="A115" s="583">
        <v>106</v>
      </c>
      <c r="B115" s="1188"/>
      <c r="C115" s="1189"/>
      <c r="D115" s="576" t="s">
        <v>1158</v>
      </c>
      <c r="E115" s="1191"/>
      <c r="F115" s="1191"/>
      <c r="G115" s="1748"/>
      <c r="H115" s="1192"/>
      <c r="I115" s="568">
        <f t="shared" ref="I115" si="28">SUM(J115:N115)</f>
        <v>75274</v>
      </c>
      <c r="J115" s="1327">
        <f t="shared" si="27"/>
        <v>0</v>
      </c>
      <c r="K115" s="1327">
        <f t="shared" si="27"/>
        <v>0</v>
      </c>
      <c r="L115" s="1327">
        <f t="shared" si="27"/>
        <v>0</v>
      </c>
      <c r="M115" s="1327">
        <f t="shared" si="27"/>
        <v>0</v>
      </c>
      <c r="N115" s="439">
        <f t="shared" si="27"/>
        <v>75274</v>
      </c>
    </row>
    <row r="116" spans="1:16" s="1193" customFormat="1" ht="18" customHeight="1" x14ac:dyDescent="0.3">
      <c r="A116" s="583">
        <v>107</v>
      </c>
      <c r="B116" s="1188"/>
      <c r="C116" s="1189"/>
      <c r="D116" s="1318" t="s">
        <v>947</v>
      </c>
      <c r="E116" s="1191"/>
      <c r="F116" s="1191"/>
      <c r="G116" s="1748"/>
      <c r="H116" s="1192"/>
      <c r="I116" s="1321">
        <f t="shared" ref="I116:I117" si="29">SUM(J116:N116)</f>
        <v>0</v>
      </c>
      <c r="J116" s="174">
        <f>J121+J141+J126+J131+J136</f>
        <v>0</v>
      </c>
      <c r="K116" s="174">
        <f t="shared" ref="K116:N116" si="30">K121+K141+K126+K131+K136</f>
        <v>0</v>
      </c>
      <c r="L116" s="174">
        <f t="shared" si="30"/>
        <v>0</v>
      </c>
      <c r="M116" s="174">
        <f t="shared" si="30"/>
        <v>0</v>
      </c>
      <c r="N116" s="175">
        <f t="shared" si="30"/>
        <v>0</v>
      </c>
    </row>
    <row r="117" spans="1:16" s="1193" customFormat="1" ht="18" customHeight="1" x14ac:dyDescent="0.3">
      <c r="A117" s="583">
        <v>108</v>
      </c>
      <c r="B117" s="1188"/>
      <c r="C117" s="1189"/>
      <c r="D117" s="576" t="s">
        <v>1250</v>
      </c>
      <c r="E117" s="1191"/>
      <c r="F117" s="1191"/>
      <c r="G117" s="1748"/>
      <c r="H117" s="1192"/>
      <c r="I117" s="566">
        <f t="shared" si="29"/>
        <v>75274</v>
      </c>
      <c r="J117" s="1327">
        <f>SUM(J115:J116)</f>
        <v>0</v>
      </c>
      <c r="K117" s="1327">
        <f t="shared" ref="K117:N117" si="31">SUM(K115:K116)</f>
        <v>0</v>
      </c>
      <c r="L117" s="1327">
        <f t="shared" si="31"/>
        <v>0</v>
      </c>
      <c r="M117" s="1327">
        <f t="shared" si="31"/>
        <v>0</v>
      </c>
      <c r="N117" s="1758">
        <f t="shared" si="31"/>
        <v>75274</v>
      </c>
    </row>
    <row r="118" spans="1:16" s="9" customFormat="1" ht="18" customHeight="1" x14ac:dyDescent="0.3">
      <c r="A118" s="583">
        <v>109</v>
      </c>
      <c r="B118" s="172"/>
      <c r="C118" s="554"/>
      <c r="D118" s="441" t="s">
        <v>58</v>
      </c>
      <c r="E118" s="173">
        <v>78200</v>
      </c>
      <c r="F118" s="173">
        <v>83500</v>
      </c>
      <c r="G118" s="1749">
        <v>83500</v>
      </c>
      <c r="H118" s="599"/>
      <c r="I118" s="568"/>
      <c r="J118" s="184"/>
      <c r="K118" s="184"/>
      <c r="L118" s="184"/>
      <c r="M118" s="184"/>
      <c r="N118" s="185"/>
      <c r="P118" s="8"/>
    </row>
    <row r="119" spans="1:16" s="1206" customFormat="1" ht="18" customHeight="1" x14ac:dyDescent="0.3">
      <c r="A119" s="583">
        <v>110</v>
      </c>
      <c r="B119" s="1200"/>
      <c r="C119" s="1189"/>
      <c r="D119" s="1209" t="s">
        <v>308</v>
      </c>
      <c r="E119" s="1202"/>
      <c r="F119" s="1202"/>
      <c r="G119" s="1752"/>
      <c r="H119" s="1203"/>
      <c r="I119" s="1186">
        <f>SUM(J119:N119)</f>
        <v>25975</v>
      </c>
      <c r="J119" s="1204"/>
      <c r="K119" s="1204"/>
      <c r="L119" s="1204"/>
      <c r="M119" s="1204"/>
      <c r="N119" s="1205">
        <v>25975</v>
      </c>
      <c r="P119" s="1193"/>
    </row>
    <row r="120" spans="1:16" s="1206" customFormat="1" ht="18" customHeight="1" x14ac:dyDescent="0.3">
      <c r="A120" s="583">
        <v>111</v>
      </c>
      <c r="B120" s="1200"/>
      <c r="C120" s="1189"/>
      <c r="D120" s="1324" t="s">
        <v>1158</v>
      </c>
      <c r="E120" s="1202"/>
      <c r="F120" s="1202"/>
      <c r="G120" s="1752"/>
      <c r="H120" s="1203"/>
      <c r="I120" s="568">
        <f t="shared" ref="I120:I122" si="32">SUM(J120:N120)</f>
        <v>74100</v>
      </c>
      <c r="J120" s="1204"/>
      <c r="K120" s="1204"/>
      <c r="L120" s="1204"/>
      <c r="M120" s="1204"/>
      <c r="N120" s="1323">
        <v>74100</v>
      </c>
      <c r="P120" s="1193"/>
    </row>
    <row r="121" spans="1:16" s="1206" customFormat="1" ht="18" customHeight="1" x14ac:dyDescent="0.3">
      <c r="A121" s="583">
        <v>112</v>
      </c>
      <c r="B121" s="1200"/>
      <c r="C121" s="1189"/>
      <c r="D121" s="1325" t="s">
        <v>969</v>
      </c>
      <c r="E121" s="1202"/>
      <c r="F121" s="1202"/>
      <c r="G121" s="1752"/>
      <c r="H121" s="1203"/>
      <c r="I121" s="1321">
        <f t="shared" si="32"/>
        <v>0</v>
      </c>
      <c r="J121" s="184"/>
      <c r="K121" s="184"/>
      <c r="L121" s="184"/>
      <c r="M121" s="184"/>
      <c r="N121" s="185"/>
      <c r="P121" s="1193"/>
    </row>
    <row r="122" spans="1:16" s="1206" customFormat="1" ht="18" customHeight="1" x14ac:dyDescent="0.3">
      <c r="A122" s="583">
        <v>113</v>
      </c>
      <c r="B122" s="1200"/>
      <c r="C122" s="1189"/>
      <c r="D122" s="1324" t="s">
        <v>1250</v>
      </c>
      <c r="E122" s="1202"/>
      <c r="F122" s="1202"/>
      <c r="G122" s="1752"/>
      <c r="H122" s="1203"/>
      <c r="I122" s="568">
        <f t="shared" si="32"/>
        <v>74100</v>
      </c>
      <c r="J122" s="1322"/>
      <c r="K122" s="1322"/>
      <c r="L122" s="1322"/>
      <c r="M122" s="1322"/>
      <c r="N122" s="1323">
        <f>SUM(N120:N121)</f>
        <v>74100</v>
      </c>
      <c r="P122" s="1193"/>
    </row>
    <row r="123" spans="1:16" s="9" customFormat="1" ht="18" customHeight="1" x14ac:dyDescent="0.3">
      <c r="A123" s="583">
        <v>114</v>
      </c>
      <c r="B123" s="172"/>
      <c r="C123" s="554"/>
      <c r="D123" s="442" t="s">
        <v>59</v>
      </c>
      <c r="E123" s="173">
        <v>5600</v>
      </c>
      <c r="F123" s="173">
        <v>5600</v>
      </c>
      <c r="G123" s="1749">
        <v>5600</v>
      </c>
      <c r="H123" s="599"/>
      <c r="I123" s="569"/>
      <c r="J123" s="174"/>
      <c r="K123" s="174"/>
      <c r="L123" s="174"/>
      <c r="M123" s="174"/>
      <c r="N123" s="175"/>
      <c r="P123" s="8"/>
    </row>
    <row r="124" spans="1:16" s="1206" customFormat="1" ht="18" customHeight="1" x14ac:dyDescent="0.3">
      <c r="A124" s="583">
        <v>115</v>
      </c>
      <c r="B124" s="1200"/>
      <c r="C124" s="1189"/>
      <c r="D124" s="1209" t="s">
        <v>308</v>
      </c>
      <c r="E124" s="1202"/>
      <c r="F124" s="1202"/>
      <c r="G124" s="1752"/>
      <c r="H124" s="1203"/>
      <c r="I124" s="1186">
        <f>SUM(J124:N124)</f>
        <v>6460</v>
      </c>
      <c r="J124" s="1204"/>
      <c r="K124" s="1204"/>
      <c r="L124" s="1204"/>
      <c r="M124" s="1204"/>
      <c r="N124" s="1205">
        <v>6460</v>
      </c>
      <c r="P124" s="1193"/>
    </row>
    <row r="125" spans="1:16" s="1206" customFormat="1" ht="18" customHeight="1" x14ac:dyDescent="0.3">
      <c r="A125" s="583">
        <v>116</v>
      </c>
      <c r="B125" s="1200"/>
      <c r="C125" s="1189"/>
      <c r="D125" s="1324" t="s">
        <v>1158</v>
      </c>
      <c r="E125" s="1202"/>
      <c r="F125" s="1202"/>
      <c r="G125" s="1752"/>
      <c r="H125" s="1203"/>
      <c r="I125" s="568">
        <f t="shared" ref="I125" si="33">SUM(J125:N125)</f>
        <v>466</v>
      </c>
      <c r="J125" s="1204"/>
      <c r="K125" s="1204"/>
      <c r="L125" s="1204"/>
      <c r="M125" s="1204"/>
      <c r="N125" s="1323">
        <v>466</v>
      </c>
      <c r="P125" s="1193"/>
    </row>
    <row r="126" spans="1:16" s="1206" customFormat="1" ht="18" customHeight="1" x14ac:dyDescent="0.3">
      <c r="A126" s="583">
        <v>117</v>
      </c>
      <c r="B126" s="1200"/>
      <c r="C126" s="1189"/>
      <c r="D126" s="1325" t="s">
        <v>969</v>
      </c>
      <c r="E126" s="1202"/>
      <c r="F126" s="1202"/>
      <c r="G126" s="1752"/>
      <c r="H126" s="1203"/>
      <c r="I126" s="1321">
        <f t="shared" ref="I126:I142" si="34">SUM(J126:N126)</f>
        <v>0</v>
      </c>
      <c r="J126" s="1322"/>
      <c r="K126" s="1322"/>
      <c r="L126" s="1322"/>
      <c r="M126" s="1322"/>
      <c r="N126" s="185"/>
      <c r="P126" s="1193"/>
    </row>
    <row r="127" spans="1:16" s="1206" customFormat="1" ht="18" customHeight="1" x14ac:dyDescent="0.3">
      <c r="A127" s="583">
        <v>118</v>
      </c>
      <c r="B127" s="1200"/>
      <c r="C127" s="1189"/>
      <c r="D127" s="1324" t="s">
        <v>1250</v>
      </c>
      <c r="E127" s="1202"/>
      <c r="F127" s="1202"/>
      <c r="G127" s="1752"/>
      <c r="H127" s="1203"/>
      <c r="I127" s="568">
        <f t="shared" si="34"/>
        <v>466</v>
      </c>
      <c r="J127" s="1322"/>
      <c r="K127" s="1322"/>
      <c r="L127" s="1322"/>
      <c r="M127" s="1322"/>
      <c r="N127" s="1323">
        <f>SUM(N125:N126)</f>
        <v>466</v>
      </c>
      <c r="P127" s="1193"/>
    </row>
    <row r="128" spans="1:16" s="9" customFormat="1" ht="18" customHeight="1" x14ac:dyDescent="0.3">
      <c r="A128" s="583">
        <v>119</v>
      </c>
      <c r="B128" s="172"/>
      <c r="C128" s="165"/>
      <c r="D128" s="442" t="s">
        <v>60</v>
      </c>
      <c r="E128" s="173">
        <v>4500</v>
      </c>
      <c r="F128" s="173">
        <v>4500</v>
      </c>
      <c r="G128" s="1749">
        <v>4500</v>
      </c>
      <c r="H128" s="599"/>
      <c r="I128" s="1186"/>
      <c r="J128" s="174"/>
      <c r="K128" s="174"/>
      <c r="L128" s="174"/>
      <c r="M128" s="174"/>
      <c r="N128" s="175"/>
      <c r="P128" s="8"/>
    </row>
    <row r="129" spans="1:16" s="9" customFormat="1" ht="18" customHeight="1" x14ac:dyDescent="0.3">
      <c r="A129" s="583">
        <v>120</v>
      </c>
      <c r="B129" s="172"/>
      <c r="C129" s="165"/>
      <c r="D129" s="1785" t="s">
        <v>308</v>
      </c>
      <c r="E129" s="173"/>
      <c r="F129" s="173"/>
      <c r="G129" s="1749"/>
      <c r="H129" s="599"/>
      <c r="I129" s="1186">
        <f t="shared" si="34"/>
        <v>0</v>
      </c>
      <c r="J129" s="184"/>
      <c r="K129" s="184"/>
      <c r="L129" s="184"/>
      <c r="M129" s="184"/>
      <c r="N129" s="185"/>
      <c r="P129" s="8"/>
    </row>
    <row r="130" spans="1:16" s="9" customFormat="1" ht="18" customHeight="1" x14ac:dyDescent="0.3">
      <c r="A130" s="583">
        <v>121</v>
      </c>
      <c r="B130" s="172"/>
      <c r="C130" s="165"/>
      <c r="D130" s="1324" t="s">
        <v>1158</v>
      </c>
      <c r="E130" s="173"/>
      <c r="F130" s="173"/>
      <c r="G130" s="1749"/>
      <c r="H130" s="599"/>
      <c r="I130" s="568">
        <f t="shared" si="34"/>
        <v>375</v>
      </c>
      <c r="J130" s="184"/>
      <c r="K130" s="184"/>
      <c r="L130" s="184"/>
      <c r="M130" s="184"/>
      <c r="N130" s="185">
        <v>375</v>
      </c>
      <c r="P130" s="8"/>
    </row>
    <row r="131" spans="1:16" s="9" customFormat="1" ht="18" customHeight="1" x14ac:dyDescent="0.3">
      <c r="A131" s="583">
        <v>122</v>
      </c>
      <c r="B131" s="172"/>
      <c r="C131" s="165"/>
      <c r="D131" s="1325" t="s">
        <v>947</v>
      </c>
      <c r="E131" s="173"/>
      <c r="F131" s="173"/>
      <c r="G131" s="1749"/>
      <c r="H131" s="599"/>
      <c r="I131" s="1321">
        <f t="shared" si="34"/>
        <v>0</v>
      </c>
      <c r="J131" s="184"/>
      <c r="K131" s="184"/>
      <c r="L131" s="184"/>
      <c r="M131" s="184"/>
      <c r="N131" s="185"/>
      <c r="P131" s="8"/>
    </row>
    <row r="132" spans="1:16" s="9" customFormat="1" ht="18" customHeight="1" x14ac:dyDescent="0.3">
      <c r="A132" s="583">
        <v>123</v>
      </c>
      <c r="B132" s="172"/>
      <c r="C132" s="165"/>
      <c r="D132" s="1324" t="s">
        <v>1250</v>
      </c>
      <c r="E132" s="173"/>
      <c r="F132" s="173"/>
      <c r="G132" s="1749"/>
      <c r="H132" s="599"/>
      <c r="I132" s="568">
        <f t="shared" si="34"/>
        <v>375</v>
      </c>
      <c r="J132" s="184"/>
      <c r="K132" s="184"/>
      <c r="L132" s="184"/>
      <c r="M132" s="184"/>
      <c r="N132" s="1323">
        <f>SUM(N130:N131)</f>
        <v>375</v>
      </c>
      <c r="P132" s="8"/>
    </row>
    <row r="133" spans="1:16" s="9" customFormat="1" ht="18" customHeight="1" x14ac:dyDescent="0.3">
      <c r="A133" s="583">
        <v>124</v>
      </c>
      <c r="B133" s="172"/>
      <c r="C133" s="165"/>
      <c r="D133" s="442" t="s">
        <v>61</v>
      </c>
      <c r="E133" s="173">
        <v>3000</v>
      </c>
      <c r="F133" s="173">
        <v>3000</v>
      </c>
      <c r="G133" s="1749">
        <v>3000</v>
      </c>
      <c r="H133" s="599"/>
      <c r="I133" s="1186"/>
      <c r="J133" s="174"/>
      <c r="K133" s="174"/>
      <c r="L133" s="174"/>
      <c r="M133" s="174"/>
      <c r="N133" s="175"/>
      <c r="P133" s="8"/>
    </row>
    <row r="134" spans="1:16" s="9" customFormat="1" ht="18" customHeight="1" x14ac:dyDescent="0.3">
      <c r="A134" s="583">
        <v>125</v>
      </c>
      <c r="B134" s="172"/>
      <c r="C134" s="165"/>
      <c r="D134" s="1785" t="s">
        <v>308</v>
      </c>
      <c r="E134" s="173"/>
      <c r="F134" s="173"/>
      <c r="G134" s="1749"/>
      <c r="H134" s="599"/>
      <c r="I134" s="1186">
        <f t="shared" si="34"/>
        <v>0</v>
      </c>
      <c r="J134" s="184"/>
      <c r="K134" s="184"/>
      <c r="L134" s="184"/>
      <c r="M134" s="184"/>
      <c r="N134" s="185"/>
      <c r="P134" s="8"/>
    </row>
    <row r="135" spans="1:16" s="9" customFormat="1" ht="18" customHeight="1" x14ac:dyDescent="0.3">
      <c r="A135" s="583">
        <v>126</v>
      </c>
      <c r="B135" s="172"/>
      <c r="C135" s="165"/>
      <c r="D135" s="1324" t="s">
        <v>1158</v>
      </c>
      <c r="E135" s="173"/>
      <c r="F135" s="173"/>
      <c r="G135" s="1749"/>
      <c r="H135" s="599"/>
      <c r="I135" s="568">
        <f t="shared" si="34"/>
        <v>250</v>
      </c>
      <c r="J135" s="184"/>
      <c r="K135" s="184"/>
      <c r="L135" s="184"/>
      <c r="M135" s="184"/>
      <c r="N135" s="185">
        <v>250</v>
      </c>
      <c r="P135" s="8"/>
    </row>
    <row r="136" spans="1:16" s="9" customFormat="1" ht="18" customHeight="1" x14ac:dyDescent="0.3">
      <c r="A136" s="583">
        <v>127</v>
      </c>
      <c r="B136" s="172"/>
      <c r="C136" s="165"/>
      <c r="D136" s="1325" t="s">
        <v>947</v>
      </c>
      <c r="E136" s="173"/>
      <c r="F136" s="173"/>
      <c r="G136" s="1749"/>
      <c r="H136" s="599"/>
      <c r="I136" s="1321">
        <f t="shared" si="34"/>
        <v>0</v>
      </c>
      <c r="J136" s="184"/>
      <c r="K136" s="184"/>
      <c r="L136" s="184"/>
      <c r="M136" s="184"/>
      <c r="N136" s="185"/>
      <c r="P136" s="8"/>
    </row>
    <row r="137" spans="1:16" s="9" customFormat="1" ht="18" customHeight="1" x14ac:dyDescent="0.3">
      <c r="A137" s="583">
        <v>128</v>
      </c>
      <c r="B137" s="172"/>
      <c r="C137" s="165"/>
      <c r="D137" s="1324" t="s">
        <v>1250</v>
      </c>
      <c r="E137" s="173"/>
      <c r="F137" s="173"/>
      <c r="G137" s="1749"/>
      <c r="H137" s="599"/>
      <c r="I137" s="568">
        <f t="shared" si="34"/>
        <v>250</v>
      </c>
      <c r="J137" s="184"/>
      <c r="K137" s="184"/>
      <c r="L137" s="184"/>
      <c r="M137" s="184"/>
      <c r="N137" s="1323">
        <f>SUM(N135:N136)</f>
        <v>250</v>
      </c>
      <c r="P137" s="8"/>
    </row>
    <row r="138" spans="1:16" s="9" customFormat="1" ht="18" customHeight="1" x14ac:dyDescent="0.3">
      <c r="A138" s="583">
        <v>129</v>
      </c>
      <c r="B138" s="172"/>
      <c r="C138" s="165"/>
      <c r="D138" s="442" t="s">
        <v>387</v>
      </c>
      <c r="E138" s="173">
        <v>1000</v>
      </c>
      <c r="F138" s="173">
        <v>1000</v>
      </c>
      <c r="G138" s="1749">
        <v>1000</v>
      </c>
      <c r="H138" s="599"/>
      <c r="I138" s="1186"/>
      <c r="J138" s="174"/>
      <c r="K138" s="174"/>
      <c r="L138" s="174"/>
      <c r="M138" s="174"/>
      <c r="N138" s="175"/>
      <c r="P138" s="8"/>
    </row>
    <row r="139" spans="1:16" s="9" customFormat="1" ht="18" customHeight="1" x14ac:dyDescent="0.3">
      <c r="A139" s="583">
        <v>130</v>
      </c>
      <c r="B139" s="172"/>
      <c r="C139" s="165"/>
      <c r="D139" s="1785" t="s">
        <v>308</v>
      </c>
      <c r="E139" s="173"/>
      <c r="F139" s="173"/>
      <c r="G139" s="1749"/>
      <c r="H139" s="599"/>
      <c r="I139" s="1186">
        <f t="shared" si="34"/>
        <v>0</v>
      </c>
      <c r="J139" s="184"/>
      <c r="K139" s="184"/>
      <c r="L139" s="184"/>
      <c r="M139" s="184"/>
      <c r="N139" s="185"/>
      <c r="P139" s="8"/>
    </row>
    <row r="140" spans="1:16" s="9" customFormat="1" ht="18" customHeight="1" x14ac:dyDescent="0.3">
      <c r="A140" s="583">
        <v>131</v>
      </c>
      <c r="B140" s="172"/>
      <c r="C140" s="165"/>
      <c r="D140" s="1324" t="s">
        <v>1158</v>
      </c>
      <c r="E140" s="173"/>
      <c r="F140" s="173"/>
      <c r="G140" s="1749"/>
      <c r="H140" s="599"/>
      <c r="I140" s="568">
        <f t="shared" si="34"/>
        <v>83</v>
      </c>
      <c r="J140" s="184"/>
      <c r="K140" s="184"/>
      <c r="L140" s="184"/>
      <c r="M140" s="184"/>
      <c r="N140" s="185">
        <v>83</v>
      </c>
      <c r="P140" s="8"/>
    </row>
    <row r="141" spans="1:16" s="9" customFormat="1" ht="18" customHeight="1" x14ac:dyDescent="0.3">
      <c r="A141" s="583">
        <v>132</v>
      </c>
      <c r="B141" s="172"/>
      <c r="C141" s="165"/>
      <c r="D141" s="1325" t="s">
        <v>947</v>
      </c>
      <c r="E141" s="173"/>
      <c r="F141" s="173"/>
      <c r="G141" s="1749"/>
      <c r="H141" s="599"/>
      <c r="I141" s="1321">
        <f t="shared" si="34"/>
        <v>0</v>
      </c>
      <c r="J141" s="184"/>
      <c r="K141" s="184"/>
      <c r="L141" s="184"/>
      <c r="M141" s="184"/>
      <c r="N141" s="185"/>
      <c r="P141" s="8"/>
    </row>
    <row r="142" spans="1:16" s="9" customFormat="1" ht="18" customHeight="1" x14ac:dyDescent="0.3">
      <c r="A142" s="583">
        <v>133</v>
      </c>
      <c r="B142" s="172"/>
      <c r="C142" s="165"/>
      <c r="D142" s="1324" t="s">
        <v>1250</v>
      </c>
      <c r="E142" s="173"/>
      <c r="F142" s="173"/>
      <c r="G142" s="1749"/>
      <c r="H142" s="599"/>
      <c r="I142" s="568">
        <f t="shared" si="34"/>
        <v>83</v>
      </c>
      <c r="J142" s="184"/>
      <c r="K142" s="184"/>
      <c r="L142" s="184"/>
      <c r="M142" s="184"/>
      <c r="N142" s="185">
        <f>SUM(N140:N141)</f>
        <v>83</v>
      </c>
      <c r="P142" s="8"/>
    </row>
    <row r="143" spans="1:16" s="9" customFormat="1" ht="22.5" customHeight="1" x14ac:dyDescent="0.3">
      <c r="A143" s="583">
        <v>134</v>
      </c>
      <c r="B143" s="172"/>
      <c r="C143" s="161">
        <v>21</v>
      </c>
      <c r="D143" s="577" t="s">
        <v>821</v>
      </c>
      <c r="E143" s="173"/>
      <c r="F143" s="173"/>
      <c r="G143" s="1749"/>
      <c r="H143" s="598" t="s">
        <v>24</v>
      </c>
      <c r="I143" s="568"/>
      <c r="J143" s="184"/>
      <c r="K143" s="184"/>
      <c r="L143" s="184"/>
      <c r="M143" s="184"/>
      <c r="N143" s="185"/>
      <c r="P143" s="8"/>
    </row>
    <row r="144" spans="1:16" s="1206" customFormat="1" ht="18" customHeight="1" x14ac:dyDescent="0.3">
      <c r="A144" s="583">
        <v>135</v>
      </c>
      <c r="B144" s="1200"/>
      <c r="C144" s="1189"/>
      <c r="D144" s="1190" t="s">
        <v>308</v>
      </c>
      <c r="E144" s="1202"/>
      <c r="F144" s="1202"/>
      <c r="G144" s="1752"/>
      <c r="H144" s="1192"/>
      <c r="I144" s="1183">
        <f>SUM(J144:N144)</f>
        <v>425</v>
      </c>
      <c r="J144" s="1204"/>
      <c r="K144" s="1204"/>
      <c r="L144" s="1184">
        <v>425</v>
      </c>
      <c r="M144" s="1204"/>
      <c r="N144" s="1205"/>
      <c r="P144" s="1193"/>
    </row>
    <row r="145" spans="1:16" s="1206" customFormat="1" ht="18" customHeight="1" x14ac:dyDescent="0.3">
      <c r="A145" s="583">
        <v>136</v>
      </c>
      <c r="B145" s="1200"/>
      <c r="C145" s="1189"/>
      <c r="D145" s="576" t="s">
        <v>1158</v>
      </c>
      <c r="E145" s="1202"/>
      <c r="F145" s="1202"/>
      <c r="G145" s="1752"/>
      <c r="H145" s="1192"/>
      <c r="I145" s="566">
        <f t="shared" ref="I145:I147" si="35">SUM(J145:N145)</f>
        <v>0</v>
      </c>
      <c r="J145" s="1204"/>
      <c r="K145" s="1204"/>
      <c r="L145" s="443">
        <v>0</v>
      </c>
      <c r="M145" s="1204"/>
      <c r="N145" s="1205"/>
      <c r="P145" s="1193"/>
    </row>
    <row r="146" spans="1:16" s="1206" customFormat="1" ht="18" customHeight="1" x14ac:dyDescent="0.3">
      <c r="A146" s="583">
        <v>137</v>
      </c>
      <c r="B146" s="1200"/>
      <c r="C146" s="1189"/>
      <c r="D146" s="1318" t="s">
        <v>947</v>
      </c>
      <c r="E146" s="1202"/>
      <c r="F146" s="1202"/>
      <c r="G146" s="1752"/>
      <c r="H146" s="1192"/>
      <c r="I146" s="1321">
        <f t="shared" si="35"/>
        <v>0</v>
      </c>
      <c r="J146" s="184"/>
      <c r="K146" s="184"/>
      <c r="L146" s="184"/>
      <c r="M146" s="184"/>
      <c r="N146" s="185"/>
      <c r="P146" s="1193"/>
    </row>
    <row r="147" spans="1:16" s="1206" customFormat="1" ht="18" customHeight="1" x14ac:dyDescent="0.3">
      <c r="A147" s="583">
        <v>138</v>
      </c>
      <c r="B147" s="1200"/>
      <c r="C147" s="1189"/>
      <c r="D147" s="576" t="s">
        <v>1250</v>
      </c>
      <c r="E147" s="1202"/>
      <c r="F147" s="1202"/>
      <c r="G147" s="1752"/>
      <c r="H147" s="1192"/>
      <c r="I147" s="566">
        <f t="shared" si="35"/>
        <v>0</v>
      </c>
      <c r="J147" s="1322"/>
      <c r="K147" s="1322"/>
      <c r="L147" s="1322">
        <f>SUM(L145:L146)</f>
        <v>0</v>
      </c>
      <c r="M147" s="1322"/>
      <c r="N147" s="1323"/>
      <c r="P147" s="1193"/>
    </row>
    <row r="148" spans="1:16" s="9" customFormat="1" ht="22.5" customHeight="1" x14ac:dyDescent="0.3">
      <c r="A148" s="583">
        <v>139</v>
      </c>
      <c r="B148" s="172"/>
      <c r="C148" s="161">
        <v>22</v>
      </c>
      <c r="D148" s="577" t="s">
        <v>810</v>
      </c>
      <c r="E148" s="173"/>
      <c r="F148" s="173"/>
      <c r="G148" s="1749"/>
      <c r="H148" s="598" t="s">
        <v>24</v>
      </c>
      <c r="I148" s="566"/>
      <c r="J148" s="184"/>
      <c r="K148" s="184"/>
      <c r="L148" s="184"/>
      <c r="M148" s="184"/>
      <c r="N148" s="185"/>
      <c r="P148" s="8"/>
    </row>
    <row r="149" spans="1:16" s="1206" customFormat="1" ht="18" customHeight="1" x14ac:dyDescent="0.3">
      <c r="A149" s="583">
        <v>140</v>
      </c>
      <c r="B149" s="1200"/>
      <c r="C149" s="1189"/>
      <c r="D149" s="1190" t="s">
        <v>308</v>
      </c>
      <c r="E149" s="1202"/>
      <c r="F149" s="1202"/>
      <c r="G149" s="1752"/>
      <c r="H149" s="1192"/>
      <c r="I149" s="1183">
        <f>SUM(J149:N149)</f>
        <v>425</v>
      </c>
      <c r="J149" s="1204"/>
      <c r="K149" s="1204"/>
      <c r="L149" s="1204"/>
      <c r="M149" s="1204"/>
      <c r="N149" s="1185">
        <v>425</v>
      </c>
      <c r="P149" s="1193"/>
    </row>
    <row r="150" spans="1:16" s="1206" customFormat="1" ht="18" customHeight="1" x14ac:dyDescent="0.3">
      <c r="A150" s="583">
        <v>141</v>
      </c>
      <c r="B150" s="1200"/>
      <c r="C150" s="1189"/>
      <c r="D150" s="576" t="s">
        <v>1158</v>
      </c>
      <c r="E150" s="1202"/>
      <c r="F150" s="1202"/>
      <c r="G150" s="1752"/>
      <c r="H150" s="1192"/>
      <c r="I150" s="566">
        <f t="shared" ref="I150" si="36">SUM(J150:N150)</f>
        <v>425</v>
      </c>
      <c r="J150" s="1204"/>
      <c r="K150" s="1204"/>
      <c r="L150" s="443">
        <v>425</v>
      </c>
      <c r="M150" s="1204"/>
      <c r="N150" s="439">
        <v>0</v>
      </c>
      <c r="P150" s="1193"/>
    </row>
    <row r="151" spans="1:16" s="1206" customFormat="1" ht="18" customHeight="1" x14ac:dyDescent="0.3">
      <c r="A151" s="583">
        <v>142</v>
      </c>
      <c r="B151" s="1200"/>
      <c r="C151" s="1189"/>
      <c r="D151" s="1318" t="s">
        <v>947</v>
      </c>
      <c r="E151" s="1202"/>
      <c r="F151" s="1202"/>
      <c r="G151" s="1752"/>
      <c r="H151" s="1192"/>
      <c r="I151" s="1321">
        <f t="shared" ref="I151:I152" si="37">SUM(J151:N151)</f>
        <v>0</v>
      </c>
      <c r="J151" s="184"/>
      <c r="K151" s="184"/>
      <c r="L151" s="184"/>
      <c r="M151" s="184"/>
      <c r="N151" s="185"/>
      <c r="P151" s="1193"/>
    </row>
    <row r="152" spans="1:16" s="1206" customFormat="1" ht="18" customHeight="1" x14ac:dyDescent="0.3">
      <c r="A152" s="583">
        <v>143</v>
      </c>
      <c r="B152" s="1200"/>
      <c r="C152" s="1189"/>
      <c r="D152" s="576" t="s">
        <v>1250</v>
      </c>
      <c r="E152" s="1202"/>
      <c r="F152" s="1202"/>
      <c r="G152" s="1752"/>
      <c r="H152" s="1192"/>
      <c r="I152" s="566">
        <f t="shared" si="37"/>
        <v>425</v>
      </c>
      <c r="J152" s="1322"/>
      <c r="K152" s="1322"/>
      <c r="L152" s="1322">
        <f>SUM(L150:L151)</f>
        <v>425</v>
      </c>
      <c r="M152" s="1322"/>
      <c r="N152" s="1323">
        <f>SUM(N150:N151)</f>
        <v>0</v>
      </c>
      <c r="P152" s="1193"/>
    </row>
    <row r="153" spans="1:16" s="9" customFormat="1" ht="22.5" customHeight="1" x14ac:dyDescent="0.3">
      <c r="A153" s="583">
        <v>144</v>
      </c>
      <c r="B153" s="172"/>
      <c r="C153" s="161">
        <v>23</v>
      </c>
      <c r="D153" s="577" t="s">
        <v>820</v>
      </c>
      <c r="E153" s="173"/>
      <c r="F153" s="173"/>
      <c r="G153" s="1749"/>
      <c r="H153" s="598" t="s">
        <v>24</v>
      </c>
      <c r="I153" s="566"/>
      <c r="J153" s="184"/>
      <c r="K153" s="184"/>
      <c r="L153" s="184"/>
      <c r="M153" s="184"/>
      <c r="N153" s="185"/>
      <c r="P153" s="8"/>
    </row>
    <row r="154" spans="1:16" s="1206" customFormat="1" ht="18" customHeight="1" x14ac:dyDescent="0.3">
      <c r="A154" s="583">
        <v>145</v>
      </c>
      <c r="B154" s="1200"/>
      <c r="C154" s="1189"/>
      <c r="D154" s="1190" t="s">
        <v>308</v>
      </c>
      <c r="E154" s="1202"/>
      <c r="F154" s="1202"/>
      <c r="G154" s="1752"/>
      <c r="H154" s="1203"/>
      <c r="I154" s="1183">
        <f>SUM(J154:N154)</f>
        <v>850</v>
      </c>
      <c r="J154" s="1204"/>
      <c r="K154" s="1204"/>
      <c r="L154" s="1184">
        <v>850</v>
      </c>
      <c r="M154" s="1204"/>
      <c r="N154" s="1205"/>
      <c r="P154" s="1193"/>
    </row>
    <row r="155" spans="1:16" s="1206" customFormat="1" ht="18" customHeight="1" x14ac:dyDescent="0.3">
      <c r="A155" s="583">
        <v>146</v>
      </c>
      <c r="B155" s="1200"/>
      <c r="C155" s="1189"/>
      <c r="D155" s="576" t="s">
        <v>1158</v>
      </c>
      <c r="E155" s="1202"/>
      <c r="F155" s="1202"/>
      <c r="G155" s="1752"/>
      <c r="H155" s="1203"/>
      <c r="I155" s="566">
        <f t="shared" ref="I155" si="38">SUM(J155:N155)</f>
        <v>0</v>
      </c>
      <c r="J155" s="1204"/>
      <c r="K155" s="1204"/>
      <c r="L155" s="443">
        <v>0</v>
      </c>
      <c r="M155" s="1204"/>
      <c r="N155" s="1205"/>
      <c r="P155" s="1193"/>
    </row>
    <row r="156" spans="1:16" s="1206" customFormat="1" ht="18" customHeight="1" x14ac:dyDescent="0.3">
      <c r="A156" s="583">
        <v>147</v>
      </c>
      <c r="B156" s="1200"/>
      <c r="C156" s="1189"/>
      <c r="D156" s="1318" t="s">
        <v>969</v>
      </c>
      <c r="E156" s="1202"/>
      <c r="F156" s="1202"/>
      <c r="G156" s="1752"/>
      <c r="H156" s="1203"/>
      <c r="I156" s="1321">
        <f>SUM(J156:N156)</f>
        <v>0</v>
      </c>
      <c r="J156" s="184"/>
      <c r="K156" s="184"/>
      <c r="L156" s="184"/>
      <c r="M156" s="184"/>
      <c r="N156" s="185"/>
      <c r="P156" s="1193"/>
    </row>
    <row r="157" spans="1:16" s="1206" customFormat="1" ht="18" customHeight="1" x14ac:dyDescent="0.3">
      <c r="A157" s="583">
        <v>148</v>
      </c>
      <c r="B157" s="1200"/>
      <c r="C157" s="1189"/>
      <c r="D157" s="576" t="s">
        <v>1250</v>
      </c>
      <c r="E157" s="1202"/>
      <c r="F157" s="1202"/>
      <c r="G157" s="1752"/>
      <c r="H157" s="1203"/>
      <c r="I157" s="566">
        <f t="shared" ref="I157" si="39">SUM(J157:N157)</f>
        <v>0</v>
      </c>
      <c r="J157" s="1322"/>
      <c r="K157" s="1322"/>
      <c r="L157" s="1322">
        <f>SUM(L155:L156)</f>
        <v>0</v>
      </c>
      <c r="M157" s="1322"/>
      <c r="N157" s="1323"/>
      <c r="P157" s="1193"/>
    </row>
    <row r="158" spans="1:16" s="9" customFormat="1" ht="22.5" customHeight="1" x14ac:dyDescent="0.3">
      <c r="A158" s="583">
        <v>149</v>
      </c>
      <c r="B158" s="172"/>
      <c r="C158" s="161">
        <v>24</v>
      </c>
      <c r="D158" s="577" t="s">
        <v>811</v>
      </c>
      <c r="E158" s="173"/>
      <c r="F158" s="173"/>
      <c r="G158" s="1749"/>
      <c r="H158" s="598" t="s">
        <v>24</v>
      </c>
      <c r="I158" s="566"/>
      <c r="J158" s="184"/>
      <c r="K158" s="184"/>
      <c r="L158" s="184"/>
      <c r="M158" s="184"/>
      <c r="N158" s="185"/>
      <c r="P158" s="8"/>
    </row>
    <row r="159" spans="1:16" s="1206" customFormat="1" ht="18" customHeight="1" x14ac:dyDescent="0.3">
      <c r="A159" s="583">
        <v>150</v>
      </c>
      <c r="B159" s="1200"/>
      <c r="C159" s="1189"/>
      <c r="D159" s="1190" t="s">
        <v>308</v>
      </c>
      <c r="E159" s="1202"/>
      <c r="F159" s="1202"/>
      <c r="G159" s="1752"/>
      <c r="H159" s="1203"/>
      <c r="I159" s="1183">
        <f>SUM(J159:N159)</f>
        <v>2550</v>
      </c>
      <c r="J159" s="1204"/>
      <c r="K159" s="1204"/>
      <c r="L159" s="1204"/>
      <c r="M159" s="1204"/>
      <c r="N159" s="1185">
        <v>2550</v>
      </c>
      <c r="P159" s="1193"/>
    </row>
    <row r="160" spans="1:16" s="1206" customFormat="1" ht="18" customHeight="1" x14ac:dyDescent="0.3">
      <c r="A160" s="583">
        <v>151</v>
      </c>
      <c r="B160" s="1200"/>
      <c r="C160" s="1189"/>
      <c r="D160" s="576" t="s">
        <v>1158</v>
      </c>
      <c r="E160" s="1202"/>
      <c r="F160" s="1202"/>
      <c r="G160" s="1752"/>
      <c r="H160" s="1203"/>
      <c r="I160" s="566">
        <f t="shared" ref="I160" si="40">SUM(J160:N160)</f>
        <v>0</v>
      </c>
      <c r="J160" s="1204"/>
      <c r="K160" s="1204"/>
      <c r="L160" s="1204"/>
      <c r="M160" s="1204"/>
      <c r="N160" s="439">
        <v>0</v>
      </c>
      <c r="P160" s="1193"/>
    </row>
    <row r="161" spans="1:16" s="1206" customFormat="1" ht="18" customHeight="1" x14ac:dyDescent="0.3">
      <c r="A161" s="583">
        <v>152</v>
      </c>
      <c r="B161" s="1200"/>
      <c r="C161" s="1189"/>
      <c r="D161" s="1318" t="s">
        <v>947</v>
      </c>
      <c r="E161" s="1202"/>
      <c r="F161" s="1202"/>
      <c r="G161" s="1752"/>
      <c r="H161" s="1203"/>
      <c r="I161" s="1321">
        <f t="shared" ref="I161:I162" si="41">SUM(J161:N161)</f>
        <v>0</v>
      </c>
      <c r="J161" s="1322"/>
      <c r="K161" s="1322"/>
      <c r="L161" s="1322"/>
      <c r="M161" s="1322"/>
      <c r="N161" s="1323"/>
      <c r="P161" s="1193"/>
    </row>
    <row r="162" spans="1:16" s="1206" customFormat="1" ht="18" customHeight="1" x14ac:dyDescent="0.3">
      <c r="A162" s="583">
        <v>153</v>
      </c>
      <c r="B162" s="1200"/>
      <c r="C162" s="1189"/>
      <c r="D162" s="576" t="s">
        <v>1250</v>
      </c>
      <c r="E162" s="1202"/>
      <c r="F162" s="1202"/>
      <c r="G162" s="1752"/>
      <c r="H162" s="1203"/>
      <c r="I162" s="566">
        <f t="shared" si="41"/>
        <v>0</v>
      </c>
      <c r="J162" s="1322"/>
      <c r="K162" s="1322"/>
      <c r="L162" s="1322"/>
      <c r="M162" s="1322"/>
      <c r="N162" s="1323">
        <f>SUM(N160:N161)</f>
        <v>0</v>
      </c>
      <c r="P162" s="1193"/>
    </row>
    <row r="163" spans="1:16" s="3" customFormat="1" ht="22.5" customHeight="1" x14ac:dyDescent="0.3">
      <c r="A163" s="583">
        <v>154</v>
      </c>
      <c r="B163" s="160"/>
      <c r="C163" s="161">
        <v>25</v>
      </c>
      <c r="D163" s="577" t="s">
        <v>62</v>
      </c>
      <c r="E163" s="163">
        <v>2500</v>
      </c>
      <c r="F163" s="163">
        <v>2500</v>
      </c>
      <c r="G163" s="1749">
        <v>2500</v>
      </c>
      <c r="H163" s="598" t="s">
        <v>24</v>
      </c>
      <c r="I163" s="1183"/>
      <c r="J163" s="167"/>
      <c r="K163" s="167"/>
      <c r="L163" s="167"/>
      <c r="M163" s="167"/>
      <c r="N163" s="168"/>
      <c r="P163" s="8"/>
    </row>
    <row r="164" spans="1:16" s="3" customFormat="1" ht="22.5" customHeight="1" x14ac:dyDescent="0.3">
      <c r="A164" s="583">
        <v>155</v>
      </c>
      <c r="B164" s="160"/>
      <c r="C164" s="161">
        <v>26</v>
      </c>
      <c r="D164" s="577" t="s">
        <v>322</v>
      </c>
      <c r="E164" s="163">
        <v>2500</v>
      </c>
      <c r="F164" s="163">
        <v>2500</v>
      </c>
      <c r="G164" s="1746">
        <v>2500</v>
      </c>
      <c r="H164" s="598" t="s">
        <v>24</v>
      </c>
      <c r="I164" s="1183"/>
      <c r="J164" s="167"/>
      <c r="K164" s="167"/>
      <c r="L164" s="167"/>
      <c r="M164" s="167"/>
      <c r="N164" s="168"/>
      <c r="P164" s="8"/>
    </row>
    <row r="165" spans="1:16" s="3" customFormat="1" ht="22.5" customHeight="1" x14ac:dyDescent="0.3">
      <c r="A165" s="583">
        <v>156</v>
      </c>
      <c r="B165" s="160"/>
      <c r="C165" s="161">
        <v>27</v>
      </c>
      <c r="D165" s="577" t="s">
        <v>63</v>
      </c>
      <c r="E165" s="163">
        <v>1500</v>
      </c>
      <c r="F165" s="163">
        <v>1500</v>
      </c>
      <c r="G165" s="1746">
        <v>1500</v>
      </c>
      <c r="H165" s="598" t="s">
        <v>24</v>
      </c>
      <c r="I165" s="566"/>
      <c r="J165" s="167"/>
      <c r="K165" s="167"/>
      <c r="L165" s="167"/>
      <c r="M165" s="167"/>
      <c r="N165" s="168"/>
      <c r="P165" s="8"/>
    </row>
    <row r="166" spans="1:16" s="1193" customFormat="1" ht="18" customHeight="1" x14ac:dyDescent="0.3">
      <c r="A166" s="583">
        <v>157</v>
      </c>
      <c r="B166" s="1188"/>
      <c r="C166" s="1189"/>
      <c r="D166" s="1190" t="s">
        <v>308</v>
      </c>
      <c r="E166" s="1191"/>
      <c r="F166" s="1191"/>
      <c r="G166" s="1748"/>
      <c r="H166" s="1192"/>
      <c r="I166" s="1183">
        <f>SUM(J166:N166)</f>
        <v>1275</v>
      </c>
      <c r="J166" s="1184"/>
      <c r="K166" s="1184"/>
      <c r="L166" s="1184"/>
      <c r="M166" s="1184"/>
      <c r="N166" s="1185">
        <v>1275</v>
      </c>
    </row>
    <row r="167" spans="1:16" s="1193" customFormat="1" ht="18" customHeight="1" x14ac:dyDescent="0.3">
      <c r="A167" s="583">
        <v>158</v>
      </c>
      <c r="B167" s="1188"/>
      <c r="C167" s="1189"/>
      <c r="D167" s="576" t="s">
        <v>1158</v>
      </c>
      <c r="E167" s="1191"/>
      <c r="F167" s="1191"/>
      <c r="G167" s="1748"/>
      <c r="H167" s="1192"/>
      <c r="I167" s="566">
        <f t="shared" ref="I167:I169" si="42">SUM(J167:N167)</f>
        <v>0</v>
      </c>
      <c r="J167" s="1184"/>
      <c r="K167" s="1184"/>
      <c r="L167" s="1184"/>
      <c r="M167" s="1184"/>
      <c r="N167" s="439">
        <v>0</v>
      </c>
    </row>
    <row r="168" spans="1:16" s="1193" customFormat="1" ht="18" customHeight="1" x14ac:dyDescent="0.3">
      <c r="A168" s="583">
        <v>159</v>
      </c>
      <c r="B168" s="1188"/>
      <c r="C168" s="1189"/>
      <c r="D168" s="1318" t="s">
        <v>969</v>
      </c>
      <c r="E168" s="1191"/>
      <c r="F168" s="1191"/>
      <c r="G168" s="1748"/>
      <c r="H168" s="1192"/>
      <c r="I168" s="1321">
        <f t="shared" si="42"/>
        <v>0</v>
      </c>
      <c r="J168" s="184"/>
      <c r="K168" s="184"/>
      <c r="L168" s="184"/>
      <c r="M168" s="184"/>
      <c r="N168" s="185"/>
    </row>
    <row r="169" spans="1:16" s="1193" customFormat="1" ht="18" customHeight="1" x14ac:dyDescent="0.3">
      <c r="A169" s="583">
        <v>160</v>
      </c>
      <c r="B169" s="1188"/>
      <c r="C169" s="1189"/>
      <c r="D169" s="576" t="s">
        <v>1250</v>
      </c>
      <c r="E169" s="1191"/>
      <c r="F169" s="1191"/>
      <c r="G169" s="1748"/>
      <c r="H169" s="1192"/>
      <c r="I169" s="566">
        <f t="shared" si="42"/>
        <v>0</v>
      </c>
      <c r="J169" s="443"/>
      <c r="K169" s="443"/>
      <c r="L169" s="443"/>
      <c r="M169" s="443"/>
      <c r="N169" s="439">
        <f>SUM(N167:N168)</f>
        <v>0</v>
      </c>
    </row>
    <row r="170" spans="1:16" s="3" customFormat="1" ht="22.5" customHeight="1" x14ac:dyDescent="0.3">
      <c r="A170" s="583">
        <v>161</v>
      </c>
      <c r="B170" s="160"/>
      <c r="C170" s="161">
        <v>28</v>
      </c>
      <c r="D170" s="577" t="s">
        <v>64</v>
      </c>
      <c r="E170" s="163">
        <v>1000</v>
      </c>
      <c r="F170" s="163">
        <v>1000</v>
      </c>
      <c r="G170" s="1746">
        <v>1000</v>
      </c>
      <c r="H170" s="598" t="s">
        <v>24</v>
      </c>
      <c r="I170" s="566"/>
      <c r="J170" s="167"/>
      <c r="K170" s="167"/>
      <c r="L170" s="167"/>
      <c r="M170" s="167"/>
      <c r="N170" s="168"/>
      <c r="P170" s="8"/>
    </row>
    <row r="171" spans="1:16" s="1193" customFormat="1" ht="18" customHeight="1" x14ac:dyDescent="0.3">
      <c r="A171" s="583">
        <v>162</v>
      </c>
      <c r="B171" s="1188"/>
      <c r="C171" s="1189"/>
      <c r="D171" s="1190" t="s">
        <v>308</v>
      </c>
      <c r="E171" s="1191"/>
      <c r="F171" s="1191"/>
      <c r="G171" s="1748"/>
      <c r="H171" s="1192"/>
      <c r="I171" s="1183">
        <f>SUM(J171:N171)</f>
        <v>850</v>
      </c>
      <c r="J171" s="1184"/>
      <c r="K171" s="1184"/>
      <c r="L171" s="1184"/>
      <c r="M171" s="1184"/>
      <c r="N171" s="1185">
        <v>850</v>
      </c>
    </row>
    <row r="172" spans="1:16" s="1193" customFormat="1" ht="18" customHeight="1" x14ac:dyDescent="0.3">
      <c r="A172" s="583">
        <v>163</v>
      </c>
      <c r="B172" s="1188"/>
      <c r="C172" s="1189"/>
      <c r="D172" s="576" t="s">
        <v>1158</v>
      </c>
      <c r="E172" s="1191"/>
      <c r="F172" s="1191"/>
      <c r="G172" s="1748"/>
      <c r="H172" s="1192"/>
      <c r="I172" s="566">
        <f t="shared" ref="I172:I174" si="43">SUM(J172:N172)</f>
        <v>0</v>
      </c>
      <c r="J172" s="1184"/>
      <c r="K172" s="1184"/>
      <c r="L172" s="1184"/>
      <c r="M172" s="1184"/>
      <c r="N172" s="439">
        <v>0</v>
      </c>
    </row>
    <row r="173" spans="1:16" s="1193" customFormat="1" ht="18" customHeight="1" x14ac:dyDescent="0.3">
      <c r="A173" s="583">
        <v>164</v>
      </c>
      <c r="B173" s="1188"/>
      <c r="C173" s="1189"/>
      <c r="D173" s="1318" t="s">
        <v>969</v>
      </c>
      <c r="E173" s="1191"/>
      <c r="F173" s="1191"/>
      <c r="G173" s="1748"/>
      <c r="H173" s="1192"/>
      <c r="I173" s="1321">
        <f t="shared" si="43"/>
        <v>0</v>
      </c>
      <c r="J173" s="184"/>
      <c r="K173" s="184"/>
      <c r="L173" s="184"/>
      <c r="M173" s="184"/>
      <c r="N173" s="185"/>
    </row>
    <row r="174" spans="1:16" s="1193" customFormat="1" ht="18" customHeight="1" x14ac:dyDescent="0.3">
      <c r="A174" s="583">
        <v>165</v>
      </c>
      <c r="B174" s="1188"/>
      <c r="C174" s="1189"/>
      <c r="D174" s="576" t="s">
        <v>1250</v>
      </c>
      <c r="E174" s="1191"/>
      <c r="F174" s="1191"/>
      <c r="G174" s="1748"/>
      <c r="H174" s="1192"/>
      <c r="I174" s="566">
        <f t="shared" si="43"/>
        <v>0</v>
      </c>
      <c r="J174" s="443"/>
      <c r="K174" s="443"/>
      <c r="L174" s="443"/>
      <c r="M174" s="443"/>
      <c r="N174" s="439">
        <f>SUM(N172:N173)</f>
        <v>0</v>
      </c>
    </row>
    <row r="175" spans="1:16" s="3" customFormat="1" ht="22.5" customHeight="1" x14ac:dyDescent="0.3">
      <c r="A175" s="583">
        <v>166</v>
      </c>
      <c r="B175" s="160"/>
      <c r="C175" s="161">
        <v>29</v>
      </c>
      <c r="D175" s="577" t="s">
        <v>279</v>
      </c>
      <c r="E175" s="163">
        <v>5000</v>
      </c>
      <c r="F175" s="163">
        <v>5000</v>
      </c>
      <c r="G175" s="1746">
        <v>5000</v>
      </c>
      <c r="H175" s="598" t="s">
        <v>24</v>
      </c>
      <c r="I175" s="566"/>
      <c r="J175" s="167"/>
      <c r="K175" s="167"/>
      <c r="L175" s="167"/>
      <c r="M175" s="167"/>
      <c r="N175" s="168"/>
      <c r="P175" s="8"/>
    </row>
    <row r="176" spans="1:16" s="1193" customFormat="1" ht="18" customHeight="1" x14ac:dyDescent="0.3">
      <c r="A176" s="583">
        <v>167</v>
      </c>
      <c r="B176" s="1188"/>
      <c r="C176" s="1189"/>
      <c r="D176" s="1190" t="s">
        <v>308</v>
      </c>
      <c r="E176" s="1191"/>
      <c r="F176" s="1191"/>
      <c r="G176" s="1748"/>
      <c r="H176" s="1192"/>
      <c r="I176" s="1183">
        <f t="shared" ref="I176:I194" si="44">SUM(J176:N176)</f>
        <v>4250</v>
      </c>
      <c r="J176" s="1184"/>
      <c r="K176" s="1184"/>
      <c r="L176" s="1184"/>
      <c r="M176" s="1184"/>
      <c r="N176" s="1185">
        <v>4250</v>
      </c>
    </row>
    <row r="177" spans="1:16" s="1193" customFormat="1" ht="18" customHeight="1" x14ac:dyDescent="0.3">
      <c r="A177" s="583">
        <v>168</v>
      </c>
      <c r="B177" s="1188"/>
      <c r="C177" s="1189"/>
      <c r="D177" s="576" t="s">
        <v>1158</v>
      </c>
      <c r="E177" s="1191"/>
      <c r="F177" s="1191"/>
      <c r="G177" s="1748"/>
      <c r="H177" s="1192"/>
      <c r="I177" s="566">
        <f t="shared" si="44"/>
        <v>4480</v>
      </c>
      <c r="J177" s="1184"/>
      <c r="K177" s="1184"/>
      <c r="L177" s="443">
        <v>4480</v>
      </c>
      <c r="M177" s="1184"/>
      <c r="N177" s="1185"/>
    </row>
    <row r="178" spans="1:16" s="1193" customFormat="1" ht="18" customHeight="1" x14ac:dyDescent="0.3">
      <c r="A178" s="583">
        <v>169</v>
      </c>
      <c r="B178" s="1188"/>
      <c r="C178" s="1189"/>
      <c r="D178" s="1318" t="s">
        <v>969</v>
      </c>
      <c r="E178" s="1191"/>
      <c r="F178" s="1191"/>
      <c r="G178" s="1748"/>
      <c r="H178" s="1192"/>
      <c r="I178" s="1321">
        <f t="shared" si="44"/>
        <v>0</v>
      </c>
      <c r="J178" s="184"/>
      <c r="K178" s="184"/>
      <c r="L178" s="184"/>
      <c r="M178" s="184"/>
      <c r="N178" s="185"/>
    </row>
    <row r="179" spans="1:16" s="1193" customFormat="1" ht="18" customHeight="1" x14ac:dyDescent="0.3">
      <c r="A179" s="583">
        <v>170</v>
      </c>
      <c r="B179" s="1188"/>
      <c r="C179" s="1189"/>
      <c r="D179" s="576" t="s">
        <v>1250</v>
      </c>
      <c r="E179" s="1191"/>
      <c r="F179" s="1191"/>
      <c r="G179" s="1748"/>
      <c r="H179" s="1192"/>
      <c r="I179" s="566">
        <f t="shared" si="44"/>
        <v>4480</v>
      </c>
      <c r="J179" s="1184"/>
      <c r="K179" s="1184"/>
      <c r="L179" s="443">
        <f>SUM(L177:L178)</f>
        <v>4480</v>
      </c>
      <c r="M179" s="1184"/>
      <c r="N179" s="439">
        <f>SUM(N177:N178)</f>
        <v>0</v>
      </c>
    </row>
    <row r="180" spans="1:16" s="8" customFormat="1" ht="22.5" customHeight="1" x14ac:dyDescent="0.3">
      <c r="A180" s="583">
        <v>171</v>
      </c>
      <c r="B180" s="164"/>
      <c r="C180" s="161">
        <v>30</v>
      </c>
      <c r="D180" s="576" t="s">
        <v>517</v>
      </c>
      <c r="E180" s="163">
        <v>2500</v>
      </c>
      <c r="F180" s="163">
        <v>5000</v>
      </c>
      <c r="G180" s="1746">
        <v>3250</v>
      </c>
      <c r="H180" s="598" t="s">
        <v>24</v>
      </c>
      <c r="I180" s="1183"/>
      <c r="J180" s="167"/>
      <c r="K180" s="167"/>
      <c r="L180" s="167"/>
      <c r="M180" s="167"/>
      <c r="N180" s="168"/>
    </row>
    <row r="181" spans="1:16" s="8" customFormat="1" ht="22.5" customHeight="1" x14ac:dyDescent="0.3">
      <c r="A181" s="583">
        <v>172</v>
      </c>
      <c r="B181" s="181"/>
      <c r="C181" s="161">
        <v>31</v>
      </c>
      <c r="D181" s="576" t="s">
        <v>552</v>
      </c>
      <c r="E181" s="195"/>
      <c r="F181" s="195">
        <v>20000</v>
      </c>
      <c r="G181" s="1745">
        <v>16160</v>
      </c>
      <c r="H181" s="598" t="s">
        <v>24</v>
      </c>
      <c r="I181" s="566"/>
      <c r="J181" s="194"/>
      <c r="K181" s="194"/>
      <c r="L181" s="194"/>
      <c r="M181" s="194"/>
      <c r="N181" s="200"/>
    </row>
    <row r="182" spans="1:16" s="1193" customFormat="1" ht="18" customHeight="1" x14ac:dyDescent="0.3">
      <c r="A182" s="583">
        <v>173</v>
      </c>
      <c r="B182" s="1210"/>
      <c r="C182" s="1189"/>
      <c r="D182" s="1190" t="s">
        <v>308</v>
      </c>
      <c r="E182" s="1195"/>
      <c r="F182" s="1195"/>
      <c r="G182" s="1751"/>
      <c r="H182" s="1192"/>
      <c r="I182" s="1183">
        <f t="shared" si="44"/>
        <v>20000</v>
      </c>
      <c r="J182" s="1197"/>
      <c r="K182" s="1197"/>
      <c r="L182" s="1197"/>
      <c r="M182" s="1197"/>
      <c r="N182" s="1198">
        <v>20000</v>
      </c>
    </row>
    <row r="183" spans="1:16" s="1193" customFormat="1" ht="18" customHeight="1" x14ac:dyDescent="0.3">
      <c r="A183" s="583">
        <v>174</v>
      </c>
      <c r="B183" s="1210"/>
      <c r="C183" s="1189"/>
      <c r="D183" s="576" t="s">
        <v>1158</v>
      </c>
      <c r="E183" s="1195"/>
      <c r="F183" s="1195"/>
      <c r="G183" s="1751"/>
      <c r="H183" s="1192"/>
      <c r="I183" s="566">
        <f t="shared" si="44"/>
        <v>0</v>
      </c>
      <c r="J183" s="1197"/>
      <c r="K183" s="1197"/>
      <c r="L183" s="1197"/>
      <c r="M183" s="1197"/>
      <c r="N183" s="1320">
        <v>0</v>
      </c>
    </row>
    <row r="184" spans="1:16" s="1193" customFormat="1" ht="18" customHeight="1" x14ac:dyDescent="0.3">
      <c r="A184" s="583">
        <v>175</v>
      </c>
      <c r="B184" s="1210"/>
      <c r="C184" s="1189"/>
      <c r="D184" s="1318" t="s">
        <v>969</v>
      </c>
      <c r="E184" s="1195"/>
      <c r="F184" s="1195"/>
      <c r="G184" s="1751"/>
      <c r="H184" s="1192"/>
      <c r="I184" s="1321">
        <f t="shared" si="44"/>
        <v>0</v>
      </c>
      <c r="J184" s="1319"/>
      <c r="K184" s="1319"/>
      <c r="L184" s="1319"/>
      <c r="M184" s="1319"/>
      <c r="N184" s="622"/>
    </row>
    <row r="185" spans="1:16" s="1193" customFormat="1" ht="18" customHeight="1" x14ac:dyDescent="0.3">
      <c r="A185" s="583">
        <v>176</v>
      </c>
      <c r="B185" s="1210"/>
      <c r="C185" s="1189"/>
      <c r="D185" s="576" t="s">
        <v>1250</v>
      </c>
      <c r="E185" s="1195"/>
      <c r="F185" s="1195"/>
      <c r="G185" s="1751"/>
      <c r="H185" s="1192"/>
      <c r="I185" s="566">
        <f t="shared" si="44"/>
        <v>0</v>
      </c>
      <c r="J185" s="1319"/>
      <c r="K185" s="1319"/>
      <c r="L185" s="1319"/>
      <c r="M185" s="1319"/>
      <c r="N185" s="1320">
        <f>SUM(N183:N184)</f>
        <v>0</v>
      </c>
    </row>
    <row r="186" spans="1:16" s="183" customFormat="1" ht="22.5" customHeight="1" x14ac:dyDescent="0.3">
      <c r="A186" s="583">
        <v>177</v>
      </c>
      <c r="B186" s="182"/>
      <c r="C186" s="161">
        <v>32</v>
      </c>
      <c r="D186" s="577" t="s">
        <v>271</v>
      </c>
      <c r="E186" s="195">
        <v>45000</v>
      </c>
      <c r="F186" s="195">
        <v>45000</v>
      </c>
      <c r="G186" s="1745">
        <v>45000</v>
      </c>
      <c r="H186" s="598" t="s">
        <v>24</v>
      </c>
      <c r="I186" s="1183"/>
      <c r="J186" s="194"/>
      <c r="K186" s="194"/>
      <c r="L186" s="194"/>
      <c r="M186" s="194"/>
      <c r="N186" s="200"/>
      <c r="O186" s="156"/>
      <c r="P186" s="8"/>
    </row>
    <row r="187" spans="1:16" s="183" customFormat="1" ht="18" customHeight="1" x14ac:dyDescent="0.3">
      <c r="A187" s="583">
        <v>178</v>
      </c>
      <c r="B187" s="182"/>
      <c r="C187" s="161"/>
      <c r="D187" s="576" t="s">
        <v>1158</v>
      </c>
      <c r="E187" s="195"/>
      <c r="F187" s="195"/>
      <c r="G187" s="1745"/>
      <c r="H187" s="598"/>
      <c r="I187" s="566">
        <f t="shared" si="44"/>
        <v>45000</v>
      </c>
      <c r="J187" s="194"/>
      <c r="K187" s="194"/>
      <c r="L187" s="194"/>
      <c r="M187" s="194"/>
      <c r="N187" s="1320">
        <v>45000</v>
      </c>
      <c r="O187" s="156"/>
      <c r="P187" s="8"/>
    </row>
    <row r="188" spans="1:16" s="183" customFormat="1" ht="18" customHeight="1" x14ac:dyDescent="0.3">
      <c r="A188" s="583">
        <v>179</v>
      </c>
      <c r="B188" s="182"/>
      <c r="C188" s="161"/>
      <c r="D188" s="1318" t="s">
        <v>969</v>
      </c>
      <c r="E188" s="195"/>
      <c r="F188" s="195"/>
      <c r="G188" s="1745"/>
      <c r="H188" s="598"/>
      <c r="I188" s="1321">
        <f t="shared" si="44"/>
        <v>0</v>
      </c>
      <c r="J188" s="194"/>
      <c r="K188" s="194"/>
      <c r="L188" s="194"/>
      <c r="M188" s="194"/>
      <c r="N188" s="622"/>
      <c r="O188" s="156"/>
      <c r="P188" s="8"/>
    </row>
    <row r="189" spans="1:16" s="183" customFormat="1" ht="18" customHeight="1" x14ac:dyDescent="0.3">
      <c r="A189" s="583">
        <v>180</v>
      </c>
      <c r="B189" s="182"/>
      <c r="C189" s="161"/>
      <c r="D189" s="576" t="s">
        <v>1250</v>
      </c>
      <c r="E189" s="195"/>
      <c r="F189" s="195"/>
      <c r="G189" s="1745"/>
      <c r="H189" s="598"/>
      <c r="I189" s="566">
        <f t="shared" si="44"/>
        <v>45000</v>
      </c>
      <c r="J189" s="194"/>
      <c r="K189" s="194"/>
      <c r="L189" s="194"/>
      <c r="M189" s="194"/>
      <c r="N189" s="1320">
        <f>SUM(N187:N188)</f>
        <v>45000</v>
      </c>
      <c r="O189" s="156"/>
      <c r="P189" s="8"/>
    </row>
    <row r="190" spans="1:16" s="3" customFormat="1" ht="22.5" customHeight="1" x14ac:dyDescent="0.3">
      <c r="A190" s="583">
        <v>181</v>
      </c>
      <c r="B190" s="160"/>
      <c r="C190" s="161">
        <v>33</v>
      </c>
      <c r="D190" s="577" t="s">
        <v>280</v>
      </c>
      <c r="E190" s="163"/>
      <c r="F190" s="163"/>
      <c r="G190" s="1746"/>
      <c r="H190" s="598" t="s">
        <v>24</v>
      </c>
      <c r="I190" s="566"/>
      <c r="J190" s="167"/>
      <c r="K190" s="167"/>
      <c r="L190" s="167"/>
      <c r="M190" s="167"/>
      <c r="N190" s="168"/>
      <c r="P190" s="8"/>
    </row>
    <row r="191" spans="1:16" s="1193" customFormat="1" ht="18" customHeight="1" x14ac:dyDescent="0.3">
      <c r="A191" s="583">
        <v>182</v>
      </c>
      <c r="B191" s="1188"/>
      <c r="C191" s="1189"/>
      <c r="D191" s="1190" t="s">
        <v>308</v>
      </c>
      <c r="E191" s="1191"/>
      <c r="F191" s="1191"/>
      <c r="G191" s="1748"/>
      <c r="H191" s="1192"/>
      <c r="I191" s="1183">
        <f t="shared" si="44"/>
        <v>2500</v>
      </c>
      <c r="J191" s="1184"/>
      <c r="K191" s="1184"/>
      <c r="L191" s="1184"/>
      <c r="M191" s="1184"/>
      <c r="N191" s="1185">
        <v>2500</v>
      </c>
    </row>
    <row r="192" spans="1:16" s="1193" customFormat="1" ht="18" customHeight="1" x14ac:dyDescent="0.3">
      <c r="A192" s="583">
        <v>183</v>
      </c>
      <c r="B192" s="1188"/>
      <c r="C192" s="1189"/>
      <c r="D192" s="576" t="s">
        <v>1158</v>
      </c>
      <c r="E192" s="1191"/>
      <c r="F192" s="1191"/>
      <c r="G192" s="1748"/>
      <c r="H192" s="1192"/>
      <c r="I192" s="566">
        <f t="shared" si="44"/>
        <v>2500</v>
      </c>
      <c r="J192" s="1184"/>
      <c r="K192" s="1184"/>
      <c r="L192" s="1184"/>
      <c r="M192" s="1184"/>
      <c r="N192" s="439">
        <v>2500</v>
      </c>
    </row>
    <row r="193" spans="1:16" s="1193" customFormat="1" ht="18" customHeight="1" x14ac:dyDescent="0.3">
      <c r="A193" s="583">
        <v>184</v>
      </c>
      <c r="B193" s="1188"/>
      <c r="C193" s="1189"/>
      <c r="D193" s="1318" t="s">
        <v>947</v>
      </c>
      <c r="E193" s="1191"/>
      <c r="F193" s="1191"/>
      <c r="G193" s="1748"/>
      <c r="H193" s="1192"/>
      <c r="I193" s="1321">
        <f t="shared" si="44"/>
        <v>0</v>
      </c>
      <c r="J193" s="184"/>
      <c r="K193" s="184"/>
      <c r="L193" s="184"/>
      <c r="M193" s="184"/>
      <c r="N193" s="185"/>
    </row>
    <row r="194" spans="1:16" s="1193" customFormat="1" ht="18" customHeight="1" x14ac:dyDescent="0.3">
      <c r="A194" s="583">
        <v>185</v>
      </c>
      <c r="B194" s="1188"/>
      <c r="C194" s="1189"/>
      <c r="D194" s="576" t="s">
        <v>1250</v>
      </c>
      <c r="E194" s="1191"/>
      <c r="F194" s="1191"/>
      <c r="G194" s="1748"/>
      <c r="H194" s="1192"/>
      <c r="I194" s="566">
        <f t="shared" si="44"/>
        <v>2500</v>
      </c>
      <c r="J194" s="443"/>
      <c r="K194" s="443"/>
      <c r="L194" s="443"/>
      <c r="M194" s="443"/>
      <c r="N194" s="439">
        <f>SUM(N192:N193)</f>
        <v>2500</v>
      </c>
    </row>
    <row r="195" spans="1:16" s="3" customFormat="1" ht="22.5" customHeight="1" x14ac:dyDescent="0.3">
      <c r="A195" s="583">
        <v>186</v>
      </c>
      <c r="B195" s="160"/>
      <c r="C195" s="161">
        <v>34</v>
      </c>
      <c r="D195" s="577" t="s">
        <v>66</v>
      </c>
      <c r="E195" s="163">
        <v>316697</v>
      </c>
      <c r="F195" s="163">
        <v>375300</v>
      </c>
      <c r="G195" s="1746">
        <v>378297</v>
      </c>
      <c r="H195" s="598" t="s">
        <v>24</v>
      </c>
      <c r="I195" s="566"/>
      <c r="J195" s="167"/>
      <c r="K195" s="167"/>
      <c r="L195" s="167"/>
      <c r="M195" s="167"/>
      <c r="N195" s="168"/>
      <c r="P195" s="8"/>
    </row>
    <row r="196" spans="1:16" s="1193" customFormat="1" ht="18" customHeight="1" x14ac:dyDescent="0.3">
      <c r="A196" s="583">
        <v>187</v>
      </c>
      <c r="B196" s="1188"/>
      <c r="C196" s="1189"/>
      <c r="D196" s="1190" t="s">
        <v>308</v>
      </c>
      <c r="E196" s="1191"/>
      <c r="F196" s="1191"/>
      <c r="G196" s="1748"/>
      <c r="H196" s="1192"/>
      <c r="I196" s="1183">
        <f>SUM(J196:N196)</f>
        <v>392700</v>
      </c>
      <c r="J196" s="1184"/>
      <c r="K196" s="1184"/>
      <c r="L196" s="1184">
        <v>140000</v>
      </c>
      <c r="M196" s="1184"/>
      <c r="N196" s="1185">
        <f>392700-140000</f>
        <v>252700</v>
      </c>
    </row>
    <row r="197" spans="1:16" s="1193" customFormat="1" ht="18" customHeight="1" x14ac:dyDescent="0.3">
      <c r="A197" s="583">
        <v>188</v>
      </c>
      <c r="B197" s="1188"/>
      <c r="C197" s="1189"/>
      <c r="D197" s="576" t="s">
        <v>1158</v>
      </c>
      <c r="E197" s="1191"/>
      <c r="F197" s="1191"/>
      <c r="G197" s="1748"/>
      <c r="H197" s="1192"/>
      <c r="I197" s="566">
        <f>SUM(J197:N197)</f>
        <v>185276</v>
      </c>
      <c r="J197" s="1184"/>
      <c r="K197" s="1184"/>
      <c r="L197" s="443">
        <f>71576-1076</f>
        <v>70500</v>
      </c>
      <c r="M197" s="443"/>
      <c r="N197" s="439">
        <f>113700+1076</f>
        <v>114776</v>
      </c>
    </row>
    <row r="198" spans="1:16" s="1193" customFormat="1" ht="18" customHeight="1" x14ac:dyDescent="0.3">
      <c r="A198" s="583">
        <v>189</v>
      </c>
      <c r="B198" s="1188"/>
      <c r="C198" s="1189"/>
      <c r="D198" s="1318" t="s">
        <v>969</v>
      </c>
      <c r="E198" s="1191"/>
      <c r="F198" s="1191"/>
      <c r="G198" s="1748"/>
      <c r="H198" s="1192"/>
      <c r="I198" s="1321">
        <f t="shared" ref="I198" si="45">SUM(J198:N198)</f>
        <v>0</v>
      </c>
      <c r="J198" s="184"/>
      <c r="K198" s="184"/>
      <c r="L198" s="184"/>
      <c r="M198" s="184"/>
      <c r="N198" s="185"/>
    </row>
    <row r="199" spans="1:16" s="1193" customFormat="1" ht="18" customHeight="1" x14ac:dyDescent="0.3">
      <c r="A199" s="583">
        <v>190</v>
      </c>
      <c r="B199" s="1188"/>
      <c r="C199" s="1189"/>
      <c r="D199" s="576" t="s">
        <v>1250</v>
      </c>
      <c r="E199" s="1191"/>
      <c r="F199" s="1191"/>
      <c r="G199" s="1748"/>
      <c r="H199" s="1192"/>
      <c r="I199" s="566">
        <f>SUM(J199:N199)</f>
        <v>185276</v>
      </c>
      <c r="J199" s="443"/>
      <c r="K199" s="443"/>
      <c r="L199" s="443">
        <f>SUM(L197:L198)</f>
        <v>70500</v>
      </c>
      <c r="M199" s="443"/>
      <c r="N199" s="439">
        <f>SUM(N197:N198)</f>
        <v>114776</v>
      </c>
    </row>
    <row r="200" spans="1:16" s="3" customFormat="1" ht="22.5" customHeight="1" x14ac:dyDescent="0.3">
      <c r="A200" s="583">
        <v>191</v>
      </c>
      <c r="B200" s="160"/>
      <c r="C200" s="161">
        <v>35</v>
      </c>
      <c r="D200" s="577" t="s">
        <v>67</v>
      </c>
      <c r="E200" s="163">
        <v>2000</v>
      </c>
      <c r="F200" s="163">
        <v>2600</v>
      </c>
      <c r="G200" s="1746">
        <v>2600</v>
      </c>
      <c r="H200" s="598" t="s">
        <v>23</v>
      </c>
      <c r="I200" s="566"/>
      <c r="J200" s="167"/>
      <c r="K200" s="167"/>
      <c r="L200" s="167"/>
      <c r="M200" s="167"/>
      <c r="N200" s="168"/>
      <c r="P200" s="8"/>
    </row>
    <row r="201" spans="1:16" s="1193" customFormat="1" ht="18" customHeight="1" x14ac:dyDescent="0.3">
      <c r="A201" s="583">
        <v>192</v>
      </c>
      <c r="B201" s="1188"/>
      <c r="C201" s="1189"/>
      <c r="D201" s="1190" t="s">
        <v>308</v>
      </c>
      <c r="E201" s="1191"/>
      <c r="F201" s="1191"/>
      <c r="G201" s="1748"/>
      <c r="H201" s="1192"/>
      <c r="I201" s="1183">
        <f>SUM(J201:N201)</f>
        <v>2210</v>
      </c>
      <c r="J201" s="1184"/>
      <c r="K201" s="1184"/>
      <c r="L201" s="1184">
        <v>2210</v>
      </c>
      <c r="M201" s="1184"/>
      <c r="N201" s="1185"/>
    </row>
    <row r="202" spans="1:16" s="1193" customFormat="1" ht="18" customHeight="1" x14ac:dyDescent="0.3">
      <c r="A202" s="583">
        <v>193</v>
      </c>
      <c r="B202" s="1188"/>
      <c r="C202" s="1189"/>
      <c r="D202" s="576" t="s">
        <v>1158</v>
      </c>
      <c r="E202" s="1191"/>
      <c r="F202" s="1191"/>
      <c r="G202" s="1748"/>
      <c r="H202" s="1192"/>
      <c r="I202" s="566">
        <f t="shared" ref="I202:I204" si="46">SUM(J202:N202)</f>
        <v>2210</v>
      </c>
      <c r="J202" s="1184"/>
      <c r="K202" s="1184"/>
      <c r="L202" s="443">
        <v>2210</v>
      </c>
      <c r="M202" s="1184"/>
      <c r="N202" s="1185"/>
    </row>
    <row r="203" spans="1:16" s="1193" customFormat="1" ht="18" customHeight="1" x14ac:dyDescent="0.3">
      <c r="A203" s="583">
        <v>194</v>
      </c>
      <c r="B203" s="1188"/>
      <c r="C203" s="1189"/>
      <c r="D203" s="1318" t="s">
        <v>947</v>
      </c>
      <c r="E203" s="1191"/>
      <c r="F203" s="1191"/>
      <c r="G203" s="1748"/>
      <c r="H203" s="1192"/>
      <c r="I203" s="566">
        <f t="shared" si="46"/>
        <v>0</v>
      </c>
      <c r="J203" s="443"/>
      <c r="K203" s="443"/>
      <c r="L203" s="443"/>
      <c r="M203" s="443"/>
      <c r="N203" s="439"/>
    </row>
    <row r="204" spans="1:16" s="1193" customFormat="1" ht="18" customHeight="1" x14ac:dyDescent="0.3">
      <c r="A204" s="583">
        <v>195</v>
      </c>
      <c r="B204" s="1188"/>
      <c r="C204" s="1189"/>
      <c r="D204" s="576" t="s">
        <v>1250</v>
      </c>
      <c r="E204" s="1191"/>
      <c r="F204" s="1191"/>
      <c r="G204" s="1748"/>
      <c r="H204" s="1192"/>
      <c r="I204" s="566">
        <f t="shared" si="46"/>
        <v>2210</v>
      </c>
      <c r="J204" s="443"/>
      <c r="K204" s="443"/>
      <c r="L204" s="443">
        <f>SUM(L202:L203)</f>
        <v>2210</v>
      </c>
      <c r="M204" s="443"/>
      <c r="N204" s="439"/>
    </row>
    <row r="205" spans="1:16" s="3" customFormat="1" ht="22.5" customHeight="1" x14ac:dyDescent="0.3">
      <c r="A205" s="583">
        <v>196</v>
      </c>
      <c r="B205" s="160"/>
      <c r="C205" s="161">
        <v>36</v>
      </c>
      <c r="D205" s="577" t="s">
        <v>68</v>
      </c>
      <c r="E205" s="163">
        <v>9486</v>
      </c>
      <c r="F205" s="163">
        <v>9000</v>
      </c>
      <c r="G205" s="1746">
        <v>7884</v>
      </c>
      <c r="H205" s="598" t="s">
        <v>23</v>
      </c>
      <c r="I205" s="566"/>
      <c r="J205" s="167"/>
      <c r="K205" s="167"/>
      <c r="L205" s="167"/>
      <c r="M205" s="167"/>
      <c r="N205" s="168"/>
      <c r="P205" s="8"/>
    </row>
    <row r="206" spans="1:16" s="1193" customFormat="1" ht="18" customHeight="1" x14ac:dyDescent="0.3">
      <c r="A206" s="583">
        <v>197</v>
      </c>
      <c r="B206" s="1188"/>
      <c r="C206" s="1189"/>
      <c r="D206" s="1190" t="s">
        <v>308</v>
      </c>
      <c r="E206" s="1191"/>
      <c r="F206" s="1191"/>
      <c r="G206" s="1748"/>
      <c r="H206" s="1192"/>
      <c r="I206" s="1183">
        <f>SUM(J206:N206)</f>
        <v>7650</v>
      </c>
      <c r="J206" s="1184"/>
      <c r="K206" s="1184"/>
      <c r="L206" s="1184">
        <v>7650</v>
      </c>
      <c r="M206" s="1184"/>
      <c r="N206" s="1185"/>
    </row>
    <row r="207" spans="1:16" s="1193" customFormat="1" ht="18" customHeight="1" x14ac:dyDescent="0.3">
      <c r="A207" s="583">
        <v>198</v>
      </c>
      <c r="B207" s="1188"/>
      <c r="C207" s="1189"/>
      <c r="D207" s="576" t="s">
        <v>1158</v>
      </c>
      <c r="E207" s="1191"/>
      <c r="F207" s="1191"/>
      <c r="G207" s="1748"/>
      <c r="H207" s="1192"/>
      <c r="I207" s="566">
        <f t="shared" ref="I207:I209" si="47">SUM(J207:N207)</f>
        <v>6030</v>
      </c>
      <c r="J207" s="1184"/>
      <c r="K207" s="1184"/>
      <c r="L207" s="443">
        <v>4530</v>
      </c>
      <c r="M207" s="443"/>
      <c r="N207" s="439">
        <v>1500</v>
      </c>
    </row>
    <row r="208" spans="1:16" s="1193" customFormat="1" ht="18" customHeight="1" x14ac:dyDescent="0.3">
      <c r="A208" s="583">
        <v>199</v>
      </c>
      <c r="B208" s="1188"/>
      <c r="C208" s="1189"/>
      <c r="D208" s="1318" t="s">
        <v>969</v>
      </c>
      <c r="E208" s="1191"/>
      <c r="F208" s="1191"/>
      <c r="G208" s="1748"/>
      <c r="H208" s="1192"/>
      <c r="I208" s="566">
        <f t="shared" si="47"/>
        <v>0</v>
      </c>
      <c r="J208" s="443"/>
      <c r="K208" s="443"/>
      <c r="L208" s="184"/>
      <c r="M208" s="184"/>
      <c r="N208" s="185"/>
    </row>
    <row r="209" spans="1:16" s="1193" customFormat="1" ht="18" customHeight="1" x14ac:dyDescent="0.3">
      <c r="A209" s="583">
        <v>200</v>
      </c>
      <c r="B209" s="1188"/>
      <c r="C209" s="1189"/>
      <c r="D209" s="576" t="s">
        <v>1250</v>
      </c>
      <c r="E209" s="1191"/>
      <c r="F209" s="1191"/>
      <c r="G209" s="1748"/>
      <c r="H209" s="1192"/>
      <c r="I209" s="566">
        <f t="shared" si="47"/>
        <v>6030</v>
      </c>
      <c r="J209" s="443"/>
      <c r="K209" s="443"/>
      <c r="L209" s="443">
        <f>SUM(L207:L208)</f>
        <v>4530</v>
      </c>
      <c r="M209" s="443"/>
      <c r="N209" s="439">
        <f>SUM(N207:N208)</f>
        <v>1500</v>
      </c>
    </row>
    <row r="210" spans="1:16" s="8" customFormat="1" ht="22.5" customHeight="1" x14ac:dyDescent="0.3">
      <c r="A210" s="583">
        <v>201</v>
      </c>
      <c r="B210" s="164"/>
      <c r="C210" s="161">
        <v>37</v>
      </c>
      <c r="D210" s="576" t="s">
        <v>437</v>
      </c>
      <c r="E210" s="163">
        <v>41004</v>
      </c>
      <c r="F210" s="163">
        <v>52450</v>
      </c>
      <c r="G210" s="1746">
        <v>43834</v>
      </c>
      <c r="H210" s="598" t="s">
        <v>23</v>
      </c>
      <c r="I210" s="566"/>
      <c r="J210" s="167"/>
      <c r="K210" s="167"/>
      <c r="L210" s="167"/>
      <c r="M210" s="167"/>
      <c r="N210" s="168"/>
    </row>
    <row r="211" spans="1:16" s="1193" customFormat="1" ht="18" customHeight="1" x14ac:dyDescent="0.3">
      <c r="A211" s="583">
        <v>202</v>
      </c>
      <c r="B211" s="1188"/>
      <c r="C211" s="1189"/>
      <c r="D211" s="1190" t="s">
        <v>308</v>
      </c>
      <c r="E211" s="1191"/>
      <c r="F211" s="1191"/>
      <c r="G211" s="1748"/>
      <c r="H211" s="1192"/>
      <c r="I211" s="1183">
        <f>SUM(J211:N211)</f>
        <v>46997</v>
      </c>
      <c r="J211" s="1184"/>
      <c r="K211" s="1184"/>
      <c r="L211" s="1184">
        <v>46997</v>
      </c>
      <c r="M211" s="1184"/>
      <c r="N211" s="1185"/>
    </row>
    <row r="212" spans="1:16" s="1193" customFormat="1" ht="18" customHeight="1" x14ac:dyDescent="0.3">
      <c r="A212" s="583">
        <v>203</v>
      </c>
      <c r="B212" s="1188"/>
      <c r="C212" s="1189"/>
      <c r="D212" s="576" t="s">
        <v>1158</v>
      </c>
      <c r="E212" s="1191"/>
      <c r="F212" s="1191"/>
      <c r="G212" s="1748"/>
      <c r="H212" s="1192"/>
      <c r="I212" s="566">
        <f t="shared" ref="I212:I214" si="48">SUM(J212:N212)</f>
        <v>56997</v>
      </c>
      <c r="J212" s="1184"/>
      <c r="K212" s="1184"/>
      <c r="L212" s="443">
        <v>56997</v>
      </c>
      <c r="M212" s="1184"/>
      <c r="N212" s="1185"/>
    </row>
    <row r="213" spans="1:16" s="1193" customFormat="1" ht="18" customHeight="1" x14ac:dyDescent="0.3">
      <c r="A213" s="583">
        <v>204</v>
      </c>
      <c r="B213" s="1188"/>
      <c r="C213" s="1189"/>
      <c r="D213" s="1318" t="s">
        <v>969</v>
      </c>
      <c r="E213" s="1191"/>
      <c r="F213" s="1191"/>
      <c r="G213" s="1748"/>
      <c r="H213" s="1192"/>
      <c r="I213" s="1321">
        <f t="shared" si="48"/>
        <v>0</v>
      </c>
      <c r="J213" s="184"/>
      <c r="K213" s="184"/>
      <c r="L213" s="184"/>
      <c r="M213" s="184"/>
      <c r="N213" s="185"/>
    </row>
    <row r="214" spans="1:16" s="1193" customFormat="1" ht="18" customHeight="1" x14ac:dyDescent="0.3">
      <c r="A214" s="583">
        <v>205</v>
      </c>
      <c r="B214" s="1188"/>
      <c r="C214" s="1189"/>
      <c r="D214" s="576" t="s">
        <v>1250</v>
      </c>
      <c r="E214" s="1191"/>
      <c r="F214" s="1191"/>
      <c r="G214" s="1748"/>
      <c r="H214" s="1192"/>
      <c r="I214" s="566">
        <f t="shared" si="48"/>
        <v>56997</v>
      </c>
      <c r="J214" s="443"/>
      <c r="K214" s="443"/>
      <c r="L214" s="443">
        <f>SUM(L212:L213)</f>
        <v>56997</v>
      </c>
      <c r="M214" s="443"/>
      <c r="N214" s="439"/>
    </row>
    <row r="215" spans="1:16" s="3" customFormat="1" ht="22.5" customHeight="1" x14ac:dyDescent="0.3">
      <c r="A215" s="583">
        <v>206</v>
      </c>
      <c r="B215" s="160"/>
      <c r="C215" s="161">
        <v>38</v>
      </c>
      <c r="D215" s="577" t="s">
        <v>69</v>
      </c>
      <c r="E215" s="163">
        <v>4781</v>
      </c>
      <c r="F215" s="163">
        <v>2500</v>
      </c>
      <c r="G215" s="1746">
        <v>2920</v>
      </c>
      <c r="H215" s="598" t="s">
        <v>23</v>
      </c>
      <c r="I215" s="569"/>
      <c r="J215" s="174"/>
      <c r="K215" s="174"/>
      <c r="L215" s="174"/>
      <c r="M215" s="174"/>
      <c r="N215" s="175"/>
      <c r="O215" s="8"/>
      <c r="P215" s="8"/>
    </row>
    <row r="216" spans="1:16" s="1193" customFormat="1" ht="18" customHeight="1" x14ac:dyDescent="0.3">
      <c r="A216" s="583">
        <v>207</v>
      </c>
      <c r="B216" s="1188"/>
      <c r="C216" s="1189"/>
      <c r="D216" s="1190" t="s">
        <v>308</v>
      </c>
      <c r="E216" s="1191"/>
      <c r="F216" s="1191"/>
      <c r="G216" s="1748"/>
      <c r="H216" s="1192"/>
      <c r="I216" s="1183">
        <f>SUM(J216:N216)</f>
        <v>2125</v>
      </c>
      <c r="J216" s="1184"/>
      <c r="K216" s="1184"/>
      <c r="L216" s="1184">
        <v>2125</v>
      </c>
      <c r="M216" s="1184"/>
      <c r="N216" s="1185"/>
    </row>
    <row r="217" spans="1:16" s="1193" customFormat="1" ht="18" customHeight="1" x14ac:dyDescent="0.3">
      <c r="A217" s="583">
        <v>208</v>
      </c>
      <c r="B217" s="1188"/>
      <c r="C217" s="1189"/>
      <c r="D217" s="576" t="s">
        <v>1158</v>
      </c>
      <c r="E217" s="1191"/>
      <c r="F217" s="1191"/>
      <c r="G217" s="1748"/>
      <c r="H217" s="1192"/>
      <c r="I217" s="566">
        <f t="shared" ref="I217:I219" si="49">SUM(J217:N217)</f>
        <v>2125</v>
      </c>
      <c r="J217" s="1184"/>
      <c r="K217" s="1184"/>
      <c r="L217" s="443">
        <v>1125</v>
      </c>
      <c r="M217" s="1184"/>
      <c r="N217" s="439">
        <v>1000</v>
      </c>
    </row>
    <row r="218" spans="1:16" s="1193" customFormat="1" ht="18" customHeight="1" x14ac:dyDescent="0.3">
      <c r="A218" s="583">
        <v>209</v>
      </c>
      <c r="B218" s="1188"/>
      <c r="C218" s="1189"/>
      <c r="D218" s="1318" t="s">
        <v>969</v>
      </c>
      <c r="E218" s="1191"/>
      <c r="F218" s="1191"/>
      <c r="G218" s="1748"/>
      <c r="H218" s="1192"/>
      <c r="I218" s="1321">
        <f t="shared" si="49"/>
        <v>0</v>
      </c>
      <c r="J218" s="184"/>
      <c r="K218" s="184"/>
      <c r="L218" s="184"/>
      <c r="M218" s="184"/>
      <c r="N218" s="185"/>
    </row>
    <row r="219" spans="1:16" s="1193" customFormat="1" ht="18" customHeight="1" x14ac:dyDescent="0.3">
      <c r="A219" s="583">
        <v>210</v>
      </c>
      <c r="B219" s="1188"/>
      <c r="C219" s="1189"/>
      <c r="D219" s="576" t="s">
        <v>1250</v>
      </c>
      <c r="E219" s="1191"/>
      <c r="F219" s="1191"/>
      <c r="G219" s="1748"/>
      <c r="H219" s="1192"/>
      <c r="I219" s="566">
        <f t="shared" si="49"/>
        <v>2125</v>
      </c>
      <c r="J219" s="443"/>
      <c r="K219" s="443"/>
      <c r="L219" s="443">
        <f>SUM(L217:L218)</f>
        <v>1125</v>
      </c>
      <c r="M219" s="443"/>
      <c r="N219" s="439">
        <f>SUM(N217:N218)</f>
        <v>1000</v>
      </c>
    </row>
    <row r="220" spans="1:16" s="2026" customFormat="1" ht="22.5" customHeight="1" x14ac:dyDescent="0.35">
      <c r="A220" s="583">
        <v>211</v>
      </c>
      <c r="B220" s="578"/>
      <c r="C220" s="161">
        <v>39</v>
      </c>
      <c r="D220" s="577" t="s">
        <v>11</v>
      </c>
      <c r="E220" s="163">
        <v>37560</v>
      </c>
      <c r="F220" s="163">
        <v>38100</v>
      </c>
      <c r="G220" s="1746">
        <v>38100</v>
      </c>
      <c r="H220" s="598" t="s">
        <v>24</v>
      </c>
      <c r="I220" s="569"/>
      <c r="J220" s="174"/>
      <c r="K220" s="174"/>
      <c r="L220" s="174"/>
      <c r="M220" s="174"/>
      <c r="N220" s="175"/>
      <c r="O220" s="2027"/>
      <c r="P220" s="2027"/>
    </row>
    <row r="221" spans="1:16" s="1193" customFormat="1" ht="18" customHeight="1" x14ac:dyDescent="0.3">
      <c r="A221" s="583">
        <v>212</v>
      </c>
      <c r="B221" s="1188"/>
      <c r="C221" s="1189"/>
      <c r="D221" s="1190" t="s">
        <v>308</v>
      </c>
      <c r="E221" s="1191"/>
      <c r="F221" s="1191"/>
      <c r="G221" s="1748"/>
      <c r="H221" s="1192"/>
      <c r="I221" s="1183">
        <f>SUM(J221:N221)</f>
        <v>38100</v>
      </c>
      <c r="J221" s="1184"/>
      <c r="K221" s="1184"/>
      <c r="L221" s="1184">
        <v>38100</v>
      </c>
      <c r="M221" s="1184"/>
      <c r="N221" s="1185"/>
    </row>
    <row r="222" spans="1:16" s="1193" customFormat="1" ht="18" customHeight="1" x14ac:dyDescent="0.3">
      <c r="A222" s="583">
        <v>213</v>
      </c>
      <c r="B222" s="1188"/>
      <c r="C222" s="1189"/>
      <c r="D222" s="576" t="s">
        <v>1158</v>
      </c>
      <c r="E222" s="1191"/>
      <c r="F222" s="1191"/>
      <c r="G222" s="1748"/>
      <c r="H222" s="1192"/>
      <c r="I222" s="566">
        <f t="shared" ref="I222:I224" si="50">SUM(J222:N222)</f>
        <v>38100</v>
      </c>
      <c r="J222" s="1184"/>
      <c r="K222" s="1184"/>
      <c r="L222" s="443">
        <v>38100</v>
      </c>
      <c r="M222" s="1184"/>
      <c r="N222" s="1185"/>
    </row>
    <row r="223" spans="1:16" s="1193" customFormat="1" ht="18" customHeight="1" x14ac:dyDescent="0.3">
      <c r="A223" s="583">
        <v>214</v>
      </c>
      <c r="B223" s="1188"/>
      <c r="C223" s="1189"/>
      <c r="D223" s="1318" t="s">
        <v>947</v>
      </c>
      <c r="E223" s="1191"/>
      <c r="F223" s="1191"/>
      <c r="G223" s="1748"/>
      <c r="H223" s="1192"/>
      <c r="I223" s="1321">
        <f t="shared" si="50"/>
        <v>0</v>
      </c>
      <c r="J223" s="184"/>
      <c r="K223" s="184"/>
      <c r="L223" s="184"/>
      <c r="M223" s="184"/>
      <c r="N223" s="185"/>
    </row>
    <row r="224" spans="1:16" s="1193" customFormat="1" ht="18" customHeight="1" x14ac:dyDescent="0.3">
      <c r="A224" s="583">
        <v>215</v>
      </c>
      <c r="B224" s="1188"/>
      <c r="C224" s="1189"/>
      <c r="D224" s="576" t="s">
        <v>1250</v>
      </c>
      <c r="E224" s="1191"/>
      <c r="F224" s="1191"/>
      <c r="G224" s="1748"/>
      <c r="H224" s="1192"/>
      <c r="I224" s="566">
        <f t="shared" si="50"/>
        <v>38100</v>
      </c>
      <c r="J224" s="443"/>
      <c r="K224" s="443"/>
      <c r="L224" s="443">
        <f>SUM(L222:L223)</f>
        <v>38100</v>
      </c>
      <c r="M224" s="443"/>
      <c r="N224" s="439"/>
    </row>
    <row r="225" spans="1:16" s="2026" customFormat="1" ht="22.5" customHeight="1" x14ac:dyDescent="0.35">
      <c r="A225" s="583">
        <v>216</v>
      </c>
      <c r="B225" s="578"/>
      <c r="C225" s="161">
        <v>40</v>
      </c>
      <c r="D225" s="577" t="s">
        <v>70</v>
      </c>
      <c r="E225" s="163">
        <v>4582</v>
      </c>
      <c r="F225" s="163">
        <v>4000</v>
      </c>
      <c r="G225" s="1746">
        <v>4366</v>
      </c>
      <c r="H225" s="598" t="s">
        <v>24</v>
      </c>
      <c r="I225" s="569"/>
      <c r="J225" s="174"/>
      <c r="K225" s="174"/>
      <c r="L225" s="174"/>
      <c r="M225" s="174"/>
      <c r="N225" s="175"/>
      <c r="O225" s="2027"/>
      <c r="P225" s="2027"/>
    </row>
    <row r="226" spans="1:16" s="1193" customFormat="1" ht="18" customHeight="1" x14ac:dyDescent="0.3">
      <c r="A226" s="583">
        <v>217</v>
      </c>
      <c r="B226" s="1188"/>
      <c r="C226" s="1189"/>
      <c r="D226" s="1190" t="s">
        <v>308</v>
      </c>
      <c r="E226" s="1191"/>
      <c r="F226" s="1191"/>
      <c r="G226" s="1748"/>
      <c r="H226" s="1192"/>
      <c r="I226" s="1183">
        <f>SUM(J226:N226)</f>
        <v>4250</v>
      </c>
      <c r="J226" s="1184"/>
      <c r="K226" s="1184"/>
      <c r="L226" s="1184">
        <v>4250</v>
      </c>
      <c r="M226" s="1184"/>
      <c r="N226" s="1185"/>
    </row>
    <row r="227" spans="1:16" s="1193" customFormat="1" ht="18" customHeight="1" x14ac:dyDescent="0.3">
      <c r="A227" s="583">
        <v>218</v>
      </c>
      <c r="B227" s="1188"/>
      <c r="C227" s="1189"/>
      <c r="D227" s="576" t="s">
        <v>1158</v>
      </c>
      <c r="E227" s="1191"/>
      <c r="F227" s="1191"/>
      <c r="G227" s="1748"/>
      <c r="H227" s="1192"/>
      <c r="I227" s="566">
        <f t="shared" ref="I227:I229" si="51">SUM(J227:N227)</f>
        <v>4050</v>
      </c>
      <c r="J227" s="1184"/>
      <c r="K227" s="1184"/>
      <c r="L227" s="443">
        <v>4050</v>
      </c>
      <c r="M227" s="1184"/>
      <c r="N227" s="1185"/>
    </row>
    <row r="228" spans="1:16" s="1193" customFormat="1" ht="18" customHeight="1" x14ac:dyDescent="0.3">
      <c r="A228" s="583">
        <v>219</v>
      </c>
      <c r="B228" s="1188"/>
      <c r="C228" s="1189"/>
      <c r="D228" s="1318" t="s">
        <v>969</v>
      </c>
      <c r="E228" s="1191"/>
      <c r="F228" s="1191"/>
      <c r="G228" s="1748"/>
      <c r="H228" s="1192"/>
      <c r="I228" s="1321">
        <f t="shared" si="51"/>
        <v>0</v>
      </c>
      <c r="J228" s="184"/>
      <c r="K228" s="184"/>
      <c r="L228" s="184"/>
      <c r="M228" s="184"/>
      <c r="N228" s="185"/>
    </row>
    <row r="229" spans="1:16" s="1193" customFormat="1" ht="18" customHeight="1" x14ac:dyDescent="0.3">
      <c r="A229" s="583">
        <v>220</v>
      </c>
      <c r="B229" s="1188"/>
      <c r="C229" s="1189"/>
      <c r="D229" s="576" t="s">
        <v>1250</v>
      </c>
      <c r="E229" s="1191"/>
      <c r="F229" s="1191"/>
      <c r="G229" s="1748"/>
      <c r="H229" s="1192"/>
      <c r="I229" s="566">
        <f t="shared" si="51"/>
        <v>4050</v>
      </c>
      <c r="J229" s="443"/>
      <c r="K229" s="443"/>
      <c r="L229" s="443">
        <f>SUM(L227:L228)</f>
        <v>4050</v>
      </c>
      <c r="M229" s="443"/>
      <c r="N229" s="439"/>
    </row>
    <row r="230" spans="1:16" s="2026" customFormat="1" ht="22.5" customHeight="1" x14ac:dyDescent="0.35">
      <c r="A230" s="583">
        <v>221</v>
      </c>
      <c r="B230" s="578"/>
      <c r="C230" s="161">
        <v>41</v>
      </c>
      <c r="D230" s="577" t="s">
        <v>71</v>
      </c>
      <c r="E230" s="163">
        <f>SUM(E235,E240,E245,E250)</f>
        <v>6198</v>
      </c>
      <c r="F230" s="163">
        <f>SUM(F235,F240,F245,F250)</f>
        <v>6100</v>
      </c>
      <c r="G230" s="1746">
        <f>SUM(G235,G240,G245,G250)</f>
        <v>6240</v>
      </c>
      <c r="H230" s="598" t="s">
        <v>24</v>
      </c>
      <c r="I230" s="569"/>
      <c r="J230" s="174"/>
      <c r="K230" s="174"/>
      <c r="L230" s="174"/>
      <c r="M230" s="174"/>
      <c r="N230" s="175"/>
      <c r="O230" s="2027"/>
      <c r="P230" s="2027"/>
    </row>
    <row r="231" spans="1:16" s="1193" customFormat="1" ht="18" customHeight="1" x14ac:dyDescent="0.3">
      <c r="A231" s="583">
        <v>222</v>
      </c>
      <c r="B231" s="1188"/>
      <c r="C231" s="1189"/>
      <c r="D231" s="1190" t="s">
        <v>308</v>
      </c>
      <c r="E231" s="1191"/>
      <c r="F231" s="1191"/>
      <c r="G231" s="1748"/>
      <c r="H231" s="1192"/>
      <c r="I231" s="1183">
        <f>SUM(J231:N231)</f>
        <v>9435</v>
      </c>
      <c r="J231" s="1187">
        <f t="shared" ref="J231:N232" si="52">SUM(J236,J241,J246,J251)</f>
        <v>0</v>
      </c>
      <c r="K231" s="1187">
        <f t="shared" si="52"/>
        <v>0</v>
      </c>
      <c r="L231" s="1187">
        <f t="shared" si="52"/>
        <v>425</v>
      </c>
      <c r="M231" s="1187">
        <f t="shared" si="52"/>
        <v>0</v>
      </c>
      <c r="N231" s="1185">
        <f t="shared" si="52"/>
        <v>9010</v>
      </c>
    </row>
    <row r="232" spans="1:16" s="1193" customFormat="1" ht="18" customHeight="1" x14ac:dyDescent="0.3">
      <c r="A232" s="583">
        <v>223</v>
      </c>
      <c r="B232" s="1188"/>
      <c r="C232" s="1189"/>
      <c r="D232" s="576" t="s">
        <v>1158</v>
      </c>
      <c r="E232" s="1191"/>
      <c r="F232" s="1191"/>
      <c r="G232" s="1748"/>
      <c r="H232" s="1192"/>
      <c r="I232" s="566">
        <f t="shared" ref="I232:I234" si="53">SUM(J232:N232)</f>
        <v>0</v>
      </c>
      <c r="J232" s="1327">
        <f t="shared" si="52"/>
        <v>0</v>
      </c>
      <c r="K232" s="1327">
        <f t="shared" si="52"/>
        <v>0</v>
      </c>
      <c r="L232" s="1327">
        <f t="shared" si="52"/>
        <v>0</v>
      </c>
      <c r="M232" s="1327">
        <f t="shared" si="52"/>
        <v>0</v>
      </c>
      <c r="N232" s="439">
        <f t="shared" si="52"/>
        <v>0</v>
      </c>
    </row>
    <row r="233" spans="1:16" s="1193" customFormat="1" ht="18" customHeight="1" x14ac:dyDescent="0.3">
      <c r="A233" s="583">
        <v>224</v>
      </c>
      <c r="B233" s="1188"/>
      <c r="C233" s="1189"/>
      <c r="D233" s="1318" t="s">
        <v>947</v>
      </c>
      <c r="E233" s="1191"/>
      <c r="F233" s="1191"/>
      <c r="G233" s="1748"/>
      <c r="H233" s="1192"/>
      <c r="I233" s="1321">
        <f t="shared" si="53"/>
        <v>0</v>
      </c>
      <c r="J233" s="174">
        <f>J238+J243+J248+J253</f>
        <v>0</v>
      </c>
      <c r="K233" s="174">
        <f t="shared" ref="K233:N233" si="54">K238+K243+K248+K253</f>
        <v>0</v>
      </c>
      <c r="L233" s="174">
        <f t="shared" si="54"/>
        <v>0</v>
      </c>
      <c r="M233" s="174">
        <f t="shared" si="54"/>
        <v>0</v>
      </c>
      <c r="N233" s="175">
        <f t="shared" si="54"/>
        <v>0</v>
      </c>
    </row>
    <row r="234" spans="1:16" s="1193" customFormat="1" ht="18" customHeight="1" x14ac:dyDescent="0.3">
      <c r="A234" s="583">
        <v>225</v>
      </c>
      <c r="B234" s="1188"/>
      <c r="C234" s="1189"/>
      <c r="D234" s="576" t="s">
        <v>1250</v>
      </c>
      <c r="E234" s="1191"/>
      <c r="F234" s="1191"/>
      <c r="G234" s="1748"/>
      <c r="H234" s="1192"/>
      <c r="I234" s="566">
        <f t="shared" si="53"/>
        <v>0</v>
      </c>
      <c r="J234" s="1327">
        <f t="shared" ref="J234:K234" si="55">SUM(J231:J233)</f>
        <v>0</v>
      </c>
      <c r="K234" s="1327">
        <f t="shared" si="55"/>
        <v>0</v>
      </c>
      <c r="L234" s="1327">
        <f>SUM(L232:L233)</f>
        <v>0</v>
      </c>
      <c r="M234" s="1327">
        <f>SUM(M232:M233)</f>
        <v>0</v>
      </c>
      <c r="N234" s="1758">
        <f>SUM(N232:N233)</f>
        <v>0</v>
      </c>
    </row>
    <row r="235" spans="1:16" s="615" customFormat="1" ht="18" customHeight="1" x14ac:dyDescent="0.3">
      <c r="A235" s="583">
        <v>226</v>
      </c>
      <c r="B235" s="172"/>
      <c r="C235" s="165"/>
      <c r="D235" s="440" t="s">
        <v>72</v>
      </c>
      <c r="E235" s="163"/>
      <c r="F235" s="173"/>
      <c r="G235" s="1749"/>
      <c r="H235" s="599"/>
      <c r="I235" s="568"/>
      <c r="J235" s="174"/>
      <c r="K235" s="174"/>
      <c r="L235" s="174"/>
      <c r="M235" s="174"/>
      <c r="N235" s="185"/>
      <c r="P235" s="616"/>
    </row>
    <row r="236" spans="1:16" s="1211" customFormat="1" ht="18" customHeight="1" x14ac:dyDescent="0.3">
      <c r="A236" s="583">
        <v>227</v>
      </c>
      <c r="B236" s="1200"/>
      <c r="C236" s="1189"/>
      <c r="D236" s="1209" t="s">
        <v>308</v>
      </c>
      <c r="E236" s="1191"/>
      <c r="F236" s="1202"/>
      <c r="G236" s="1752"/>
      <c r="H236" s="1203"/>
      <c r="I236" s="1186">
        <f>SUM(J236:N236)</f>
        <v>4250</v>
      </c>
      <c r="J236" s="1204"/>
      <c r="K236" s="1204"/>
      <c r="L236" s="1204"/>
      <c r="M236" s="1204"/>
      <c r="N236" s="1205">
        <v>4250</v>
      </c>
      <c r="P236" s="1212"/>
    </row>
    <row r="237" spans="1:16" s="1211" customFormat="1" ht="18" customHeight="1" x14ac:dyDescent="0.3">
      <c r="A237" s="583">
        <v>228</v>
      </c>
      <c r="B237" s="1200"/>
      <c r="C237" s="1189"/>
      <c r="D237" s="1324" t="s">
        <v>1158</v>
      </c>
      <c r="E237" s="1191"/>
      <c r="F237" s="1202"/>
      <c r="G237" s="1752"/>
      <c r="H237" s="1203"/>
      <c r="I237" s="568">
        <f t="shared" ref="I237:I239" si="56">SUM(J237:N237)</f>
        <v>0</v>
      </c>
      <c r="J237" s="1204"/>
      <c r="K237" s="1204"/>
      <c r="L237" s="1204"/>
      <c r="M237" s="1204"/>
      <c r="N237" s="1323">
        <v>0</v>
      </c>
      <c r="P237" s="1212"/>
    </row>
    <row r="238" spans="1:16" s="1211" customFormat="1" ht="18" customHeight="1" x14ac:dyDescent="0.3">
      <c r="A238" s="583">
        <v>229</v>
      </c>
      <c r="B238" s="1200"/>
      <c r="C238" s="1189"/>
      <c r="D238" s="1325" t="s">
        <v>970</v>
      </c>
      <c r="E238" s="1191"/>
      <c r="F238" s="1202"/>
      <c r="G238" s="1752"/>
      <c r="H238" s="1203"/>
      <c r="I238" s="1321">
        <f t="shared" si="56"/>
        <v>0</v>
      </c>
      <c r="J238" s="184"/>
      <c r="K238" s="184"/>
      <c r="L238" s="184"/>
      <c r="M238" s="184"/>
      <c r="N238" s="185"/>
      <c r="P238" s="1212"/>
    </row>
    <row r="239" spans="1:16" s="1211" customFormat="1" ht="18" customHeight="1" x14ac:dyDescent="0.3">
      <c r="A239" s="583">
        <v>230</v>
      </c>
      <c r="B239" s="1200"/>
      <c r="C239" s="1189"/>
      <c r="D239" s="1324" t="s">
        <v>1250</v>
      </c>
      <c r="E239" s="1191"/>
      <c r="F239" s="1202"/>
      <c r="G239" s="1752"/>
      <c r="H239" s="1203"/>
      <c r="I239" s="568">
        <f t="shared" si="56"/>
        <v>0</v>
      </c>
      <c r="J239" s="1322"/>
      <c r="K239" s="1322"/>
      <c r="L239" s="1322"/>
      <c r="M239" s="1322"/>
      <c r="N239" s="1323">
        <f>SUM(N237:N238)</f>
        <v>0</v>
      </c>
      <c r="P239" s="1212"/>
    </row>
    <row r="240" spans="1:16" s="615" customFormat="1" ht="18" customHeight="1" x14ac:dyDescent="0.3">
      <c r="A240" s="583">
        <v>231</v>
      </c>
      <c r="B240" s="172"/>
      <c r="C240" s="165"/>
      <c r="D240" s="440" t="s">
        <v>73</v>
      </c>
      <c r="E240" s="173">
        <v>5098</v>
      </c>
      <c r="F240" s="173">
        <v>5000</v>
      </c>
      <c r="G240" s="1749">
        <v>5140</v>
      </c>
      <c r="H240" s="599"/>
      <c r="I240" s="569"/>
      <c r="J240" s="174"/>
      <c r="K240" s="174"/>
      <c r="L240" s="174"/>
      <c r="M240" s="174"/>
      <c r="N240" s="175"/>
      <c r="P240" s="616"/>
    </row>
    <row r="241" spans="1:16" s="1211" customFormat="1" ht="18" customHeight="1" x14ac:dyDescent="0.3">
      <c r="A241" s="583">
        <v>232</v>
      </c>
      <c r="B241" s="1200"/>
      <c r="C241" s="1189"/>
      <c r="D241" s="1209" t="s">
        <v>308</v>
      </c>
      <c r="E241" s="1202"/>
      <c r="F241" s="1202"/>
      <c r="G241" s="1752"/>
      <c r="H241" s="1203"/>
      <c r="I241" s="1186">
        <f>SUM(J241:N241)</f>
        <v>4250</v>
      </c>
      <c r="J241" s="1204"/>
      <c r="K241" s="1204"/>
      <c r="L241" s="1204"/>
      <c r="M241" s="1204"/>
      <c r="N241" s="1205">
        <v>4250</v>
      </c>
      <c r="P241" s="1212"/>
    </row>
    <row r="242" spans="1:16" s="1211" customFormat="1" ht="18" customHeight="1" x14ac:dyDescent="0.3">
      <c r="A242" s="583">
        <v>233</v>
      </c>
      <c r="B242" s="1200"/>
      <c r="C242" s="1189"/>
      <c r="D242" s="1324" t="s">
        <v>1158</v>
      </c>
      <c r="E242" s="1202"/>
      <c r="F242" s="1202"/>
      <c r="G242" s="1752"/>
      <c r="H242" s="1203"/>
      <c r="I242" s="568">
        <f t="shared" ref="I242:I244" si="57">SUM(J242:N242)</f>
        <v>0</v>
      </c>
      <c r="J242" s="1204"/>
      <c r="K242" s="1204"/>
      <c r="L242" s="1204"/>
      <c r="M242" s="1204"/>
      <c r="N242" s="1323">
        <v>0</v>
      </c>
      <c r="P242" s="1212"/>
    </row>
    <row r="243" spans="1:16" s="1211" customFormat="1" ht="18" customHeight="1" x14ac:dyDescent="0.3">
      <c r="A243" s="583">
        <v>234</v>
      </c>
      <c r="B243" s="1200"/>
      <c r="C243" s="1189"/>
      <c r="D243" s="1325" t="s">
        <v>947</v>
      </c>
      <c r="E243" s="1202"/>
      <c r="F243" s="1202"/>
      <c r="G243" s="1752"/>
      <c r="H243" s="1203"/>
      <c r="I243" s="1321">
        <f t="shared" si="57"/>
        <v>0</v>
      </c>
      <c r="J243" s="184"/>
      <c r="K243" s="184"/>
      <c r="L243" s="184"/>
      <c r="M243" s="184"/>
      <c r="N243" s="185"/>
      <c r="P243" s="1212"/>
    </row>
    <row r="244" spans="1:16" s="1211" customFormat="1" ht="18" customHeight="1" x14ac:dyDescent="0.3">
      <c r="A244" s="583">
        <v>235</v>
      </c>
      <c r="B244" s="1200"/>
      <c r="C244" s="1189"/>
      <c r="D244" s="1324" t="s">
        <v>1250</v>
      </c>
      <c r="E244" s="1202"/>
      <c r="F244" s="1202"/>
      <c r="G244" s="1752"/>
      <c r="H244" s="1203"/>
      <c r="I244" s="568">
        <f t="shared" si="57"/>
        <v>0</v>
      </c>
      <c r="J244" s="1322"/>
      <c r="K244" s="1322"/>
      <c r="L244" s="1322"/>
      <c r="M244" s="1322"/>
      <c r="N244" s="1323">
        <f>SUM(N242:N243)</f>
        <v>0</v>
      </c>
      <c r="P244" s="1212"/>
    </row>
    <row r="245" spans="1:16" s="615" customFormat="1" ht="18" customHeight="1" x14ac:dyDescent="0.3">
      <c r="A245" s="583">
        <v>236</v>
      </c>
      <c r="B245" s="172"/>
      <c r="C245" s="165"/>
      <c r="D245" s="440" t="s">
        <v>812</v>
      </c>
      <c r="E245" s="173">
        <v>500</v>
      </c>
      <c r="F245" s="173">
        <v>500</v>
      </c>
      <c r="G245" s="1749">
        <v>500</v>
      </c>
      <c r="H245" s="599"/>
      <c r="I245" s="569"/>
      <c r="J245" s="174"/>
      <c r="K245" s="174"/>
      <c r="L245" s="174"/>
      <c r="M245" s="174"/>
      <c r="N245" s="175"/>
      <c r="P245" s="616"/>
    </row>
    <row r="246" spans="1:16" s="1211" customFormat="1" ht="18" customHeight="1" x14ac:dyDescent="0.3">
      <c r="A246" s="583">
        <v>237</v>
      </c>
      <c r="B246" s="1200"/>
      <c r="C246" s="1189"/>
      <c r="D246" s="1209" t="s">
        <v>308</v>
      </c>
      <c r="E246" s="1202"/>
      <c r="F246" s="1202"/>
      <c r="G246" s="1752"/>
      <c r="H246" s="1203"/>
      <c r="I246" s="1186">
        <f>SUM(J246:N246)</f>
        <v>425</v>
      </c>
      <c r="J246" s="1204"/>
      <c r="K246" s="1204"/>
      <c r="L246" s="1204">
        <v>425</v>
      </c>
      <c r="M246" s="1204"/>
      <c r="N246" s="1205"/>
      <c r="P246" s="1212"/>
    </row>
    <row r="247" spans="1:16" s="1211" customFormat="1" ht="18" customHeight="1" x14ac:dyDescent="0.3">
      <c r="A247" s="583">
        <v>238</v>
      </c>
      <c r="B247" s="1200"/>
      <c r="C247" s="1189"/>
      <c r="D247" s="1324" t="s">
        <v>1158</v>
      </c>
      <c r="E247" s="1202"/>
      <c r="F247" s="1202"/>
      <c r="G247" s="1752"/>
      <c r="H247" s="1203"/>
      <c r="I247" s="568">
        <f>SUM(J247:N247)</f>
        <v>0</v>
      </c>
      <c r="J247" s="1204"/>
      <c r="K247" s="1204"/>
      <c r="L247" s="1322">
        <f>425-425</f>
        <v>0</v>
      </c>
      <c r="M247" s="1204"/>
      <c r="N247" s="1205"/>
      <c r="P247" s="1212"/>
    </row>
    <row r="248" spans="1:16" s="1211" customFormat="1" ht="18" customHeight="1" x14ac:dyDescent="0.3">
      <c r="A248" s="583">
        <v>239</v>
      </c>
      <c r="B248" s="1200"/>
      <c r="C248" s="1189"/>
      <c r="D248" s="1325" t="s">
        <v>947</v>
      </c>
      <c r="E248" s="1202"/>
      <c r="F248" s="1202"/>
      <c r="G248" s="1752"/>
      <c r="H248" s="1203"/>
      <c r="I248" s="1321">
        <f>SUM(J248:N248)</f>
        <v>0</v>
      </c>
      <c r="J248" s="184"/>
      <c r="K248" s="184"/>
      <c r="L248" s="184"/>
      <c r="M248" s="184"/>
      <c r="N248" s="185"/>
      <c r="P248" s="1212"/>
    </row>
    <row r="249" spans="1:16" s="1211" customFormat="1" ht="18" customHeight="1" x14ac:dyDescent="0.3">
      <c r="A249" s="583">
        <v>240</v>
      </c>
      <c r="B249" s="1200"/>
      <c r="C249" s="1189"/>
      <c r="D249" s="1324" t="s">
        <v>1250</v>
      </c>
      <c r="E249" s="1202"/>
      <c r="F249" s="1202"/>
      <c r="G249" s="1752"/>
      <c r="H249" s="1203"/>
      <c r="I249" s="568">
        <f>SUM(J249:N249)</f>
        <v>0</v>
      </c>
      <c r="J249" s="1322"/>
      <c r="K249" s="1322"/>
      <c r="L249" s="1322">
        <f>SUM(L247:L248)</f>
        <v>0</v>
      </c>
      <c r="M249" s="1322"/>
      <c r="N249" s="1323"/>
      <c r="P249" s="1212"/>
    </row>
    <row r="250" spans="1:16" s="615" customFormat="1" ht="18" customHeight="1" x14ac:dyDescent="0.3">
      <c r="A250" s="583">
        <v>241</v>
      </c>
      <c r="B250" s="172"/>
      <c r="C250" s="165"/>
      <c r="D250" s="440" t="s">
        <v>813</v>
      </c>
      <c r="E250" s="173">
        <v>600</v>
      </c>
      <c r="F250" s="173">
        <v>600</v>
      </c>
      <c r="G250" s="1749">
        <v>600</v>
      </c>
      <c r="H250" s="599"/>
      <c r="I250" s="569"/>
      <c r="J250" s="174"/>
      <c r="K250" s="174"/>
      <c r="L250" s="174"/>
      <c r="M250" s="174"/>
      <c r="N250" s="175"/>
      <c r="P250" s="616"/>
    </row>
    <row r="251" spans="1:16" s="1211" customFormat="1" ht="18" customHeight="1" x14ac:dyDescent="0.3">
      <c r="A251" s="583">
        <v>242</v>
      </c>
      <c r="B251" s="1200"/>
      <c r="C251" s="1189"/>
      <c r="D251" s="1209" t="s">
        <v>308</v>
      </c>
      <c r="E251" s="1191"/>
      <c r="F251" s="1202"/>
      <c r="G251" s="1752"/>
      <c r="H251" s="1203"/>
      <c r="I251" s="1186">
        <f>SUM(J251:N251)</f>
        <v>510</v>
      </c>
      <c r="J251" s="1204"/>
      <c r="K251" s="1204"/>
      <c r="L251" s="1204"/>
      <c r="M251" s="1204"/>
      <c r="N251" s="1205">
        <v>510</v>
      </c>
      <c r="P251" s="1212"/>
    </row>
    <row r="252" spans="1:16" s="1211" customFormat="1" ht="18" customHeight="1" x14ac:dyDescent="0.3">
      <c r="A252" s="583">
        <v>243</v>
      </c>
      <c r="B252" s="1200"/>
      <c r="C252" s="1189"/>
      <c r="D252" s="1324" t="s">
        <v>1158</v>
      </c>
      <c r="E252" s="1191"/>
      <c r="F252" s="1202"/>
      <c r="G252" s="1752"/>
      <c r="H252" s="1203"/>
      <c r="I252" s="568">
        <f t="shared" ref="I252:I254" si="58">SUM(J252:N252)</f>
        <v>0</v>
      </c>
      <c r="J252" s="1204"/>
      <c r="K252" s="1204"/>
      <c r="L252" s="1204"/>
      <c r="M252" s="1204"/>
      <c r="N252" s="1323">
        <v>0</v>
      </c>
      <c r="P252" s="1212"/>
    </row>
    <row r="253" spans="1:16" s="1211" customFormat="1" ht="18" customHeight="1" x14ac:dyDescent="0.3">
      <c r="A253" s="583">
        <v>244</v>
      </c>
      <c r="B253" s="1200"/>
      <c r="C253" s="1189"/>
      <c r="D253" s="1325" t="s">
        <v>970</v>
      </c>
      <c r="E253" s="1191"/>
      <c r="F253" s="1202"/>
      <c r="G253" s="1752"/>
      <c r="H253" s="1203"/>
      <c r="I253" s="1321">
        <f t="shared" si="58"/>
        <v>0</v>
      </c>
      <c r="J253" s="184"/>
      <c r="K253" s="184"/>
      <c r="L253" s="184"/>
      <c r="M253" s="184"/>
      <c r="N253" s="185"/>
      <c r="P253" s="1212"/>
    </row>
    <row r="254" spans="1:16" s="1211" customFormat="1" ht="18" customHeight="1" x14ac:dyDescent="0.3">
      <c r="A254" s="583">
        <v>245</v>
      </c>
      <c r="B254" s="1200"/>
      <c r="C254" s="1189"/>
      <c r="D254" s="1324" t="s">
        <v>1250</v>
      </c>
      <c r="E254" s="1191"/>
      <c r="F254" s="1202"/>
      <c r="G254" s="1752"/>
      <c r="H254" s="1203"/>
      <c r="I254" s="568">
        <f t="shared" si="58"/>
        <v>0</v>
      </c>
      <c r="J254" s="1322"/>
      <c r="K254" s="1322"/>
      <c r="L254" s="1322"/>
      <c r="M254" s="1322"/>
      <c r="N254" s="1323">
        <f>SUM(N252:N253)</f>
        <v>0</v>
      </c>
      <c r="P254" s="1212"/>
    </row>
    <row r="255" spans="1:16" s="2026" customFormat="1" ht="22.5" customHeight="1" x14ac:dyDescent="0.35">
      <c r="A255" s="583">
        <v>246</v>
      </c>
      <c r="B255" s="578"/>
      <c r="C255" s="161">
        <v>42</v>
      </c>
      <c r="D255" s="577" t="s">
        <v>438</v>
      </c>
      <c r="E255" s="163">
        <f>SUM(E260,E265,E270,E275)</f>
        <v>15620</v>
      </c>
      <c r="F255" s="163">
        <f>SUM(F260,F265,F270,F275)</f>
        <v>23600</v>
      </c>
      <c r="G255" s="1746">
        <f>SUM(G260,G265,G270,G275)</f>
        <v>13522</v>
      </c>
      <c r="H255" s="598" t="s">
        <v>24</v>
      </c>
      <c r="I255" s="569"/>
      <c r="J255" s="174"/>
      <c r="K255" s="174"/>
      <c r="L255" s="174"/>
      <c r="M255" s="174"/>
      <c r="N255" s="175"/>
      <c r="O255" s="2027"/>
      <c r="P255" s="2027"/>
    </row>
    <row r="256" spans="1:16" s="1193" customFormat="1" ht="18" customHeight="1" x14ac:dyDescent="0.3">
      <c r="A256" s="583">
        <v>247</v>
      </c>
      <c r="B256" s="1188"/>
      <c r="C256" s="1189"/>
      <c r="D256" s="1190" t="s">
        <v>308</v>
      </c>
      <c r="E256" s="1191"/>
      <c r="F256" s="1191"/>
      <c r="G256" s="1748"/>
      <c r="H256" s="1192"/>
      <c r="I256" s="1183">
        <f>SUM(J256:N256)</f>
        <v>20060</v>
      </c>
      <c r="J256" s="1187">
        <f t="shared" ref="J256:N257" si="59">SUM(J261,J266,J271,J276)</f>
        <v>0</v>
      </c>
      <c r="K256" s="1187">
        <f t="shared" si="59"/>
        <v>0</v>
      </c>
      <c r="L256" s="1187">
        <f t="shared" si="59"/>
        <v>3400</v>
      </c>
      <c r="M256" s="1187">
        <f t="shared" si="59"/>
        <v>0</v>
      </c>
      <c r="N256" s="1185">
        <f t="shared" si="59"/>
        <v>16660</v>
      </c>
    </row>
    <row r="257" spans="1:16" s="1193" customFormat="1" ht="18" customHeight="1" x14ac:dyDescent="0.3">
      <c r="A257" s="583">
        <v>248</v>
      </c>
      <c r="B257" s="1188"/>
      <c r="C257" s="1189"/>
      <c r="D257" s="576" t="s">
        <v>1158</v>
      </c>
      <c r="E257" s="1191"/>
      <c r="F257" s="1191"/>
      <c r="G257" s="1748"/>
      <c r="H257" s="1192"/>
      <c r="I257" s="566">
        <f t="shared" ref="I257:I259" si="60">SUM(J257:N257)</f>
        <v>5555</v>
      </c>
      <c r="J257" s="1327">
        <f>SUM(J262,J267,J272,J277)</f>
        <v>0</v>
      </c>
      <c r="K257" s="1327">
        <f t="shared" si="59"/>
        <v>0</v>
      </c>
      <c r="L257" s="1327">
        <f t="shared" si="59"/>
        <v>0</v>
      </c>
      <c r="M257" s="1327">
        <f t="shared" si="59"/>
        <v>0</v>
      </c>
      <c r="N257" s="439">
        <f t="shared" si="59"/>
        <v>5555</v>
      </c>
    </row>
    <row r="258" spans="1:16" s="1193" customFormat="1" ht="18" customHeight="1" x14ac:dyDescent="0.3">
      <c r="A258" s="583">
        <v>249</v>
      </c>
      <c r="B258" s="1188"/>
      <c r="C258" s="1189"/>
      <c r="D258" s="1318" t="s">
        <v>947</v>
      </c>
      <c r="E258" s="1191"/>
      <c r="F258" s="1191"/>
      <c r="G258" s="1748"/>
      <c r="H258" s="1192"/>
      <c r="I258" s="1321">
        <f t="shared" si="60"/>
        <v>0</v>
      </c>
      <c r="J258" s="174">
        <f>J263+J268+J273+J278</f>
        <v>0</v>
      </c>
      <c r="K258" s="174">
        <f t="shared" ref="K258:N258" si="61">K263+K268+K273+K278</f>
        <v>0</v>
      </c>
      <c r="L258" s="174">
        <f t="shared" si="61"/>
        <v>0</v>
      </c>
      <c r="M258" s="174">
        <f t="shared" si="61"/>
        <v>0</v>
      </c>
      <c r="N258" s="175">
        <f t="shared" si="61"/>
        <v>0</v>
      </c>
    </row>
    <row r="259" spans="1:16" s="1193" customFormat="1" ht="18" customHeight="1" x14ac:dyDescent="0.3">
      <c r="A259" s="583">
        <v>250</v>
      </c>
      <c r="B259" s="1188"/>
      <c r="C259" s="1189"/>
      <c r="D259" s="576" t="s">
        <v>1250</v>
      </c>
      <c r="E259" s="1191"/>
      <c r="F259" s="1191"/>
      <c r="G259" s="1748"/>
      <c r="H259" s="1192"/>
      <c r="I259" s="566">
        <f t="shared" si="60"/>
        <v>5555</v>
      </c>
      <c r="J259" s="1327">
        <f>SUM(J257:J258)</f>
        <v>0</v>
      </c>
      <c r="K259" s="1327">
        <f t="shared" ref="K259:N259" si="62">SUM(K257:K258)</f>
        <v>0</v>
      </c>
      <c r="L259" s="1327">
        <f t="shared" si="62"/>
        <v>0</v>
      </c>
      <c r="M259" s="1327">
        <f t="shared" si="62"/>
        <v>0</v>
      </c>
      <c r="N259" s="1758">
        <f t="shared" si="62"/>
        <v>5555</v>
      </c>
    </row>
    <row r="260" spans="1:16" s="615" customFormat="1" ht="18" customHeight="1" x14ac:dyDescent="0.3">
      <c r="A260" s="583">
        <v>251</v>
      </c>
      <c r="B260" s="172"/>
      <c r="C260" s="165"/>
      <c r="D260" s="440" t="s">
        <v>281</v>
      </c>
      <c r="E260" s="173">
        <v>4000</v>
      </c>
      <c r="F260" s="173">
        <v>4000</v>
      </c>
      <c r="G260" s="1749">
        <v>4000</v>
      </c>
      <c r="H260" s="599"/>
      <c r="I260" s="568"/>
      <c r="J260" s="184"/>
      <c r="K260" s="184"/>
      <c r="L260" s="184"/>
      <c r="M260" s="184"/>
      <c r="N260" s="185"/>
      <c r="P260" s="616"/>
    </row>
    <row r="261" spans="1:16" s="1211" customFormat="1" ht="18" customHeight="1" x14ac:dyDescent="0.3">
      <c r="A261" s="583">
        <v>252</v>
      </c>
      <c r="B261" s="1200"/>
      <c r="C261" s="1189"/>
      <c r="D261" s="1209" t="s">
        <v>308</v>
      </c>
      <c r="E261" s="1202"/>
      <c r="F261" s="1202"/>
      <c r="G261" s="1752"/>
      <c r="H261" s="1203"/>
      <c r="I261" s="1186">
        <f>SUM(J261:N261)</f>
        <v>3400</v>
      </c>
      <c r="J261" s="1204"/>
      <c r="K261" s="1204"/>
      <c r="L261" s="1204"/>
      <c r="M261" s="1204"/>
      <c r="N261" s="1205">
        <v>3400</v>
      </c>
      <c r="P261" s="1212"/>
    </row>
    <row r="262" spans="1:16" s="1211" customFormat="1" ht="18" customHeight="1" x14ac:dyDescent="0.3">
      <c r="A262" s="583">
        <v>253</v>
      </c>
      <c r="B262" s="1200"/>
      <c r="C262" s="1189"/>
      <c r="D262" s="1324" t="s">
        <v>1158</v>
      </c>
      <c r="E262" s="1202"/>
      <c r="F262" s="1202"/>
      <c r="G262" s="1752"/>
      <c r="H262" s="1203"/>
      <c r="I262" s="568">
        <f t="shared" ref="I262:I264" si="63">SUM(J262:N262)</f>
        <v>0</v>
      </c>
      <c r="J262" s="1204"/>
      <c r="K262" s="1204"/>
      <c r="L262" s="1322">
        <v>0</v>
      </c>
      <c r="M262" s="1204"/>
      <c r="N262" s="1323">
        <f>0</f>
        <v>0</v>
      </c>
      <c r="P262" s="1212"/>
    </row>
    <row r="263" spans="1:16" s="1211" customFormat="1" ht="18" customHeight="1" x14ac:dyDescent="0.3">
      <c r="A263" s="583">
        <v>254</v>
      </c>
      <c r="B263" s="1200"/>
      <c r="C263" s="1189"/>
      <c r="D263" s="1325" t="s">
        <v>969</v>
      </c>
      <c r="E263" s="1202"/>
      <c r="F263" s="1202"/>
      <c r="G263" s="1752"/>
      <c r="H263" s="1203"/>
      <c r="I263" s="1321">
        <f t="shared" si="63"/>
        <v>0</v>
      </c>
      <c r="J263" s="184"/>
      <c r="K263" s="184"/>
      <c r="L263" s="184"/>
      <c r="M263" s="184"/>
      <c r="N263" s="185"/>
      <c r="P263" s="1212"/>
    </row>
    <row r="264" spans="1:16" s="1211" customFormat="1" ht="18" customHeight="1" x14ac:dyDescent="0.3">
      <c r="A264" s="583">
        <v>255</v>
      </c>
      <c r="B264" s="1200"/>
      <c r="C264" s="1189"/>
      <c r="D264" s="1324" t="s">
        <v>1250</v>
      </c>
      <c r="E264" s="1202"/>
      <c r="F264" s="1202"/>
      <c r="G264" s="1752"/>
      <c r="H264" s="1203"/>
      <c r="I264" s="568">
        <f t="shared" si="63"/>
        <v>0</v>
      </c>
      <c r="J264" s="1322"/>
      <c r="K264" s="1322"/>
      <c r="L264" s="1322">
        <f>SUM(L262:L263)</f>
        <v>0</v>
      </c>
      <c r="M264" s="1322"/>
      <c r="N264" s="1323">
        <f>SUM(N262:N263)</f>
        <v>0</v>
      </c>
      <c r="P264" s="1212"/>
    </row>
    <row r="265" spans="1:16" s="615" customFormat="1" ht="18" customHeight="1" x14ac:dyDescent="0.3">
      <c r="A265" s="583">
        <v>256</v>
      </c>
      <c r="B265" s="172"/>
      <c r="C265" s="165"/>
      <c r="D265" s="440" t="s">
        <v>394</v>
      </c>
      <c r="E265" s="173">
        <v>7500</v>
      </c>
      <c r="F265" s="173">
        <v>14000</v>
      </c>
      <c r="G265" s="1749">
        <v>5100</v>
      </c>
      <c r="H265" s="599"/>
      <c r="I265" s="568"/>
      <c r="J265" s="174"/>
      <c r="K265" s="174"/>
      <c r="L265" s="174"/>
      <c r="M265" s="174"/>
      <c r="N265" s="175"/>
      <c r="P265" s="616"/>
    </row>
    <row r="266" spans="1:16" s="1211" customFormat="1" ht="18" customHeight="1" x14ac:dyDescent="0.3">
      <c r="A266" s="583">
        <v>257</v>
      </c>
      <c r="B266" s="1200"/>
      <c r="C266" s="1189"/>
      <c r="D266" s="1209" t="s">
        <v>308</v>
      </c>
      <c r="E266" s="1202"/>
      <c r="F266" s="1202"/>
      <c r="G266" s="1752"/>
      <c r="H266" s="1203"/>
      <c r="I266" s="1186">
        <f>SUM(J266:N266)</f>
        <v>11900</v>
      </c>
      <c r="J266" s="1204"/>
      <c r="K266" s="1204"/>
      <c r="L266" s="1204"/>
      <c r="M266" s="1204"/>
      <c r="N266" s="1205">
        <v>11900</v>
      </c>
      <c r="P266" s="1212"/>
    </row>
    <row r="267" spans="1:16" s="1211" customFormat="1" ht="18" customHeight="1" x14ac:dyDescent="0.3">
      <c r="A267" s="583">
        <v>258</v>
      </c>
      <c r="B267" s="1200"/>
      <c r="C267" s="1189"/>
      <c r="D267" s="1324" t="s">
        <v>1158</v>
      </c>
      <c r="E267" s="1202"/>
      <c r="F267" s="1202"/>
      <c r="G267" s="1752"/>
      <c r="H267" s="1203"/>
      <c r="I267" s="568">
        <f t="shared" ref="I267" si="64">SUM(J267:N267)</f>
        <v>5555</v>
      </c>
      <c r="J267" s="1204"/>
      <c r="K267" s="1204"/>
      <c r="L267" s="1204"/>
      <c r="M267" s="1204"/>
      <c r="N267" s="1323">
        <f>10000-4445</f>
        <v>5555</v>
      </c>
      <c r="P267" s="1212"/>
    </row>
    <row r="268" spans="1:16" s="1211" customFormat="1" ht="18" customHeight="1" x14ac:dyDescent="0.3">
      <c r="A268" s="583">
        <v>259</v>
      </c>
      <c r="B268" s="1200"/>
      <c r="C268" s="1189"/>
      <c r="D268" s="1325" t="s">
        <v>969</v>
      </c>
      <c r="E268" s="1202"/>
      <c r="F268" s="1202"/>
      <c r="G268" s="1752"/>
      <c r="H268" s="1203"/>
      <c r="I268" s="1321">
        <f t="shared" ref="I268:I269" si="65">SUM(J268:N268)</f>
        <v>0</v>
      </c>
      <c r="J268" s="184"/>
      <c r="K268" s="184"/>
      <c r="L268" s="184"/>
      <c r="M268" s="184"/>
      <c r="N268" s="185"/>
      <c r="P268" s="1212"/>
    </row>
    <row r="269" spans="1:16" s="1211" customFormat="1" ht="18" customHeight="1" x14ac:dyDescent="0.3">
      <c r="A269" s="583">
        <v>260</v>
      </c>
      <c r="B269" s="1200"/>
      <c r="C269" s="1189"/>
      <c r="D269" s="1324" t="s">
        <v>1250</v>
      </c>
      <c r="E269" s="1202"/>
      <c r="F269" s="1202"/>
      <c r="G269" s="1752"/>
      <c r="H269" s="1203"/>
      <c r="I269" s="568">
        <f t="shared" si="65"/>
        <v>5555</v>
      </c>
      <c r="J269" s="1322"/>
      <c r="K269" s="1322"/>
      <c r="L269" s="1322"/>
      <c r="M269" s="1322"/>
      <c r="N269" s="1323">
        <f>SUM(N267:N268)</f>
        <v>5555</v>
      </c>
      <c r="P269" s="1212"/>
    </row>
    <row r="270" spans="1:16" s="615" customFormat="1" ht="18" customHeight="1" x14ac:dyDescent="0.3">
      <c r="A270" s="583">
        <v>261</v>
      </c>
      <c r="B270" s="172"/>
      <c r="C270" s="165"/>
      <c r="D270" s="440" t="s">
        <v>283</v>
      </c>
      <c r="E270" s="173">
        <v>2520</v>
      </c>
      <c r="F270" s="173">
        <v>4000</v>
      </c>
      <c r="G270" s="1749">
        <v>2822</v>
      </c>
      <c r="H270" s="599"/>
      <c r="I270" s="568"/>
      <c r="J270" s="174"/>
      <c r="K270" s="174"/>
      <c r="L270" s="174"/>
      <c r="M270" s="174"/>
      <c r="N270" s="175"/>
      <c r="P270" s="616"/>
    </row>
    <row r="271" spans="1:16" s="1211" customFormat="1" ht="18" customHeight="1" x14ac:dyDescent="0.3">
      <c r="A271" s="583">
        <v>262</v>
      </c>
      <c r="B271" s="1200"/>
      <c r="C271" s="1189"/>
      <c r="D271" s="1209" t="s">
        <v>308</v>
      </c>
      <c r="E271" s="1202"/>
      <c r="F271" s="1202"/>
      <c r="G271" s="1752"/>
      <c r="H271" s="1203"/>
      <c r="I271" s="1186">
        <f>SUM(J271:N271)</f>
        <v>3400</v>
      </c>
      <c r="J271" s="1204"/>
      <c r="K271" s="1204"/>
      <c r="L271" s="1204">
        <v>3400</v>
      </c>
      <c r="M271" s="1204"/>
      <c r="N271" s="1205"/>
      <c r="P271" s="1212"/>
    </row>
    <row r="272" spans="1:16" s="1211" customFormat="1" ht="18" customHeight="1" x14ac:dyDescent="0.3">
      <c r="A272" s="583">
        <v>263</v>
      </c>
      <c r="B272" s="1200"/>
      <c r="C272" s="1189"/>
      <c r="D272" s="1324" t="s">
        <v>1158</v>
      </c>
      <c r="E272" s="1202"/>
      <c r="F272" s="1202"/>
      <c r="G272" s="1752"/>
      <c r="H272" s="1203"/>
      <c r="I272" s="568">
        <f t="shared" ref="I272" si="66">SUM(J272:N272)</f>
        <v>0</v>
      </c>
      <c r="J272" s="1204"/>
      <c r="K272" s="1204"/>
      <c r="L272" s="1322">
        <v>0</v>
      </c>
      <c r="M272" s="1204"/>
      <c r="N272" s="1205"/>
      <c r="P272" s="1212"/>
    </row>
    <row r="273" spans="1:16" s="1211" customFormat="1" ht="18" customHeight="1" x14ac:dyDescent="0.3">
      <c r="A273" s="583">
        <v>264</v>
      </c>
      <c r="B273" s="1200"/>
      <c r="C273" s="1189"/>
      <c r="D273" s="1325" t="s">
        <v>969</v>
      </c>
      <c r="E273" s="1202"/>
      <c r="F273" s="1202"/>
      <c r="G273" s="1752"/>
      <c r="H273" s="1203"/>
      <c r="I273" s="1321">
        <f t="shared" ref="I273:I274" si="67">SUM(J273:N273)</f>
        <v>0</v>
      </c>
      <c r="J273" s="184"/>
      <c r="K273" s="184"/>
      <c r="L273" s="184"/>
      <c r="M273" s="184"/>
      <c r="N273" s="185"/>
      <c r="P273" s="1212"/>
    </row>
    <row r="274" spans="1:16" s="1211" customFormat="1" ht="18" customHeight="1" x14ac:dyDescent="0.3">
      <c r="A274" s="583">
        <v>265</v>
      </c>
      <c r="B274" s="1200"/>
      <c r="C274" s="1189"/>
      <c r="D274" s="1324" t="s">
        <v>1250</v>
      </c>
      <c r="E274" s="1202"/>
      <c r="F274" s="1202"/>
      <c r="G274" s="1752"/>
      <c r="H274" s="1203"/>
      <c r="I274" s="568">
        <f t="shared" si="67"/>
        <v>0</v>
      </c>
      <c r="J274" s="1322"/>
      <c r="K274" s="1322"/>
      <c r="L274" s="1322">
        <f>SUM(L272:L273)</f>
        <v>0</v>
      </c>
      <c r="M274" s="1322"/>
      <c r="N274" s="1323"/>
      <c r="P274" s="1212"/>
    </row>
    <row r="275" spans="1:16" s="615" customFormat="1" ht="18" customHeight="1" x14ac:dyDescent="0.3">
      <c r="A275" s="583">
        <v>266</v>
      </c>
      <c r="B275" s="172"/>
      <c r="C275" s="165"/>
      <c r="D275" s="440" t="s">
        <v>282</v>
      </c>
      <c r="E275" s="173">
        <v>1600</v>
      </c>
      <c r="F275" s="173">
        <v>1600</v>
      </c>
      <c r="G275" s="1749">
        <v>1600</v>
      </c>
      <c r="H275" s="599"/>
      <c r="I275" s="568"/>
      <c r="J275" s="174"/>
      <c r="K275" s="174"/>
      <c r="L275" s="174"/>
      <c r="M275" s="174"/>
      <c r="N275" s="175"/>
      <c r="P275" s="616"/>
    </row>
    <row r="276" spans="1:16" s="1211" customFormat="1" ht="18" customHeight="1" x14ac:dyDescent="0.3">
      <c r="A276" s="583">
        <v>267</v>
      </c>
      <c r="B276" s="1200"/>
      <c r="C276" s="1189"/>
      <c r="D276" s="1209" t="s">
        <v>308</v>
      </c>
      <c r="E276" s="1191"/>
      <c r="F276" s="1202"/>
      <c r="G276" s="1752"/>
      <c r="H276" s="1203"/>
      <c r="I276" s="1186">
        <f>SUM(J276:N276)</f>
        <v>1360</v>
      </c>
      <c r="J276" s="1204"/>
      <c r="K276" s="1204"/>
      <c r="L276" s="1204"/>
      <c r="M276" s="1204"/>
      <c r="N276" s="1205">
        <v>1360</v>
      </c>
      <c r="P276" s="1212"/>
    </row>
    <row r="277" spans="1:16" s="1211" customFormat="1" ht="18" customHeight="1" x14ac:dyDescent="0.3">
      <c r="A277" s="583">
        <v>268</v>
      </c>
      <c r="B277" s="1200"/>
      <c r="C277" s="1189"/>
      <c r="D277" s="1324" t="s">
        <v>1158</v>
      </c>
      <c r="E277" s="1191"/>
      <c r="F277" s="1202"/>
      <c r="G277" s="1752"/>
      <c r="H277" s="1203"/>
      <c r="I277" s="568">
        <f t="shared" ref="I277" si="68">SUM(J277:N277)</f>
        <v>0</v>
      </c>
      <c r="J277" s="1204"/>
      <c r="K277" s="1204"/>
      <c r="L277" s="1204"/>
      <c r="M277" s="1204"/>
      <c r="N277" s="1323">
        <v>0</v>
      </c>
      <c r="P277" s="1212"/>
    </row>
    <row r="278" spans="1:16" s="1211" customFormat="1" ht="18" customHeight="1" x14ac:dyDescent="0.3">
      <c r="A278" s="583">
        <v>269</v>
      </c>
      <c r="B278" s="1200"/>
      <c r="C278" s="1189"/>
      <c r="D278" s="1325" t="s">
        <v>969</v>
      </c>
      <c r="E278" s="1191"/>
      <c r="F278" s="1202"/>
      <c r="G278" s="1752"/>
      <c r="H278" s="1203"/>
      <c r="I278" s="1321">
        <f t="shared" ref="I278:I279" si="69">SUM(J278:N278)</f>
        <v>0</v>
      </c>
      <c r="J278" s="184"/>
      <c r="K278" s="184"/>
      <c r="L278" s="184"/>
      <c r="M278" s="184"/>
      <c r="N278" s="185"/>
      <c r="P278" s="1212"/>
    </row>
    <row r="279" spans="1:16" s="1211" customFormat="1" ht="18" customHeight="1" x14ac:dyDescent="0.3">
      <c r="A279" s="583">
        <v>270</v>
      </c>
      <c r="B279" s="1200"/>
      <c r="C279" s="1189"/>
      <c r="D279" s="1324" t="s">
        <v>1250</v>
      </c>
      <c r="E279" s="1191"/>
      <c r="F279" s="1202"/>
      <c r="G279" s="1752"/>
      <c r="H279" s="1203"/>
      <c r="I279" s="568">
        <f t="shared" si="69"/>
        <v>0</v>
      </c>
      <c r="J279" s="1322"/>
      <c r="K279" s="1322"/>
      <c r="L279" s="1322"/>
      <c r="M279" s="1322"/>
      <c r="N279" s="1323">
        <f>SUM(N277:N278)</f>
        <v>0</v>
      </c>
      <c r="P279" s="1212"/>
    </row>
    <row r="280" spans="1:16" s="156" customFormat="1" ht="22.5" customHeight="1" x14ac:dyDescent="0.3">
      <c r="A280" s="583">
        <v>271</v>
      </c>
      <c r="B280" s="579"/>
      <c r="C280" s="161">
        <v>43</v>
      </c>
      <c r="D280" s="577" t="s">
        <v>480</v>
      </c>
      <c r="E280" s="163">
        <v>4400</v>
      </c>
      <c r="F280" s="173">
        <v>5000</v>
      </c>
      <c r="G280" s="1749">
        <v>4667</v>
      </c>
      <c r="H280" s="598" t="s">
        <v>24</v>
      </c>
      <c r="I280" s="568"/>
      <c r="J280" s="184"/>
      <c r="K280" s="184"/>
      <c r="L280" s="184"/>
      <c r="M280" s="184"/>
      <c r="N280" s="185"/>
      <c r="P280" s="2027"/>
    </row>
    <row r="281" spans="1:16" s="1206" customFormat="1" ht="18" customHeight="1" x14ac:dyDescent="0.3">
      <c r="A281" s="583">
        <v>272</v>
      </c>
      <c r="B281" s="1200"/>
      <c r="C281" s="1189"/>
      <c r="D281" s="1190" t="s">
        <v>308</v>
      </c>
      <c r="E281" s="1191"/>
      <c r="F281" s="1202"/>
      <c r="G281" s="1752"/>
      <c r="H281" s="1203"/>
      <c r="I281" s="1183">
        <f>SUM(J281:N281)</f>
        <v>4250</v>
      </c>
      <c r="J281" s="1204"/>
      <c r="K281" s="1204"/>
      <c r="L281" s="1204"/>
      <c r="M281" s="1204"/>
      <c r="N281" s="1185">
        <v>4250</v>
      </c>
      <c r="P281" s="1193"/>
    </row>
    <row r="282" spans="1:16" s="1206" customFormat="1" ht="18" customHeight="1" x14ac:dyDescent="0.3">
      <c r="A282" s="583">
        <v>273</v>
      </c>
      <c r="B282" s="1200"/>
      <c r="C282" s="1189"/>
      <c r="D282" s="576" t="s">
        <v>1158</v>
      </c>
      <c r="E282" s="1191"/>
      <c r="F282" s="1202"/>
      <c r="G282" s="1752"/>
      <c r="H282" s="1203"/>
      <c r="I282" s="566">
        <f>SUM(J282:N282)</f>
        <v>0</v>
      </c>
      <c r="J282" s="1204"/>
      <c r="K282" s="1204"/>
      <c r="L282" s="1204"/>
      <c r="M282" s="1204"/>
      <c r="N282" s="439">
        <v>0</v>
      </c>
      <c r="P282" s="1193"/>
    </row>
    <row r="283" spans="1:16" s="1206" customFormat="1" ht="18" customHeight="1" x14ac:dyDescent="0.3">
      <c r="A283" s="583">
        <v>274</v>
      </c>
      <c r="B283" s="1200"/>
      <c r="C283" s="1189"/>
      <c r="D283" s="1318" t="s">
        <v>969</v>
      </c>
      <c r="E283" s="1191"/>
      <c r="F283" s="1202"/>
      <c r="G283" s="1752"/>
      <c r="H283" s="1203"/>
      <c r="I283" s="1321">
        <f>SUM(J283:N283)</f>
        <v>0</v>
      </c>
      <c r="J283" s="184"/>
      <c r="K283" s="184"/>
      <c r="L283" s="184"/>
      <c r="M283" s="184"/>
      <c r="N283" s="168"/>
      <c r="P283" s="1193"/>
    </row>
    <row r="284" spans="1:16" s="1206" customFormat="1" ht="18" customHeight="1" x14ac:dyDescent="0.3">
      <c r="A284" s="583">
        <v>275</v>
      </c>
      <c r="B284" s="1200"/>
      <c r="C284" s="1189"/>
      <c r="D284" s="576" t="s">
        <v>1250</v>
      </c>
      <c r="E284" s="1191"/>
      <c r="F284" s="1202"/>
      <c r="G284" s="1752"/>
      <c r="H284" s="1203"/>
      <c r="I284" s="566">
        <f>SUM(J284:N284)</f>
        <v>0</v>
      </c>
      <c r="J284" s="1322"/>
      <c r="K284" s="1322"/>
      <c r="L284" s="1322"/>
      <c r="M284" s="1322"/>
      <c r="N284" s="439">
        <f>SUM(N282:N283)</f>
        <v>0</v>
      </c>
      <c r="P284" s="1193"/>
    </row>
    <row r="285" spans="1:16" s="2026" customFormat="1" ht="22.5" customHeight="1" x14ac:dyDescent="0.35">
      <c r="A285" s="583">
        <v>276</v>
      </c>
      <c r="B285" s="578"/>
      <c r="C285" s="161">
        <v>44</v>
      </c>
      <c r="D285" s="577" t="s">
        <v>439</v>
      </c>
      <c r="E285" s="163">
        <v>1323</v>
      </c>
      <c r="F285" s="163">
        <v>2000</v>
      </c>
      <c r="G285" s="1746">
        <v>938</v>
      </c>
      <c r="H285" s="598" t="s">
        <v>23</v>
      </c>
      <c r="I285" s="568"/>
      <c r="J285" s="174"/>
      <c r="K285" s="174"/>
      <c r="L285" s="174"/>
      <c r="M285" s="174"/>
      <c r="N285" s="175"/>
      <c r="O285" s="2027"/>
      <c r="P285" s="2027"/>
    </row>
    <row r="286" spans="1:16" s="1193" customFormat="1" ht="18" customHeight="1" x14ac:dyDescent="0.3">
      <c r="A286" s="583">
        <v>277</v>
      </c>
      <c r="B286" s="1188"/>
      <c r="C286" s="1189"/>
      <c r="D286" s="1190" t="s">
        <v>308</v>
      </c>
      <c r="E286" s="1191"/>
      <c r="F286" s="1191"/>
      <c r="G286" s="1748"/>
      <c r="H286" s="1192"/>
      <c r="I286" s="1183">
        <f>SUM(J286:N286)</f>
        <v>1700</v>
      </c>
      <c r="J286" s="1184"/>
      <c r="K286" s="1184"/>
      <c r="L286" s="1184"/>
      <c r="M286" s="1184">
        <v>1700</v>
      </c>
      <c r="N286" s="1185"/>
    </row>
    <row r="287" spans="1:16" s="1193" customFormat="1" ht="18" customHeight="1" x14ac:dyDescent="0.3">
      <c r="A287" s="583">
        <v>278</v>
      </c>
      <c r="B287" s="1188"/>
      <c r="C287" s="1189"/>
      <c r="D287" s="576" t="s">
        <v>1158</v>
      </c>
      <c r="E287" s="1191"/>
      <c r="F287" s="1191"/>
      <c r="G287" s="1748"/>
      <c r="H287" s="1192"/>
      <c r="I287" s="566">
        <f>SUM(J287:N287)</f>
        <v>1700</v>
      </c>
      <c r="J287" s="1184"/>
      <c r="K287" s="1184"/>
      <c r="L287" s="1184"/>
      <c r="M287" s="443">
        <v>1700</v>
      </c>
      <c r="N287" s="1185"/>
    </row>
    <row r="288" spans="1:16" s="1193" customFormat="1" ht="18" customHeight="1" x14ac:dyDescent="0.3">
      <c r="A288" s="583">
        <v>279</v>
      </c>
      <c r="B288" s="1188"/>
      <c r="C288" s="1189"/>
      <c r="D288" s="1318" t="s">
        <v>947</v>
      </c>
      <c r="E288" s="1191"/>
      <c r="F288" s="1191"/>
      <c r="G288" s="1748"/>
      <c r="H288" s="1192"/>
      <c r="I288" s="1321">
        <f t="shared" ref="I288:I289" si="70">SUM(J288:N288)</f>
        <v>0</v>
      </c>
      <c r="J288" s="184"/>
      <c r="K288" s="184"/>
      <c r="L288" s="184"/>
      <c r="M288" s="184"/>
      <c r="N288" s="185"/>
    </row>
    <row r="289" spans="1:16" s="1193" customFormat="1" ht="18" customHeight="1" x14ac:dyDescent="0.3">
      <c r="A289" s="583">
        <v>280</v>
      </c>
      <c r="B289" s="1188"/>
      <c r="C289" s="1189"/>
      <c r="D289" s="576" t="s">
        <v>1250</v>
      </c>
      <c r="E289" s="1191"/>
      <c r="F289" s="1191"/>
      <c r="G289" s="1748"/>
      <c r="H289" s="1192"/>
      <c r="I289" s="566">
        <f t="shared" si="70"/>
        <v>1700</v>
      </c>
      <c r="J289" s="443"/>
      <c r="K289" s="443"/>
      <c r="L289" s="443"/>
      <c r="M289" s="443">
        <f>SUM(M287:M288)</f>
        <v>1700</v>
      </c>
      <c r="N289" s="439"/>
    </row>
    <row r="290" spans="1:16" s="2026" customFormat="1" ht="22.5" customHeight="1" x14ac:dyDescent="0.35">
      <c r="A290" s="583">
        <v>281</v>
      </c>
      <c r="B290" s="578"/>
      <c r="C290" s="161">
        <v>45</v>
      </c>
      <c r="D290" s="577" t="s">
        <v>284</v>
      </c>
      <c r="E290" s="163"/>
      <c r="F290" s="163">
        <v>100</v>
      </c>
      <c r="G290" s="1746"/>
      <c r="H290" s="598" t="s">
        <v>23</v>
      </c>
      <c r="I290" s="566"/>
      <c r="J290" s="167"/>
      <c r="K290" s="167"/>
      <c r="L290" s="167"/>
      <c r="M290" s="167"/>
      <c r="N290" s="168"/>
      <c r="P290" s="2027"/>
    </row>
    <row r="291" spans="1:16" s="1193" customFormat="1" ht="18" customHeight="1" x14ac:dyDescent="0.3">
      <c r="A291" s="583">
        <v>282</v>
      </c>
      <c r="B291" s="1188"/>
      <c r="C291" s="1189"/>
      <c r="D291" s="1190" t="s">
        <v>308</v>
      </c>
      <c r="E291" s="1191"/>
      <c r="F291" s="1191"/>
      <c r="G291" s="1748"/>
      <c r="H291" s="1192"/>
      <c r="I291" s="1183">
        <f>SUM(J291:N291)</f>
        <v>85</v>
      </c>
      <c r="J291" s="1184"/>
      <c r="K291" s="1184"/>
      <c r="L291" s="1184"/>
      <c r="M291" s="1184">
        <v>85</v>
      </c>
      <c r="N291" s="1185"/>
    </row>
    <row r="292" spans="1:16" s="1193" customFormat="1" ht="18" customHeight="1" x14ac:dyDescent="0.3">
      <c r="A292" s="583">
        <v>283</v>
      </c>
      <c r="B292" s="1188"/>
      <c r="C292" s="1189"/>
      <c r="D292" s="576" t="s">
        <v>1158</v>
      </c>
      <c r="E292" s="1191"/>
      <c r="F292" s="1191"/>
      <c r="G292" s="1748"/>
      <c r="H292" s="1196"/>
      <c r="I292" s="566">
        <f t="shared" ref="I292:I294" si="71">SUM(J292:N292)</f>
        <v>85</v>
      </c>
      <c r="J292" s="1184"/>
      <c r="K292" s="1184"/>
      <c r="L292" s="1184"/>
      <c r="M292" s="443">
        <v>85</v>
      </c>
      <c r="N292" s="1185"/>
    </row>
    <row r="293" spans="1:16" s="1193" customFormat="1" ht="18" customHeight="1" x14ac:dyDescent="0.3">
      <c r="A293" s="583">
        <v>284</v>
      </c>
      <c r="B293" s="1188"/>
      <c r="C293" s="1189"/>
      <c r="D293" s="1318" t="s">
        <v>947</v>
      </c>
      <c r="E293" s="1191"/>
      <c r="F293" s="1191"/>
      <c r="G293" s="1748"/>
      <c r="H293" s="1196"/>
      <c r="I293" s="1321">
        <f t="shared" si="71"/>
        <v>0</v>
      </c>
      <c r="J293" s="184"/>
      <c r="K293" s="184"/>
      <c r="L293" s="184"/>
      <c r="M293" s="184"/>
      <c r="N293" s="185"/>
    </row>
    <row r="294" spans="1:16" s="1193" customFormat="1" ht="18" customHeight="1" x14ac:dyDescent="0.3">
      <c r="A294" s="583">
        <v>285</v>
      </c>
      <c r="B294" s="1188"/>
      <c r="C294" s="1189"/>
      <c r="D294" s="576" t="s">
        <v>1250</v>
      </c>
      <c r="E294" s="1191"/>
      <c r="F294" s="1191"/>
      <c r="G294" s="1748"/>
      <c r="H294" s="1196"/>
      <c r="I294" s="566">
        <f t="shared" si="71"/>
        <v>85</v>
      </c>
      <c r="J294" s="443"/>
      <c r="K294" s="443"/>
      <c r="L294" s="443"/>
      <c r="M294" s="443">
        <f>SUM(M292:M293)</f>
        <v>85</v>
      </c>
      <c r="N294" s="439"/>
    </row>
    <row r="295" spans="1:16" s="2027" customFormat="1" ht="22.5" customHeight="1" x14ac:dyDescent="0.3">
      <c r="A295" s="583">
        <v>286</v>
      </c>
      <c r="B295" s="575"/>
      <c r="C295" s="161">
        <v>46</v>
      </c>
      <c r="D295" s="576" t="s">
        <v>440</v>
      </c>
      <c r="E295" s="163"/>
      <c r="F295" s="163">
        <v>100</v>
      </c>
      <c r="G295" s="1746"/>
      <c r="H295" s="600" t="s">
        <v>23</v>
      </c>
      <c r="I295" s="566"/>
      <c r="J295" s="167"/>
      <c r="K295" s="167"/>
      <c r="L295" s="167"/>
      <c r="M295" s="167"/>
      <c r="N295" s="168"/>
    </row>
    <row r="296" spans="1:16" s="1193" customFormat="1" ht="18" customHeight="1" x14ac:dyDescent="0.3">
      <c r="A296" s="583">
        <v>287</v>
      </c>
      <c r="B296" s="1188"/>
      <c r="C296" s="1189"/>
      <c r="D296" s="1190" t="s">
        <v>308</v>
      </c>
      <c r="E296" s="1191"/>
      <c r="F296" s="1191"/>
      <c r="G296" s="1748"/>
      <c r="H296" s="1196"/>
      <c r="I296" s="1183">
        <f>SUM(J296:N296)</f>
        <v>85</v>
      </c>
      <c r="J296" s="1184"/>
      <c r="K296" s="1184"/>
      <c r="L296" s="1184">
        <v>85</v>
      </c>
      <c r="M296" s="1184"/>
      <c r="N296" s="1185"/>
    </row>
    <row r="297" spans="1:16" s="1193" customFormat="1" ht="18" customHeight="1" x14ac:dyDescent="0.3">
      <c r="A297" s="583">
        <v>288</v>
      </c>
      <c r="B297" s="1188"/>
      <c r="C297" s="1189"/>
      <c r="D297" s="576" t="s">
        <v>1158</v>
      </c>
      <c r="E297" s="1191"/>
      <c r="F297" s="1191"/>
      <c r="G297" s="1748"/>
      <c r="H297" s="1196"/>
      <c r="I297" s="566">
        <f t="shared" ref="I297:I299" si="72">SUM(J297:N297)</f>
        <v>85</v>
      </c>
      <c r="J297" s="1184"/>
      <c r="K297" s="1184"/>
      <c r="L297" s="443">
        <v>85</v>
      </c>
      <c r="M297" s="1184"/>
      <c r="N297" s="1185"/>
    </row>
    <row r="298" spans="1:16" s="1193" customFormat="1" ht="18" customHeight="1" x14ac:dyDescent="0.3">
      <c r="A298" s="583">
        <v>289</v>
      </c>
      <c r="B298" s="1188"/>
      <c r="C298" s="1189"/>
      <c r="D298" s="1318" t="s">
        <v>947</v>
      </c>
      <c r="E298" s="1191"/>
      <c r="F298" s="1191"/>
      <c r="G298" s="1748"/>
      <c r="H298" s="1196"/>
      <c r="I298" s="1321">
        <f t="shared" si="72"/>
        <v>0</v>
      </c>
      <c r="J298" s="184"/>
      <c r="K298" s="184"/>
      <c r="L298" s="184"/>
      <c r="M298" s="184"/>
      <c r="N298" s="185"/>
    </row>
    <row r="299" spans="1:16" s="1193" customFormat="1" ht="18" customHeight="1" x14ac:dyDescent="0.3">
      <c r="A299" s="583">
        <v>290</v>
      </c>
      <c r="B299" s="1188"/>
      <c r="C299" s="1189"/>
      <c r="D299" s="576" t="s">
        <v>1250</v>
      </c>
      <c r="E299" s="1191"/>
      <c r="F299" s="1191"/>
      <c r="G299" s="1748"/>
      <c r="H299" s="1196"/>
      <c r="I299" s="566">
        <f t="shared" si="72"/>
        <v>85</v>
      </c>
      <c r="J299" s="443"/>
      <c r="K299" s="443"/>
      <c r="L299" s="443">
        <f>SUM(L297:L298)</f>
        <v>85</v>
      </c>
      <c r="M299" s="443"/>
      <c r="N299" s="439"/>
    </row>
    <row r="300" spans="1:16" s="2026" customFormat="1" ht="22.5" customHeight="1" x14ac:dyDescent="0.35">
      <c r="A300" s="583">
        <v>291</v>
      </c>
      <c r="B300" s="578"/>
      <c r="C300" s="161">
        <v>47</v>
      </c>
      <c r="D300" s="577" t="s">
        <v>285</v>
      </c>
      <c r="E300" s="163">
        <f>SUM(E305,E319,E324,E329,E334,E339,E344,E349)</f>
        <v>10952</v>
      </c>
      <c r="F300" s="163">
        <f>SUM(F305,F319,F324,F329,F334,F339,F344,F349)+F314</f>
        <v>27650</v>
      </c>
      <c r="G300" s="1746">
        <f>SUM(G305,G319,G324,G329,G334,G339,G344,G349)+G314</f>
        <v>11293</v>
      </c>
      <c r="H300" s="598"/>
      <c r="I300" s="567"/>
      <c r="J300" s="170"/>
      <c r="K300" s="170"/>
      <c r="L300" s="170"/>
      <c r="M300" s="170"/>
      <c r="N300" s="171"/>
      <c r="O300" s="2027"/>
      <c r="P300" s="2027"/>
    </row>
    <row r="301" spans="1:16" s="1193" customFormat="1" ht="18" customHeight="1" x14ac:dyDescent="0.3">
      <c r="A301" s="583">
        <v>292</v>
      </c>
      <c r="B301" s="1188"/>
      <c r="C301" s="1189"/>
      <c r="D301" s="1190" t="s">
        <v>308</v>
      </c>
      <c r="E301" s="1191"/>
      <c r="F301" s="1191"/>
      <c r="G301" s="1748"/>
      <c r="H301" s="1192"/>
      <c r="I301" s="1183">
        <f>SUM(J301:N301)</f>
        <v>17553</v>
      </c>
      <c r="J301" s="1184">
        <f>SUM(J306,J320,J325,J330,J335,J340,J345,J350)</f>
        <v>0</v>
      </c>
      <c r="K301" s="1184">
        <f>SUM(K306,K320,K325,K330,K335,K340,K345,K350)</f>
        <v>0</v>
      </c>
      <c r="L301" s="1184">
        <f>SUM(L306,L320,L325,L330,L335,L340,L345,L350)</f>
        <v>0</v>
      </c>
      <c r="M301" s="1184">
        <f>SUM(M306,M320,M325,M330,M335,M340,M345,M350)+M315</f>
        <v>17553</v>
      </c>
      <c r="N301" s="1185">
        <f>SUM(N306,N320,N325,N330,N335,N340,N345,N350)</f>
        <v>0</v>
      </c>
    </row>
    <row r="302" spans="1:16" s="1193" customFormat="1" ht="18" customHeight="1" x14ac:dyDescent="0.3">
      <c r="A302" s="583">
        <v>293</v>
      </c>
      <c r="B302" s="1188"/>
      <c r="C302" s="1189"/>
      <c r="D302" s="576" t="s">
        <v>1158</v>
      </c>
      <c r="E302" s="1191"/>
      <c r="F302" s="1191"/>
      <c r="G302" s="1748"/>
      <c r="H302" s="1192"/>
      <c r="I302" s="566">
        <f t="shared" ref="I302:I304" si="73">SUM(J302:N302)</f>
        <v>24293</v>
      </c>
      <c r="J302" s="443">
        <f t="shared" ref="J302:L302" si="74">SUM(J307,J321,J326,J331,J336,J341,J346,J351)+J316+J311</f>
        <v>0</v>
      </c>
      <c r="K302" s="443">
        <f t="shared" si="74"/>
        <v>0</v>
      </c>
      <c r="L302" s="443">
        <f t="shared" si="74"/>
        <v>0</v>
      </c>
      <c r="M302" s="443">
        <f>SUM(M307,M321,M326,M331,M336,M341,M346,M351)+M316+M311</f>
        <v>24293</v>
      </c>
      <c r="N302" s="439">
        <f>SUM(N307,N321,N326,N331,N336,N341,N346,N351)+N316+N311</f>
        <v>0</v>
      </c>
    </row>
    <row r="303" spans="1:16" s="1193" customFormat="1" ht="18" customHeight="1" x14ac:dyDescent="0.3">
      <c r="A303" s="583">
        <v>294</v>
      </c>
      <c r="B303" s="1188"/>
      <c r="C303" s="1189"/>
      <c r="D303" s="1318" t="s">
        <v>947</v>
      </c>
      <c r="E303" s="1191"/>
      <c r="F303" s="1191"/>
      <c r="G303" s="1748"/>
      <c r="H303" s="1192"/>
      <c r="I303" s="1321">
        <f t="shared" si="73"/>
        <v>0</v>
      </c>
      <c r="J303" s="184">
        <f>J308+J317+J322+J327+J332+J337+J342+J347+J352+J312</f>
        <v>0</v>
      </c>
      <c r="K303" s="184">
        <f t="shared" ref="K303:N303" si="75">K308+K317+K322+K327+K332+K337+K342+K347+K352+K312</f>
        <v>0</v>
      </c>
      <c r="L303" s="184">
        <f t="shared" si="75"/>
        <v>0</v>
      </c>
      <c r="M303" s="184">
        <f t="shared" si="75"/>
        <v>0</v>
      </c>
      <c r="N303" s="185">
        <f t="shared" si="75"/>
        <v>0</v>
      </c>
    </row>
    <row r="304" spans="1:16" s="1193" customFormat="1" ht="18" customHeight="1" x14ac:dyDescent="0.3">
      <c r="A304" s="583">
        <v>295</v>
      </c>
      <c r="B304" s="1188"/>
      <c r="C304" s="1189"/>
      <c r="D304" s="576" t="s">
        <v>1250</v>
      </c>
      <c r="E304" s="1191"/>
      <c r="F304" s="1191"/>
      <c r="G304" s="1748"/>
      <c r="H304" s="1192"/>
      <c r="I304" s="566">
        <f t="shared" si="73"/>
        <v>24293</v>
      </c>
      <c r="J304" s="443">
        <f>SUM(J302:J303)</f>
        <v>0</v>
      </c>
      <c r="K304" s="443">
        <f t="shared" ref="K304:N304" si="76">SUM(K302:K303)</f>
        <v>0</v>
      </c>
      <c r="L304" s="443">
        <f t="shared" si="76"/>
        <v>0</v>
      </c>
      <c r="M304" s="443">
        <f t="shared" si="76"/>
        <v>24293</v>
      </c>
      <c r="N304" s="439">
        <f t="shared" si="76"/>
        <v>0</v>
      </c>
    </row>
    <row r="305" spans="1:16" s="615" customFormat="1" ht="18" customHeight="1" x14ac:dyDescent="0.3">
      <c r="A305" s="583">
        <v>296</v>
      </c>
      <c r="B305" s="172"/>
      <c r="C305" s="165"/>
      <c r="D305" s="440" t="s">
        <v>290</v>
      </c>
      <c r="E305" s="173">
        <v>2100</v>
      </c>
      <c r="F305" s="173">
        <v>2500</v>
      </c>
      <c r="G305" s="1749">
        <v>2021</v>
      </c>
      <c r="H305" s="599" t="s">
        <v>23</v>
      </c>
      <c r="I305" s="568"/>
      <c r="J305" s="184"/>
      <c r="K305" s="184"/>
      <c r="L305" s="184"/>
      <c r="M305" s="184"/>
      <c r="N305" s="185"/>
      <c r="P305" s="616"/>
    </row>
    <row r="306" spans="1:16" s="1211" customFormat="1" ht="18" customHeight="1" x14ac:dyDescent="0.3">
      <c r="A306" s="583">
        <v>297</v>
      </c>
      <c r="B306" s="1200"/>
      <c r="C306" s="1189"/>
      <c r="D306" s="1209" t="s">
        <v>308</v>
      </c>
      <c r="E306" s="1202"/>
      <c r="F306" s="1202"/>
      <c r="G306" s="1752"/>
      <c r="H306" s="1203"/>
      <c r="I306" s="1186">
        <f>SUM(J306:N306)</f>
        <v>2125</v>
      </c>
      <c r="J306" s="1204"/>
      <c r="K306" s="1204"/>
      <c r="L306" s="1204"/>
      <c r="M306" s="1204">
        <v>2125</v>
      </c>
      <c r="N306" s="1205"/>
      <c r="P306" s="1212"/>
    </row>
    <row r="307" spans="1:16" s="1211" customFormat="1" ht="18" customHeight="1" x14ac:dyDescent="0.3">
      <c r="A307" s="583">
        <v>298</v>
      </c>
      <c r="B307" s="1200"/>
      <c r="C307" s="1189"/>
      <c r="D307" s="1324" t="s">
        <v>1158</v>
      </c>
      <c r="E307" s="1202"/>
      <c r="F307" s="1202"/>
      <c r="G307" s="1752"/>
      <c r="H307" s="1203"/>
      <c r="I307" s="568">
        <f t="shared" ref="I307:I313" si="77">SUM(J307:N307)</f>
        <v>2325</v>
      </c>
      <c r="J307" s="1204"/>
      <c r="K307" s="1204"/>
      <c r="L307" s="1204"/>
      <c r="M307" s="1322">
        <v>2325</v>
      </c>
      <c r="N307" s="1205"/>
      <c r="P307" s="1212"/>
    </row>
    <row r="308" spans="1:16" s="1211" customFormat="1" ht="18" customHeight="1" x14ac:dyDescent="0.3">
      <c r="A308" s="583">
        <v>299</v>
      </c>
      <c r="B308" s="1200"/>
      <c r="C308" s="1189"/>
      <c r="D308" s="1325" t="s">
        <v>970</v>
      </c>
      <c r="E308" s="1202"/>
      <c r="F308" s="1202"/>
      <c r="G308" s="1752"/>
      <c r="H308" s="1203"/>
      <c r="I308" s="1321">
        <f t="shared" si="77"/>
        <v>0</v>
      </c>
      <c r="J308" s="184"/>
      <c r="K308" s="184"/>
      <c r="L308" s="184"/>
      <c r="M308" s="184"/>
      <c r="N308" s="185"/>
      <c r="P308" s="1212"/>
    </row>
    <row r="309" spans="1:16" s="1211" customFormat="1" ht="18" customHeight="1" x14ac:dyDescent="0.3">
      <c r="A309" s="583">
        <v>300</v>
      </c>
      <c r="B309" s="1200"/>
      <c r="C309" s="1189"/>
      <c r="D309" s="1324" t="s">
        <v>1250</v>
      </c>
      <c r="E309" s="1202"/>
      <c r="F309" s="1202"/>
      <c r="G309" s="1752"/>
      <c r="H309" s="1203"/>
      <c r="I309" s="568">
        <f t="shared" si="77"/>
        <v>2325</v>
      </c>
      <c r="J309" s="1322"/>
      <c r="K309" s="1322"/>
      <c r="L309" s="1322"/>
      <c r="M309" s="1322">
        <f>SUM(M307:M308)</f>
        <v>2325</v>
      </c>
      <c r="N309" s="1323"/>
      <c r="P309" s="1212"/>
    </row>
    <row r="310" spans="1:16" s="1211" customFormat="1" ht="18" customHeight="1" x14ac:dyDescent="0.3">
      <c r="A310" s="583">
        <v>301</v>
      </c>
      <c r="B310" s="1200"/>
      <c r="C310" s="1189"/>
      <c r="D310" s="441" t="s">
        <v>1016</v>
      </c>
      <c r="E310" s="1202"/>
      <c r="F310" s="1202"/>
      <c r="G310" s="1752"/>
      <c r="H310" s="599" t="s">
        <v>24</v>
      </c>
      <c r="I310" s="568"/>
      <c r="J310" s="1322"/>
      <c r="K310" s="1322"/>
      <c r="L310" s="1322"/>
      <c r="M310" s="1322"/>
      <c r="N310" s="1323"/>
      <c r="P310" s="1212"/>
    </row>
    <row r="311" spans="1:16" s="1211" customFormat="1" ht="18" customHeight="1" x14ac:dyDescent="0.3">
      <c r="A311" s="583">
        <v>302</v>
      </c>
      <c r="B311" s="1200"/>
      <c r="C311" s="1189"/>
      <c r="D311" s="1324" t="s">
        <v>1158</v>
      </c>
      <c r="E311" s="1202"/>
      <c r="F311" s="1202"/>
      <c r="G311" s="1752"/>
      <c r="H311" s="599"/>
      <c r="I311" s="568">
        <f t="shared" si="77"/>
        <v>8500</v>
      </c>
      <c r="J311" s="1322"/>
      <c r="K311" s="1322"/>
      <c r="L311" s="1322"/>
      <c r="M311" s="1322">
        <v>8500</v>
      </c>
      <c r="N311" s="1323"/>
      <c r="P311" s="1212"/>
    </row>
    <row r="312" spans="1:16" s="1211" customFormat="1" ht="18" customHeight="1" x14ac:dyDescent="0.3">
      <c r="A312" s="583">
        <v>303</v>
      </c>
      <c r="B312" s="1200"/>
      <c r="C312" s="1189"/>
      <c r="D312" s="1325" t="s">
        <v>969</v>
      </c>
      <c r="E312" s="1202"/>
      <c r="F312" s="1202"/>
      <c r="G312" s="1752"/>
      <c r="H312" s="1203"/>
      <c r="I312" s="1321">
        <f t="shared" si="77"/>
        <v>0</v>
      </c>
      <c r="J312" s="1322"/>
      <c r="K312" s="1322"/>
      <c r="L312" s="1322"/>
      <c r="M312" s="167"/>
      <c r="N312" s="1323"/>
      <c r="P312" s="1212"/>
    </row>
    <row r="313" spans="1:16" s="1211" customFormat="1" ht="18" customHeight="1" x14ac:dyDescent="0.3">
      <c r="A313" s="583">
        <v>304</v>
      </c>
      <c r="B313" s="1200"/>
      <c r="C313" s="1189"/>
      <c r="D313" s="1324" t="s">
        <v>1250</v>
      </c>
      <c r="E313" s="1202"/>
      <c r="F313" s="1202"/>
      <c r="G313" s="1752"/>
      <c r="H313" s="1203"/>
      <c r="I313" s="568">
        <f t="shared" si="77"/>
        <v>8500</v>
      </c>
      <c r="J313" s="1322"/>
      <c r="K313" s="1322"/>
      <c r="L313" s="1322"/>
      <c r="M313" s="1322">
        <f>SUM(M311:M312)</f>
        <v>8500</v>
      </c>
      <c r="N313" s="1323"/>
      <c r="P313" s="1212"/>
    </row>
    <row r="314" spans="1:16" s="615" customFormat="1" ht="18" customHeight="1" x14ac:dyDescent="0.3">
      <c r="A314" s="583">
        <v>305</v>
      </c>
      <c r="B314" s="172"/>
      <c r="C314" s="165"/>
      <c r="D314" s="441" t="s">
        <v>618</v>
      </c>
      <c r="E314" s="173"/>
      <c r="F314" s="173">
        <v>12500</v>
      </c>
      <c r="G314" s="1749">
        <v>302</v>
      </c>
      <c r="H314" s="599" t="s">
        <v>24</v>
      </c>
      <c r="I314" s="568"/>
      <c r="J314" s="184"/>
      <c r="K314" s="184"/>
      <c r="L314" s="184"/>
      <c r="M314" s="184"/>
      <c r="N314" s="185"/>
      <c r="P314" s="616"/>
    </row>
    <row r="315" spans="1:16" s="1211" customFormat="1" ht="18" customHeight="1" x14ac:dyDescent="0.3">
      <c r="A315" s="583">
        <v>306</v>
      </c>
      <c r="B315" s="1200"/>
      <c r="C315" s="1189"/>
      <c r="D315" s="1209" t="s">
        <v>308</v>
      </c>
      <c r="E315" s="1202"/>
      <c r="F315" s="1202"/>
      <c r="G315" s="1752"/>
      <c r="H315" s="1203"/>
      <c r="I315" s="1186">
        <f>SUM(J315:N315)</f>
        <v>4675</v>
      </c>
      <c r="J315" s="1204"/>
      <c r="K315" s="1204"/>
      <c r="L315" s="1204"/>
      <c r="M315" s="1204">
        <v>4675</v>
      </c>
      <c r="N315" s="1205"/>
      <c r="P315" s="1212"/>
    </row>
    <row r="316" spans="1:16" s="1211" customFormat="1" ht="18" customHeight="1" x14ac:dyDescent="0.3">
      <c r="A316" s="583">
        <v>307</v>
      </c>
      <c r="B316" s="1200"/>
      <c r="C316" s="1189"/>
      <c r="D316" s="1324" t="s">
        <v>1158</v>
      </c>
      <c r="E316" s="1202"/>
      <c r="F316" s="1202"/>
      <c r="G316" s="1752"/>
      <c r="H316" s="1203"/>
      <c r="I316" s="568">
        <f t="shared" ref="I316" si="78">SUM(J316:N316)</f>
        <v>2775</v>
      </c>
      <c r="J316" s="1204"/>
      <c r="K316" s="1204"/>
      <c r="L316" s="1204"/>
      <c r="M316" s="1322">
        <v>2775</v>
      </c>
      <c r="N316" s="1205"/>
      <c r="P316" s="1212"/>
    </row>
    <row r="317" spans="1:16" s="1211" customFormat="1" ht="18" customHeight="1" x14ac:dyDescent="0.3">
      <c r="A317" s="583">
        <v>308</v>
      </c>
      <c r="B317" s="1200"/>
      <c r="C317" s="1189"/>
      <c r="D317" s="1325" t="s">
        <v>970</v>
      </c>
      <c r="E317" s="1202"/>
      <c r="F317" s="1202"/>
      <c r="G317" s="1752"/>
      <c r="H317" s="1203"/>
      <c r="I317" s="1321">
        <f t="shared" ref="I317:I318" si="79">SUM(J317:N317)</f>
        <v>0</v>
      </c>
      <c r="J317" s="184"/>
      <c r="K317" s="184"/>
      <c r="L317" s="184"/>
      <c r="M317" s="184"/>
      <c r="N317" s="185"/>
      <c r="P317" s="1212"/>
    </row>
    <row r="318" spans="1:16" s="1211" customFormat="1" ht="18" customHeight="1" x14ac:dyDescent="0.3">
      <c r="A318" s="583">
        <v>309</v>
      </c>
      <c r="B318" s="1200"/>
      <c r="C318" s="1189"/>
      <c r="D318" s="1324" t="s">
        <v>1250</v>
      </c>
      <c r="E318" s="1202"/>
      <c r="F318" s="1202"/>
      <c r="G318" s="1752"/>
      <c r="H318" s="1203"/>
      <c r="I318" s="568">
        <f t="shared" si="79"/>
        <v>2775</v>
      </c>
      <c r="J318" s="1322"/>
      <c r="K318" s="1322"/>
      <c r="L318" s="1322"/>
      <c r="M318" s="1322">
        <f>SUM(M316:M317)</f>
        <v>2775</v>
      </c>
      <c r="N318" s="1323"/>
      <c r="P318" s="1212"/>
    </row>
    <row r="319" spans="1:16" s="615" customFormat="1" ht="18" customHeight="1" x14ac:dyDescent="0.3">
      <c r="A319" s="583">
        <v>310</v>
      </c>
      <c r="B319" s="172"/>
      <c r="C319" s="165"/>
      <c r="D319" s="441" t="s">
        <v>441</v>
      </c>
      <c r="E319" s="173">
        <v>6360</v>
      </c>
      <c r="F319" s="173">
        <v>8000</v>
      </c>
      <c r="G319" s="1749">
        <v>6288</v>
      </c>
      <c r="H319" s="599" t="s">
        <v>24</v>
      </c>
      <c r="I319" s="569"/>
      <c r="J319" s="174"/>
      <c r="K319" s="174"/>
      <c r="L319" s="174"/>
      <c r="M319" s="174"/>
      <c r="N319" s="175"/>
      <c r="P319" s="616"/>
    </row>
    <row r="320" spans="1:16" s="1211" customFormat="1" ht="18" customHeight="1" x14ac:dyDescent="0.3">
      <c r="A320" s="583">
        <v>311</v>
      </c>
      <c r="B320" s="1200"/>
      <c r="C320" s="1189"/>
      <c r="D320" s="1209" t="s">
        <v>308</v>
      </c>
      <c r="E320" s="1202"/>
      <c r="F320" s="1202"/>
      <c r="G320" s="1752"/>
      <c r="H320" s="1203"/>
      <c r="I320" s="1186">
        <f>SUM(J320:N320)</f>
        <v>6800</v>
      </c>
      <c r="J320" s="1204"/>
      <c r="K320" s="1204"/>
      <c r="L320" s="1204"/>
      <c r="M320" s="1204">
        <v>6800</v>
      </c>
      <c r="N320" s="1205"/>
      <c r="P320" s="1212"/>
    </row>
    <row r="321" spans="1:16" s="1211" customFormat="1" ht="18" customHeight="1" x14ac:dyDescent="0.3">
      <c r="A321" s="583">
        <v>312</v>
      </c>
      <c r="B321" s="1200"/>
      <c r="C321" s="1189"/>
      <c r="D321" s="1324" t="s">
        <v>1158</v>
      </c>
      <c r="E321" s="1202"/>
      <c r="F321" s="1202"/>
      <c r="G321" s="1752"/>
      <c r="H321" s="1203"/>
      <c r="I321" s="568">
        <f t="shared" ref="I321" si="80">SUM(J321:N321)</f>
        <v>6940</v>
      </c>
      <c r="J321" s="1204"/>
      <c r="K321" s="1204"/>
      <c r="L321" s="1204"/>
      <c r="M321" s="1322">
        <v>6940</v>
      </c>
      <c r="N321" s="1205"/>
      <c r="P321" s="1212"/>
    </row>
    <row r="322" spans="1:16" s="1211" customFormat="1" ht="18" customHeight="1" x14ac:dyDescent="0.3">
      <c r="A322" s="583">
        <v>313</v>
      </c>
      <c r="B322" s="1200"/>
      <c r="C322" s="1189"/>
      <c r="D322" s="1325" t="s">
        <v>970</v>
      </c>
      <c r="E322" s="1202"/>
      <c r="F322" s="1202"/>
      <c r="G322" s="1752"/>
      <c r="H322" s="1203"/>
      <c r="I322" s="1321">
        <f t="shared" ref="I322:I323" si="81">SUM(J322:N322)</f>
        <v>0</v>
      </c>
      <c r="J322" s="184"/>
      <c r="K322" s="184"/>
      <c r="L322" s="184"/>
      <c r="M322" s="184"/>
      <c r="N322" s="185"/>
      <c r="P322" s="1212"/>
    </row>
    <row r="323" spans="1:16" s="1211" customFormat="1" ht="18" customHeight="1" x14ac:dyDescent="0.3">
      <c r="A323" s="583">
        <v>314</v>
      </c>
      <c r="B323" s="1200"/>
      <c r="C323" s="1189"/>
      <c r="D323" s="1324" t="s">
        <v>1250</v>
      </c>
      <c r="E323" s="1202"/>
      <c r="F323" s="1202"/>
      <c r="G323" s="1752"/>
      <c r="H323" s="1203"/>
      <c r="I323" s="568">
        <f t="shared" si="81"/>
        <v>6940</v>
      </c>
      <c r="J323" s="1322"/>
      <c r="K323" s="1322"/>
      <c r="L323" s="1322"/>
      <c r="M323" s="1322">
        <f>SUM(M321:M322)</f>
        <v>6940</v>
      </c>
      <c r="N323" s="1323"/>
      <c r="P323" s="1212"/>
    </row>
    <row r="324" spans="1:16" s="615" customFormat="1" ht="18" customHeight="1" x14ac:dyDescent="0.3">
      <c r="A324" s="583">
        <v>315</v>
      </c>
      <c r="B324" s="172"/>
      <c r="C324" s="165"/>
      <c r="D324" s="441" t="s">
        <v>442</v>
      </c>
      <c r="E324" s="173"/>
      <c r="F324" s="173">
        <v>100</v>
      </c>
      <c r="G324" s="1749"/>
      <c r="H324" s="599" t="s">
        <v>24</v>
      </c>
      <c r="I324" s="569"/>
      <c r="J324" s="174"/>
      <c r="K324" s="174"/>
      <c r="L324" s="174"/>
      <c r="M324" s="174"/>
      <c r="N324" s="175"/>
      <c r="P324" s="616"/>
    </row>
    <row r="325" spans="1:16" s="1211" customFormat="1" ht="18" customHeight="1" x14ac:dyDescent="0.3">
      <c r="A325" s="583">
        <v>316</v>
      </c>
      <c r="B325" s="1200"/>
      <c r="C325" s="1189"/>
      <c r="D325" s="1209" t="s">
        <v>308</v>
      </c>
      <c r="E325" s="1202"/>
      <c r="F325" s="1202"/>
      <c r="G325" s="1752"/>
      <c r="H325" s="1203"/>
      <c r="I325" s="1186">
        <f>SUM(J325:N325)</f>
        <v>85</v>
      </c>
      <c r="J325" s="1204"/>
      <c r="K325" s="1204"/>
      <c r="L325" s="1204"/>
      <c r="M325" s="1204">
        <v>85</v>
      </c>
      <c r="N325" s="1205"/>
      <c r="P325" s="1212"/>
    </row>
    <row r="326" spans="1:16" s="1211" customFormat="1" ht="18" customHeight="1" x14ac:dyDescent="0.3">
      <c r="A326" s="583">
        <v>317</v>
      </c>
      <c r="B326" s="1200"/>
      <c r="C326" s="1189"/>
      <c r="D326" s="1324" t="s">
        <v>1158</v>
      </c>
      <c r="E326" s="1202"/>
      <c r="F326" s="1202"/>
      <c r="G326" s="1752"/>
      <c r="H326" s="1203"/>
      <c r="I326" s="568">
        <f t="shared" ref="I326" si="82">SUM(J326:N326)</f>
        <v>85</v>
      </c>
      <c r="J326" s="1204"/>
      <c r="K326" s="1204"/>
      <c r="L326" s="1204"/>
      <c r="M326" s="1322">
        <v>85</v>
      </c>
      <c r="N326" s="1205"/>
      <c r="P326" s="1212"/>
    </row>
    <row r="327" spans="1:16" s="1211" customFormat="1" ht="18" customHeight="1" x14ac:dyDescent="0.3">
      <c r="A327" s="583">
        <v>318</v>
      </c>
      <c r="B327" s="1200"/>
      <c r="C327" s="1189"/>
      <c r="D327" s="1325" t="s">
        <v>947</v>
      </c>
      <c r="E327" s="1202"/>
      <c r="F327" s="1202"/>
      <c r="G327" s="1752"/>
      <c r="H327" s="1203"/>
      <c r="I327" s="1321">
        <f t="shared" ref="I327:I328" si="83">SUM(J327:N327)</f>
        <v>0</v>
      </c>
      <c r="J327" s="184"/>
      <c r="K327" s="184"/>
      <c r="L327" s="184"/>
      <c r="M327" s="184"/>
      <c r="N327" s="185"/>
      <c r="P327" s="1212"/>
    </row>
    <row r="328" spans="1:16" s="1211" customFormat="1" ht="18" customHeight="1" x14ac:dyDescent="0.3">
      <c r="A328" s="583">
        <v>319</v>
      </c>
      <c r="B328" s="1200"/>
      <c r="C328" s="1189"/>
      <c r="D328" s="1324" t="s">
        <v>1250</v>
      </c>
      <c r="E328" s="1202"/>
      <c r="F328" s="1202"/>
      <c r="G328" s="1752"/>
      <c r="H328" s="1203"/>
      <c r="I328" s="568">
        <f t="shared" si="83"/>
        <v>85</v>
      </c>
      <c r="J328" s="1322"/>
      <c r="K328" s="1322"/>
      <c r="L328" s="1322"/>
      <c r="M328" s="1322">
        <f>SUM(M326:M327)</f>
        <v>85</v>
      </c>
      <c r="N328" s="1323"/>
      <c r="P328" s="1212"/>
    </row>
    <row r="329" spans="1:16" s="615" customFormat="1" ht="18" customHeight="1" x14ac:dyDescent="0.3">
      <c r="A329" s="583">
        <v>320</v>
      </c>
      <c r="B329" s="172"/>
      <c r="C329" s="165"/>
      <c r="D329" s="441" t="s">
        <v>443</v>
      </c>
      <c r="E329" s="173">
        <v>1215</v>
      </c>
      <c r="F329" s="173">
        <v>2000</v>
      </c>
      <c r="G329" s="1749">
        <v>1320</v>
      </c>
      <c r="H329" s="599" t="s">
        <v>24</v>
      </c>
      <c r="I329" s="569"/>
      <c r="J329" s="174"/>
      <c r="K329" s="174"/>
      <c r="L329" s="174"/>
      <c r="M329" s="174"/>
      <c r="N329" s="175"/>
      <c r="P329" s="616"/>
    </row>
    <row r="330" spans="1:16" s="1211" customFormat="1" ht="18" customHeight="1" x14ac:dyDescent="0.3">
      <c r="A330" s="583">
        <v>321</v>
      </c>
      <c r="B330" s="1200"/>
      <c r="C330" s="1189"/>
      <c r="D330" s="1209" t="s">
        <v>308</v>
      </c>
      <c r="E330" s="1202"/>
      <c r="F330" s="1202"/>
      <c r="G330" s="1752"/>
      <c r="H330" s="1203"/>
      <c r="I330" s="1186">
        <f>SUM(J330:N330)</f>
        <v>1700</v>
      </c>
      <c r="J330" s="1204"/>
      <c r="K330" s="1204"/>
      <c r="L330" s="1204"/>
      <c r="M330" s="1204">
        <v>1700</v>
      </c>
      <c r="N330" s="1205"/>
      <c r="P330" s="1212"/>
    </row>
    <row r="331" spans="1:16" s="1211" customFormat="1" ht="18" customHeight="1" x14ac:dyDescent="0.3">
      <c r="A331" s="583">
        <v>322</v>
      </c>
      <c r="B331" s="1200"/>
      <c r="C331" s="1189"/>
      <c r="D331" s="1324" t="s">
        <v>1158</v>
      </c>
      <c r="E331" s="1202"/>
      <c r="F331" s="1202"/>
      <c r="G331" s="1752"/>
      <c r="H331" s="1203"/>
      <c r="I331" s="568">
        <f t="shared" ref="I331" si="84">SUM(J331:N331)</f>
        <v>1300</v>
      </c>
      <c r="J331" s="1204"/>
      <c r="K331" s="1204"/>
      <c r="L331" s="1204"/>
      <c r="M331" s="1322">
        <v>1300</v>
      </c>
      <c r="N331" s="1205"/>
      <c r="P331" s="1212"/>
    </row>
    <row r="332" spans="1:16" s="1211" customFormat="1" ht="18" customHeight="1" x14ac:dyDescent="0.3">
      <c r="A332" s="583">
        <v>323</v>
      </c>
      <c r="B332" s="1200"/>
      <c r="C332" s="1189"/>
      <c r="D332" s="1325" t="s">
        <v>970</v>
      </c>
      <c r="E332" s="1202"/>
      <c r="F332" s="1202"/>
      <c r="G332" s="1752"/>
      <c r="H332" s="1203"/>
      <c r="I332" s="1321">
        <f t="shared" ref="I332:I333" si="85">SUM(J332:N332)</f>
        <v>0</v>
      </c>
      <c r="J332" s="184"/>
      <c r="K332" s="184"/>
      <c r="L332" s="184"/>
      <c r="M332" s="184"/>
      <c r="N332" s="185"/>
      <c r="P332" s="1212"/>
    </row>
    <row r="333" spans="1:16" s="1211" customFormat="1" ht="18" customHeight="1" x14ac:dyDescent="0.3">
      <c r="A333" s="583">
        <v>324</v>
      </c>
      <c r="B333" s="1200"/>
      <c r="C333" s="1189"/>
      <c r="D333" s="1324" t="s">
        <v>1250</v>
      </c>
      <c r="E333" s="1202"/>
      <c r="F333" s="1202"/>
      <c r="G333" s="1752"/>
      <c r="H333" s="1203"/>
      <c r="I333" s="568">
        <f t="shared" si="85"/>
        <v>1300</v>
      </c>
      <c r="J333" s="1322"/>
      <c r="K333" s="1322"/>
      <c r="L333" s="1322"/>
      <c r="M333" s="1322">
        <f>SUM(M331:M332)</f>
        <v>1300</v>
      </c>
      <c r="N333" s="1205"/>
      <c r="P333" s="1212"/>
    </row>
    <row r="334" spans="1:16" s="615" customFormat="1" ht="18" customHeight="1" x14ac:dyDescent="0.3">
      <c r="A334" s="583">
        <v>325</v>
      </c>
      <c r="B334" s="172"/>
      <c r="C334" s="165"/>
      <c r="D334" s="441" t="s">
        <v>444</v>
      </c>
      <c r="E334" s="173"/>
      <c r="F334" s="173">
        <v>50</v>
      </c>
      <c r="G334" s="1749"/>
      <c r="H334" s="599" t="s">
        <v>24</v>
      </c>
      <c r="I334" s="569"/>
      <c r="J334" s="174"/>
      <c r="K334" s="174"/>
      <c r="L334" s="174"/>
      <c r="M334" s="174"/>
      <c r="N334" s="175"/>
      <c r="P334" s="616"/>
    </row>
    <row r="335" spans="1:16" s="1211" customFormat="1" ht="18" customHeight="1" x14ac:dyDescent="0.3">
      <c r="A335" s="583">
        <v>326</v>
      </c>
      <c r="B335" s="1200"/>
      <c r="C335" s="1189"/>
      <c r="D335" s="1209" t="s">
        <v>308</v>
      </c>
      <c r="E335" s="1202"/>
      <c r="F335" s="1202"/>
      <c r="G335" s="1752"/>
      <c r="H335" s="1203"/>
      <c r="I335" s="1186">
        <f>SUM(J335:N335)</f>
        <v>43</v>
      </c>
      <c r="J335" s="1204"/>
      <c r="K335" s="1204"/>
      <c r="L335" s="1204"/>
      <c r="M335" s="1204">
        <v>43</v>
      </c>
      <c r="N335" s="1205"/>
      <c r="P335" s="1212"/>
    </row>
    <row r="336" spans="1:16" s="1211" customFormat="1" ht="18" customHeight="1" x14ac:dyDescent="0.3">
      <c r="A336" s="583">
        <v>327</v>
      </c>
      <c r="B336" s="1200"/>
      <c r="C336" s="1189"/>
      <c r="D336" s="1324" t="s">
        <v>1158</v>
      </c>
      <c r="E336" s="1202"/>
      <c r="F336" s="1202"/>
      <c r="G336" s="1752"/>
      <c r="H336" s="1203"/>
      <c r="I336" s="568">
        <f t="shared" ref="I336" si="86">SUM(J336:N336)</f>
        <v>43</v>
      </c>
      <c r="J336" s="1204"/>
      <c r="K336" s="1204"/>
      <c r="L336" s="1204"/>
      <c r="M336" s="1322">
        <v>43</v>
      </c>
      <c r="N336" s="1205"/>
      <c r="P336" s="1212"/>
    </row>
    <row r="337" spans="1:16" s="1211" customFormat="1" ht="18" customHeight="1" x14ac:dyDescent="0.3">
      <c r="A337" s="583">
        <v>328</v>
      </c>
      <c r="B337" s="1200"/>
      <c r="C337" s="1189"/>
      <c r="D337" s="1325" t="s">
        <v>947</v>
      </c>
      <c r="E337" s="1202"/>
      <c r="F337" s="1202"/>
      <c r="G337" s="1752"/>
      <c r="H337" s="1203"/>
      <c r="I337" s="1321">
        <f t="shared" ref="I337:I338" si="87">SUM(J337:N337)</f>
        <v>0</v>
      </c>
      <c r="J337" s="184"/>
      <c r="K337" s="184"/>
      <c r="L337" s="184"/>
      <c r="M337" s="184"/>
      <c r="N337" s="185"/>
      <c r="P337" s="1212"/>
    </row>
    <row r="338" spans="1:16" s="1211" customFormat="1" ht="18" customHeight="1" x14ac:dyDescent="0.3">
      <c r="A338" s="583">
        <v>329</v>
      </c>
      <c r="B338" s="1200"/>
      <c r="C338" s="1189"/>
      <c r="D338" s="1324" t="s">
        <v>1250</v>
      </c>
      <c r="E338" s="1202"/>
      <c r="F338" s="1202"/>
      <c r="G338" s="1752"/>
      <c r="H338" s="1203"/>
      <c r="I338" s="568">
        <f t="shared" si="87"/>
        <v>43</v>
      </c>
      <c r="J338" s="1322"/>
      <c r="K338" s="1322"/>
      <c r="L338" s="1322"/>
      <c r="M338" s="1322">
        <f>SUM(M336:M337)</f>
        <v>43</v>
      </c>
      <c r="N338" s="1323"/>
      <c r="P338" s="1212"/>
    </row>
    <row r="339" spans="1:16" s="615" customFormat="1" ht="18" customHeight="1" x14ac:dyDescent="0.3">
      <c r="A339" s="583">
        <v>330</v>
      </c>
      <c r="B339" s="172"/>
      <c r="C339" s="165"/>
      <c r="D339" s="441" t="s">
        <v>445</v>
      </c>
      <c r="E339" s="173">
        <v>1080</v>
      </c>
      <c r="F339" s="173">
        <v>1500</v>
      </c>
      <c r="G339" s="1749">
        <v>1320</v>
      </c>
      <c r="H339" s="599" t="s">
        <v>24</v>
      </c>
      <c r="I339" s="569"/>
      <c r="J339" s="174"/>
      <c r="K339" s="174"/>
      <c r="L339" s="174"/>
      <c r="M339" s="174"/>
      <c r="N339" s="175"/>
      <c r="P339" s="616"/>
    </row>
    <row r="340" spans="1:16" s="1211" customFormat="1" ht="18" customHeight="1" x14ac:dyDescent="0.3">
      <c r="A340" s="583">
        <v>331</v>
      </c>
      <c r="B340" s="1200"/>
      <c r="C340" s="1189"/>
      <c r="D340" s="1209" t="s">
        <v>308</v>
      </c>
      <c r="E340" s="1202"/>
      <c r="F340" s="1202"/>
      <c r="G340" s="1752"/>
      <c r="H340" s="1203"/>
      <c r="I340" s="1186">
        <f>SUM(J340:N340)</f>
        <v>1275</v>
      </c>
      <c r="J340" s="1204"/>
      <c r="K340" s="1204"/>
      <c r="L340" s="1204"/>
      <c r="M340" s="1204">
        <v>1275</v>
      </c>
      <c r="N340" s="1205"/>
      <c r="P340" s="1212"/>
    </row>
    <row r="341" spans="1:16" s="1211" customFormat="1" ht="18" customHeight="1" x14ac:dyDescent="0.3">
      <c r="A341" s="583">
        <v>332</v>
      </c>
      <c r="B341" s="1200"/>
      <c r="C341" s="1189"/>
      <c r="D341" s="1324" t="s">
        <v>1158</v>
      </c>
      <c r="E341" s="1202"/>
      <c r="F341" s="1202"/>
      <c r="G341" s="1752"/>
      <c r="H341" s="1203"/>
      <c r="I341" s="568">
        <f t="shared" ref="I341" si="88">SUM(J341:N341)</f>
        <v>1475</v>
      </c>
      <c r="J341" s="1204"/>
      <c r="K341" s="1204"/>
      <c r="L341" s="1204"/>
      <c r="M341" s="1322">
        <v>1475</v>
      </c>
      <c r="N341" s="1205"/>
      <c r="P341" s="1212"/>
    </row>
    <row r="342" spans="1:16" s="1211" customFormat="1" ht="18" customHeight="1" x14ac:dyDescent="0.3">
      <c r="A342" s="583">
        <v>333</v>
      </c>
      <c r="B342" s="1200"/>
      <c r="C342" s="1189"/>
      <c r="D342" s="1325" t="s">
        <v>970</v>
      </c>
      <c r="E342" s="1202"/>
      <c r="F342" s="1202"/>
      <c r="G342" s="1752"/>
      <c r="H342" s="1203"/>
      <c r="I342" s="1321">
        <f t="shared" ref="I342:I343" si="89">SUM(J342:N342)</f>
        <v>0</v>
      </c>
      <c r="J342" s="184"/>
      <c r="K342" s="184"/>
      <c r="L342" s="184"/>
      <c r="M342" s="184"/>
      <c r="N342" s="185"/>
      <c r="P342" s="1212"/>
    </row>
    <row r="343" spans="1:16" s="1211" customFormat="1" ht="18" customHeight="1" x14ac:dyDescent="0.3">
      <c r="A343" s="583">
        <v>334</v>
      </c>
      <c r="B343" s="1200"/>
      <c r="C343" s="1189"/>
      <c r="D343" s="1324" t="s">
        <v>1250</v>
      </c>
      <c r="E343" s="1202"/>
      <c r="F343" s="1202"/>
      <c r="G343" s="1752"/>
      <c r="H343" s="1203"/>
      <c r="I343" s="568">
        <f t="shared" si="89"/>
        <v>1475</v>
      </c>
      <c r="J343" s="1322"/>
      <c r="K343" s="1322"/>
      <c r="L343" s="1322"/>
      <c r="M343" s="1322">
        <f>SUM(M341:M342)</f>
        <v>1475</v>
      </c>
      <c r="N343" s="1323"/>
      <c r="P343" s="1212"/>
    </row>
    <row r="344" spans="1:16" s="615" customFormat="1" ht="18" customHeight="1" x14ac:dyDescent="0.3">
      <c r="A344" s="583">
        <v>335</v>
      </c>
      <c r="B344" s="172"/>
      <c r="C344" s="165"/>
      <c r="D344" s="441" t="s">
        <v>446</v>
      </c>
      <c r="E344" s="173"/>
      <c r="F344" s="173">
        <v>400</v>
      </c>
      <c r="G344" s="1749"/>
      <c r="H344" s="599" t="s">
        <v>24</v>
      </c>
      <c r="I344" s="569"/>
      <c r="J344" s="174"/>
      <c r="K344" s="174"/>
      <c r="L344" s="174"/>
      <c r="M344" s="174"/>
      <c r="N344" s="175"/>
      <c r="P344" s="616"/>
    </row>
    <row r="345" spans="1:16" s="1211" customFormat="1" ht="18" customHeight="1" x14ac:dyDescent="0.3">
      <c r="A345" s="583">
        <v>336</v>
      </c>
      <c r="B345" s="1200"/>
      <c r="C345" s="1189"/>
      <c r="D345" s="1209" t="s">
        <v>308</v>
      </c>
      <c r="E345" s="1191"/>
      <c r="F345" s="1202"/>
      <c r="G345" s="1752"/>
      <c r="H345" s="1203"/>
      <c r="I345" s="1186">
        <f>SUM(J345:N345)</f>
        <v>340</v>
      </c>
      <c r="J345" s="1204"/>
      <c r="K345" s="1204"/>
      <c r="L345" s="1204"/>
      <c r="M345" s="1204">
        <v>340</v>
      </c>
      <c r="N345" s="1205"/>
      <c r="P345" s="1212"/>
    </row>
    <row r="346" spans="1:16" s="1211" customFormat="1" ht="18" customHeight="1" x14ac:dyDescent="0.3">
      <c r="A346" s="583">
        <v>337</v>
      </c>
      <c r="B346" s="1200"/>
      <c r="C346" s="1189"/>
      <c r="D346" s="1324" t="s">
        <v>1158</v>
      </c>
      <c r="E346" s="1191"/>
      <c r="F346" s="1202"/>
      <c r="G346" s="1752"/>
      <c r="H346" s="1203"/>
      <c r="I346" s="568">
        <f t="shared" ref="I346" si="90">SUM(J346:N346)</f>
        <v>340</v>
      </c>
      <c r="J346" s="1204"/>
      <c r="K346" s="1204"/>
      <c r="L346" s="1204"/>
      <c r="M346" s="1322">
        <v>340</v>
      </c>
      <c r="N346" s="1205"/>
      <c r="P346" s="1212"/>
    </row>
    <row r="347" spans="1:16" s="1211" customFormat="1" ht="18" customHeight="1" x14ac:dyDescent="0.3">
      <c r="A347" s="583">
        <v>338</v>
      </c>
      <c r="B347" s="1200"/>
      <c r="C347" s="1189"/>
      <c r="D347" s="1325" t="s">
        <v>947</v>
      </c>
      <c r="E347" s="1191"/>
      <c r="F347" s="1202"/>
      <c r="G347" s="1752"/>
      <c r="H347" s="1203"/>
      <c r="I347" s="1321">
        <f t="shared" ref="I347:I348" si="91">SUM(J347:N347)</f>
        <v>0</v>
      </c>
      <c r="J347" s="184"/>
      <c r="K347" s="184"/>
      <c r="L347" s="184"/>
      <c r="M347" s="184"/>
      <c r="N347" s="185"/>
      <c r="P347" s="1212"/>
    </row>
    <row r="348" spans="1:16" s="1211" customFormat="1" ht="18" customHeight="1" x14ac:dyDescent="0.3">
      <c r="A348" s="583">
        <v>339</v>
      </c>
      <c r="B348" s="1200"/>
      <c r="C348" s="1189"/>
      <c r="D348" s="1324" t="s">
        <v>1250</v>
      </c>
      <c r="E348" s="1191"/>
      <c r="F348" s="1202"/>
      <c r="G348" s="1752"/>
      <c r="H348" s="1203"/>
      <c r="I348" s="568">
        <f t="shared" si="91"/>
        <v>340</v>
      </c>
      <c r="J348" s="1322"/>
      <c r="K348" s="1322"/>
      <c r="L348" s="1322"/>
      <c r="M348" s="1322">
        <f>SUM(M346:M347)</f>
        <v>340</v>
      </c>
      <c r="N348" s="1323"/>
      <c r="P348" s="1212"/>
    </row>
    <row r="349" spans="1:16" s="615" customFormat="1" ht="18" customHeight="1" x14ac:dyDescent="0.3">
      <c r="A349" s="583">
        <v>340</v>
      </c>
      <c r="B349" s="172"/>
      <c r="C349" s="165"/>
      <c r="D349" s="441" t="s">
        <v>447</v>
      </c>
      <c r="E349" s="163">
        <v>197</v>
      </c>
      <c r="F349" s="173">
        <v>600</v>
      </c>
      <c r="G349" s="1749">
        <v>42</v>
      </c>
      <c r="H349" s="599" t="s">
        <v>24</v>
      </c>
      <c r="I349" s="568"/>
      <c r="J349" s="184"/>
      <c r="K349" s="184"/>
      <c r="L349" s="184"/>
      <c r="M349" s="184"/>
      <c r="N349" s="185"/>
      <c r="P349" s="616"/>
    </row>
    <row r="350" spans="1:16" s="1211" customFormat="1" ht="18" customHeight="1" x14ac:dyDescent="0.3">
      <c r="A350" s="583">
        <v>341</v>
      </c>
      <c r="B350" s="1200"/>
      <c r="C350" s="1189"/>
      <c r="D350" s="1209" t="s">
        <v>308</v>
      </c>
      <c r="E350" s="1191"/>
      <c r="F350" s="1202"/>
      <c r="G350" s="1752"/>
      <c r="H350" s="1203"/>
      <c r="I350" s="1186">
        <f>SUM(J350:N350)</f>
        <v>510</v>
      </c>
      <c r="J350" s="1204"/>
      <c r="K350" s="1204"/>
      <c r="L350" s="1204"/>
      <c r="M350" s="1204">
        <v>510</v>
      </c>
      <c r="N350" s="1205"/>
      <c r="P350" s="1212"/>
    </row>
    <row r="351" spans="1:16" s="1211" customFormat="1" ht="18" customHeight="1" x14ac:dyDescent="0.3">
      <c r="A351" s="583">
        <v>342</v>
      </c>
      <c r="B351" s="1200"/>
      <c r="C351" s="1189"/>
      <c r="D351" s="1324" t="s">
        <v>1158</v>
      </c>
      <c r="E351" s="1191"/>
      <c r="F351" s="1202"/>
      <c r="G351" s="1752"/>
      <c r="H351" s="1203"/>
      <c r="I351" s="568">
        <f t="shared" ref="I351" si="92">SUM(J351:N351)</f>
        <v>510</v>
      </c>
      <c r="J351" s="1204"/>
      <c r="K351" s="1204"/>
      <c r="L351" s="1204"/>
      <c r="M351" s="1322">
        <v>510</v>
      </c>
      <c r="N351" s="1205"/>
      <c r="P351" s="1212"/>
    </row>
    <row r="352" spans="1:16" s="1211" customFormat="1" ht="18" customHeight="1" x14ac:dyDescent="0.3">
      <c r="A352" s="583">
        <v>343</v>
      </c>
      <c r="B352" s="1200"/>
      <c r="C352" s="1189"/>
      <c r="D352" s="1325" t="s">
        <v>947</v>
      </c>
      <c r="E352" s="1191"/>
      <c r="F352" s="1202"/>
      <c r="G352" s="1752"/>
      <c r="H352" s="1203"/>
      <c r="I352" s="1321">
        <f t="shared" ref="I352:I353" si="93">SUM(J352:N352)</f>
        <v>0</v>
      </c>
      <c r="J352" s="184"/>
      <c r="K352" s="184"/>
      <c r="L352" s="184"/>
      <c r="M352" s="184"/>
      <c r="N352" s="185"/>
      <c r="P352" s="1212"/>
    </row>
    <row r="353" spans="1:16" s="1211" customFormat="1" ht="18" customHeight="1" x14ac:dyDescent="0.3">
      <c r="A353" s="583">
        <v>344</v>
      </c>
      <c r="B353" s="1200"/>
      <c r="C353" s="1189"/>
      <c r="D353" s="1324" t="s">
        <v>1250</v>
      </c>
      <c r="E353" s="1191"/>
      <c r="F353" s="1202"/>
      <c r="G353" s="1752"/>
      <c r="H353" s="1203"/>
      <c r="I353" s="568">
        <f t="shared" si="93"/>
        <v>510</v>
      </c>
      <c r="J353" s="1322"/>
      <c r="K353" s="1322"/>
      <c r="L353" s="1322"/>
      <c r="M353" s="1322">
        <f>SUM(M351:M352)</f>
        <v>510</v>
      </c>
      <c r="N353" s="1323"/>
      <c r="P353" s="1212"/>
    </row>
    <row r="354" spans="1:16" s="3" customFormat="1" ht="22.5" customHeight="1" x14ac:dyDescent="0.3">
      <c r="A354" s="583">
        <v>345</v>
      </c>
      <c r="B354" s="160"/>
      <c r="C354" s="161">
        <v>48</v>
      </c>
      <c r="D354" s="577" t="s">
        <v>74</v>
      </c>
      <c r="E354" s="163">
        <v>4045</v>
      </c>
      <c r="F354" s="163">
        <v>4500</v>
      </c>
      <c r="G354" s="1746">
        <v>2941</v>
      </c>
      <c r="H354" s="598" t="s">
        <v>23</v>
      </c>
      <c r="I354" s="566"/>
      <c r="J354" s="167"/>
      <c r="K354" s="167"/>
      <c r="L354" s="167"/>
      <c r="M354" s="167"/>
      <c r="N354" s="168"/>
      <c r="P354" s="8"/>
    </row>
    <row r="355" spans="1:16" s="1193" customFormat="1" ht="18" customHeight="1" x14ac:dyDescent="0.3">
      <c r="A355" s="583">
        <v>346</v>
      </c>
      <c r="B355" s="1188"/>
      <c r="C355" s="1189"/>
      <c r="D355" s="1190" t="s">
        <v>308</v>
      </c>
      <c r="E355" s="1191"/>
      <c r="F355" s="1191"/>
      <c r="G355" s="1748"/>
      <c r="H355" s="1192"/>
      <c r="I355" s="1183">
        <f>SUM(J355:N355)</f>
        <v>3825</v>
      </c>
      <c r="J355" s="1184"/>
      <c r="K355" s="1184"/>
      <c r="L355" s="1184"/>
      <c r="M355" s="1184">
        <v>3825</v>
      </c>
      <c r="N355" s="1185"/>
    </row>
    <row r="356" spans="1:16" s="1193" customFormat="1" ht="18" customHeight="1" x14ac:dyDescent="0.3">
      <c r="A356" s="583">
        <v>347</v>
      </c>
      <c r="B356" s="1188"/>
      <c r="C356" s="1189"/>
      <c r="D356" s="576" t="s">
        <v>1158</v>
      </c>
      <c r="E356" s="1191"/>
      <c r="F356" s="1191"/>
      <c r="G356" s="1748"/>
      <c r="H356" s="1192"/>
      <c r="I356" s="566">
        <f t="shared" ref="I356:I358" si="94">SUM(J356:N356)</f>
        <v>6175</v>
      </c>
      <c r="J356" s="1184"/>
      <c r="K356" s="1184"/>
      <c r="L356" s="1184"/>
      <c r="M356" s="443">
        <v>6175</v>
      </c>
      <c r="N356" s="1185"/>
    </row>
    <row r="357" spans="1:16" s="1193" customFormat="1" ht="18" customHeight="1" x14ac:dyDescent="0.3">
      <c r="A357" s="583">
        <v>348</v>
      </c>
      <c r="B357" s="1188"/>
      <c r="C357" s="1189"/>
      <c r="D357" s="1318" t="s">
        <v>969</v>
      </c>
      <c r="E357" s="1191"/>
      <c r="F357" s="1191"/>
      <c r="G357" s="1748"/>
      <c r="H357" s="1192"/>
      <c r="I357" s="1321">
        <f t="shared" si="94"/>
        <v>0</v>
      </c>
      <c r="J357" s="184"/>
      <c r="K357" s="184"/>
      <c r="L357" s="184"/>
      <c r="M357" s="184"/>
      <c r="N357" s="185"/>
    </row>
    <row r="358" spans="1:16" s="1193" customFormat="1" ht="18" customHeight="1" x14ac:dyDescent="0.3">
      <c r="A358" s="583">
        <v>349</v>
      </c>
      <c r="B358" s="1188"/>
      <c r="C358" s="1189"/>
      <c r="D358" s="576" t="s">
        <v>1250</v>
      </c>
      <c r="E358" s="1191"/>
      <c r="F358" s="1191"/>
      <c r="G358" s="1748"/>
      <c r="H358" s="1192"/>
      <c r="I358" s="566">
        <f t="shared" si="94"/>
        <v>6175</v>
      </c>
      <c r="J358" s="443"/>
      <c r="K358" s="443"/>
      <c r="L358" s="443"/>
      <c r="M358" s="443">
        <f>SUM(M356:M357)</f>
        <v>6175</v>
      </c>
      <c r="N358" s="439"/>
    </row>
    <row r="359" spans="1:16" s="2026" customFormat="1" ht="22.5" customHeight="1" x14ac:dyDescent="0.35">
      <c r="A359" s="583">
        <v>350</v>
      </c>
      <c r="B359" s="578"/>
      <c r="C359" s="161">
        <v>49</v>
      </c>
      <c r="D359" s="577" t="s">
        <v>75</v>
      </c>
      <c r="E359" s="163">
        <v>8951</v>
      </c>
      <c r="F359" s="163">
        <v>11447</v>
      </c>
      <c r="G359" s="1746">
        <v>9164</v>
      </c>
      <c r="H359" s="598" t="s">
        <v>24</v>
      </c>
      <c r="I359" s="566"/>
      <c r="J359" s="167"/>
      <c r="K359" s="167"/>
      <c r="L359" s="167"/>
      <c r="M359" s="167"/>
      <c r="N359" s="168"/>
      <c r="P359" s="2027"/>
    </row>
    <row r="360" spans="1:16" s="1193" customFormat="1" ht="18" customHeight="1" x14ac:dyDescent="0.3">
      <c r="A360" s="583">
        <v>351</v>
      </c>
      <c r="B360" s="1188"/>
      <c r="C360" s="1189"/>
      <c r="D360" s="1190" t="s">
        <v>308</v>
      </c>
      <c r="E360" s="1191"/>
      <c r="F360" s="1191"/>
      <c r="G360" s="1748"/>
      <c r="H360" s="1192"/>
      <c r="I360" s="1183">
        <f>SUM(J360:N360)</f>
        <v>7650</v>
      </c>
      <c r="J360" s="1184">
        <v>6565</v>
      </c>
      <c r="K360" s="1184">
        <v>938</v>
      </c>
      <c r="L360" s="1184">
        <v>147</v>
      </c>
      <c r="M360" s="1184"/>
      <c r="N360" s="1185"/>
    </row>
    <row r="361" spans="1:16" s="1193" customFormat="1" ht="18" customHeight="1" x14ac:dyDescent="0.3">
      <c r="A361" s="583">
        <v>352</v>
      </c>
      <c r="B361" s="1188"/>
      <c r="C361" s="1189"/>
      <c r="D361" s="576" t="s">
        <v>1158</v>
      </c>
      <c r="E361" s="1191"/>
      <c r="F361" s="1191"/>
      <c r="G361" s="1748"/>
      <c r="H361" s="1192"/>
      <c r="I361" s="566">
        <f>SUM(J361:N361)</f>
        <v>8099</v>
      </c>
      <c r="J361" s="443">
        <v>6565</v>
      </c>
      <c r="K361" s="443">
        <v>938</v>
      </c>
      <c r="L361" s="443">
        <v>147</v>
      </c>
      <c r="M361" s="443"/>
      <c r="N361" s="439">
        <v>449</v>
      </c>
    </row>
    <row r="362" spans="1:16" s="1193" customFormat="1" ht="18" customHeight="1" x14ac:dyDescent="0.3">
      <c r="A362" s="583">
        <v>353</v>
      </c>
      <c r="B362" s="1188"/>
      <c r="C362" s="1189"/>
      <c r="D362" s="1318" t="s">
        <v>969</v>
      </c>
      <c r="E362" s="1191"/>
      <c r="F362" s="1191"/>
      <c r="G362" s="1748"/>
      <c r="H362" s="1192"/>
      <c r="I362" s="1321">
        <f t="shared" ref="I362:I363" si="95">SUM(J362:N362)</f>
        <v>0</v>
      </c>
      <c r="J362" s="184"/>
      <c r="K362" s="184"/>
      <c r="L362" s="184"/>
      <c r="M362" s="184"/>
      <c r="N362" s="185"/>
    </row>
    <row r="363" spans="1:16" s="1193" customFormat="1" ht="18" customHeight="1" x14ac:dyDescent="0.3">
      <c r="A363" s="583">
        <v>354</v>
      </c>
      <c r="B363" s="1188"/>
      <c r="C363" s="1189"/>
      <c r="D363" s="576" t="s">
        <v>1250</v>
      </c>
      <c r="E363" s="1191"/>
      <c r="F363" s="1191"/>
      <c r="G363" s="1748"/>
      <c r="H363" s="1192"/>
      <c r="I363" s="566">
        <f t="shared" si="95"/>
        <v>8099</v>
      </c>
      <c r="J363" s="443">
        <f>SUM(J361:J362)</f>
        <v>6565</v>
      </c>
      <c r="K363" s="443">
        <f t="shared" ref="K363:N363" si="96">SUM(K361:K362)</f>
        <v>938</v>
      </c>
      <c r="L363" s="443">
        <f t="shared" si="96"/>
        <v>147</v>
      </c>
      <c r="M363" s="443"/>
      <c r="N363" s="439">
        <f t="shared" si="96"/>
        <v>449</v>
      </c>
    </row>
    <row r="364" spans="1:16" s="2026" customFormat="1" ht="22.5" customHeight="1" x14ac:dyDescent="0.35">
      <c r="A364" s="583">
        <v>355</v>
      </c>
      <c r="B364" s="578"/>
      <c r="C364" s="161">
        <v>50</v>
      </c>
      <c r="D364" s="577" t="s">
        <v>270</v>
      </c>
      <c r="E364" s="163">
        <v>1129</v>
      </c>
      <c r="F364" s="163">
        <v>1560</v>
      </c>
      <c r="G364" s="1746">
        <v>753</v>
      </c>
      <c r="H364" s="598" t="s">
        <v>24</v>
      </c>
      <c r="I364" s="566"/>
      <c r="J364" s="167"/>
      <c r="K364" s="167"/>
      <c r="L364" s="167"/>
      <c r="M364" s="167"/>
      <c r="N364" s="168"/>
      <c r="P364" s="2027"/>
    </row>
    <row r="365" spans="1:16" s="1193" customFormat="1" ht="18" customHeight="1" x14ac:dyDescent="0.3">
      <c r="A365" s="583">
        <v>356</v>
      </c>
      <c r="B365" s="1188"/>
      <c r="C365" s="1189"/>
      <c r="D365" s="1190" t="s">
        <v>308</v>
      </c>
      <c r="E365" s="1191"/>
      <c r="F365" s="1191"/>
      <c r="G365" s="1748"/>
      <c r="H365" s="1192"/>
      <c r="I365" s="1183">
        <f>SUM(J365:N365)</f>
        <v>1560</v>
      </c>
      <c r="J365" s="1184">
        <v>1365</v>
      </c>
      <c r="K365" s="1184">
        <v>195</v>
      </c>
      <c r="L365" s="1184"/>
      <c r="M365" s="1184"/>
      <c r="N365" s="1185"/>
    </row>
    <row r="366" spans="1:16" s="1193" customFormat="1" ht="18" customHeight="1" x14ac:dyDescent="0.3">
      <c r="A366" s="583">
        <v>357</v>
      </c>
      <c r="B366" s="1188"/>
      <c r="C366" s="1189"/>
      <c r="D366" s="576" t="s">
        <v>1158</v>
      </c>
      <c r="E366" s="1191"/>
      <c r="F366" s="1191"/>
      <c r="G366" s="1748"/>
      <c r="H366" s="1192"/>
      <c r="I366" s="566">
        <f t="shared" ref="I366:I368" si="97">SUM(J366:N366)</f>
        <v>1560</v>
      </c>
      <c r="J366" s="443">
        <v>1365</v>
      </c>
      <c r="K366" s="443">
        <v>195</v>
      </c>
      <c r="L366" s="1184"/>
      <c r="M366" s="1184"/>
      <c r="N366" s="1185"/>
    </row>
    <row r="367" spans="1:16" s="1193" customFormat="1" ht="18" customHeight="1" x14ac:dyDescent="0.3">
      <c r="A367" s="583">
        <v>358</v>
      </c>
      <c r="B367" s="1188"/>
      <c r="C367" s="1189"/>
      <c r="D367" s="1318" t="s">
        <v>947</v>
      </c>
      <c r="E367" s="1191"/>
      <c r="F367" s="1191"/>
      <c r="G367" s="1748"/>
      <c r="H367" s="1192"/>
      <c r="I367" s="1321">
        <f t="shared" si="97"/>
        <v>0</v>
      </c>
      <c r="J367" s="184"/>
      <c r="K367" s="184"/>
      <c r="L367" s="184"/>
      <c r="M367" s="184"/>
      <c r="N367" s="185"/>
    </row>
    <row r="368" spans="1:16" s="1193" customFormat="1" ht="18" customHeight="1" x14ac:dyDescent="0.3">
      <c r="A368" s="583">
        <v>359</v>
      </c>
      <c r="B368" s="1188"/>
      <c r="C368" s="1189"/>
      <c r="D368" s="576" t="s">
        <v>1250</v>
      </c>
      <c r="E368" s="1191"/>
      <c r="F368" s="1191"/>
      <c r="G368" s="1748"/>
      <c r="H368" s="1192"/>
      <c r="I368" s="566">
        <f t="shared" si="97"/>
        <v>1560</v>
      </c>
      <c r="J368" s="443">
        <f>SUM(J366:J367)</f>
        <v>1365</v>
      </c>
      <c r="K368" s="443">
        <f>SUM(K366:K367)</f>
        <v>195</v>
      </c>
      <c r="L368" s="443"/>
      <c r="M368" s="443"/>
      <c r="N368" s="439"/>
    </row>
    <row r="369" spans="1:16" s="2026" customFormat="1" ht="22.5" customHeight="1" x14ac:dyDescent="0.35">
      <c r="A369" s="583">
        <v>360</v>
      </c>
      <c r="B369" s="578"/>
      <c r="C369" s="161">
        <v>51</v>
      </c>
      <c r="D369" s="577" t="s">
        <v>76</v>
      </c>
      <c r="E369" s="163">
        <v>2</v>
      </c>
      <c r="F369" s="163">
        <v>100</v>
      </c>
      <c r="G369" s="1746"/>
      <c r="H369" s="598" t="s">
        <v>24</v>
      </c>
      <c r="I369" s="566"/>
      <c r="J369" s="167"/>
      <c r="K369" s="167"/>
      <c r="L369" s="167"/>
      <c r="M369" s="167"/>
      <c r="N369" s="168"/>
      <c r="P369" s="2027"/>
    </row>
    <row r="370" spans="1:16" s="1193" customFormat="1" ht="18" customHeight="1" x14ac:dyDescent="0.3">
      <c r="A370" s="583">
        <v>361</v>
      </c>
      <c r="B370" s="1188"/>
      <c r="C370" s="1189"/>
      <c r="D370" s="1190" t="s">
        <v>308</v>
      </c>
      <c r="E370" s="1191"/>
      <c r="F370" s="1191"/>
      <c r="G370" s="1748"/>
      <c r="H370" s="1192"/>
      <c r="I370" s="1183">
        <f>SUM(J370:N370)</f>
        <v>85</v>
      </c>
      <c r="J370" s="1184"/>
      <c r="K370" s="1184"/>
      <c r="L370" s="1184"/>
      <c r="M370" s="1184">
        <v>85</v>
      </c>
      <c r="N370" s="1185"/>
    </row>
    <row r="371" spans="1:16" s="1193" customFormat="1" ht="18" customHeight="1" x14ac:dyDescent="0.3">
      <c r="A371" s="583">
        <v>362</v>
      </c>
      <c r="B371" s="1188"/>
      <c r="C371" s="1189"/>
      <c r="D371" s="576" t="s">
        <v>1158</v>
      </c>
      <c r="E371" s="1191"/>
      <c r="F371" s="1191"/>
      <c r="G371" s="1748"/>
      <c r="H371" s="1192"/>
      <c r="I371" s="566">
        <f t="shared" ref="I371:I373" si="98">SUM(J371:N371)</f>
        <v>85</v>
      </c>
      <c r="J371" s="1184"/>
      <c r="K371" s="1184"/>
      <c r="L371" s="1184"/>
      <c r="M371" s="443">
        <v>85</v>
      </c>
      <c r="N371" s="1185"/>
    </row>
    <row r="372" spans="1:16" s="1193" customFormat="1" ht="18" customHeight="1" x14ac:dyDescent="0.3">
      <c r="A372" s="583">
        <v>363</v>
      </c>
      <c r="B372" s="1188"/>
      <c r="C372" s="1189"/>
      <c r="D372" s="1318" t="s">
        <v>947</v>
      </c>
      <c r="E372" s="1191"/>
      <c r="F372" s="1191"/>
      <c r="G372" s="1748"/>
      <c r="H372" s="1192"/>
      <c r="I372" s="1321">
        <f t="shared" si="98"/>
        <v>0</v>
      </c>
      <c r="J372" s="184"/>
      <c r="K372" s="184"/>
      <c r="L372" s="184"/>
      <c r="M372" s="184"/>
      <c r="N372" s="185"/>
    </row>
    <row r="373" spans="1:16" s="1193" customFormat="1" ht="18" customHeight="1" x14ac:dyDescent="0.3">
      <c r="A373" s="583">
        <v>364</v>
      </c>
      <c r="B373" s="1188"/>
      <c r="C373" s="1189"/>
      <c r="D373" s="576" t="s">
        <v>1250</v>
      </c>
      <c r="E373" s="1191"/>
      <c r="F373" s="1191"/>
      <c r="G373" s="1748"/>
      <c r="H373" s="1192"/>
      <c r="I373" s="566">
        <f t="shared" si="98"/>
        <v>85</v>
      </c>
      <c r="J373" s="443"/>
      <c r="K373" s="443"/>
      <c r="L373" s="443"/>
      <c r="M373" s="443">
        <f>SUM(M371:M372)</f>
        <v>85</v>
      </c>
      <c r="N373" s="439"/>
    </row>
    <row r="374" spans="1:16" s="2026" customFormat="1" ht="22.5" customHeight="1" x14ac:dyDescent="0.35">
      <c r="A374" s="583">
        <v>365</v>
      </c>
      <c r="B374" s="578"/>
      <c r="C374" s="161">
        <v>52</v>
      </c>
      <c r="D374" s="577" t="s">
        <v>292</v>
      </c>
      <c r="E374" s="163">
        <v>6000</v>
      </c>
      <c r="F374" s="163">
        <v>6000</v>
      </c>
      <c r="G374" s="1746">
        <v>6000</v>
      </c>
      <c r="H374" s="598" t="s">
        <v>23</v>
      </c>
      <c r="I374" s="566"/>
      <c r="J374" s="167"/>
      <c r="K374" s="167"/>
      <c r="L374" s="167"/>
      <c r="M374" s="167"/>
      <c r="N374" s="168"/>
      <c r="P374" s="2027"/>
    </row>
    <row r="375" spans="1:16" s="1193" customFormat="1" ht="18" customHeight="1" x14ac:dyDescent="0.3">
      <c r="A375" s="583">
        <v>366</v>
      </c>
      <c r="B375" s="1188"/>
      <c r="C375" s="1189"/>
      <c r="D375" s="1190" t="s">
        <v>308</v>
      </c>
      <c r="E375" s="1191"/>
      <c r="F375" s="1191"/>
      <c r="G375" s="1748"/>
      <c r="H375" s="1192"/>
      <c r="I375" s="1183">
        <f>SUM(J375:N375)</f>
        <v>5100</v>
      </c>
      <c r="J375" s="1184"/>
      <c r="K375" s="1184"/>
      <c r="L375" s="1184">
        <v>5100</v>
      </c>
      <c r="M375" s="1184"/>
      <c r="N375" s="1185"/>
    </row>
    <row r="376" spans="1:16" s="1193" customFormat="1" ht="18" customHeight="1" x14ac:dyDescent="0.3">
      <c r="A376" s="583">
        <v>367</v>
      </c>
      <c r="B376" s="1188"/>
      <c r="C376" s="1189"/>
      <c r="D376" s="576" t="s">
        <v>1158</v>
      </c>
      <c r="E376" s="1191"/>
      <c r="F376" s="1191"/>
      <c r="G376" s="1748"/>
      <c r="H376" s="1192"/>
      <c r="I376" s="566">
        <f t="shared" ref="I376:I378" si="99">SUM(J376:N376)</f>
        <v>6000</v>
      </c>
      <c r="J376" s="1184"/>
      <c r="K376" s="1184"/>
      <c r="L376" s="443">
        <v>6000</v>
      </c>
      <c r="M376" s="1184"/>
      <c r="N376" s="1185"/>
    </row>
    <row r="377" spans="1:16" s="1193" customFormat="1" ht="18" customHeight="1" x14ac:dyDescent="0.3">
      <c r="A377" s="583">
        <v>368</v>
      </c>
      <c r="B377" s="1188"/>
      <c r="C377" s="1189"/>
      <c r="D377" s="1318" t="s">
        <v>969</v>
      </c>
      <c r="E377" s="1191"/>
      <c r="F377" s="1191"/>
      <c r="G377" s="1748"/>
      <c r="H377" s="1192"/>
      <c r="I377" s="1321">
        <f t="shared" si="99"/>
        <v>0</v>
      </c>
      <c r="J377" s="184"/>
      <c r="K377" s="184"/>
      <c r="L377" s="184"/>
      <c r="M377" s="184"/>
      <c r="N377" s="185"/>
    </row>
    <row r="378" spans="1:16" s="1193" customFormat="1" ht="18" customHeight="1" x14ac:dyDescent="0.3">
      <c r="A378" s="583">
        <v>369</v>
      </c>
      <c r="B378" s="1188"/>
      <c r="C378" s="1189"/>
      <c r="D378" s="576" t="s">
        <v>1250</v>
      </c>
      <c r="E378" s="1191"/>
      <c r="F378" s="1191"/>
      <c r="G378" s="1748"/>
      <c r="H378" s="1192"/>
      <c r="I378" s="566">
        <f t="shared" si="99"/>
        <v>6000</v>
      </c>
      <c r="J378" s="443"/>
      <c r="K378" s="443"/>
      <c r="L378" s="443">
        <f>SUM(L376:L377)</f>
        <v>6000</v>
      </c>
      <c r="M378" s="443"/>
      <c r="N378" s="439"/>
    </row>
    <row r="379" spans="1:16" s="2026" customFormat="1" ht="22.5" customHeight="1" x14ac:dyDescent="0.35">
      <c r="A379" s="583">
        <v>370</v>
      </c>
      <c r="B379" s="578"/>
      <c r="C379" s="161">
        <v>53</v>
      </c>
      <c r="D379" s="577" t="s">
        <v>306</v>
      </c>
      <c r="E379" s="163">
        <v>12000</v>
      </c>
      <c r="F379" s="163">
        <v>12000</v>
      </c>
      <c r="G379" s="1746">
        <v>12000</v>
      </c>
      <c r="H379" s="598" t="s">
        <v>23</v>
      </c>
      <c r="I379" s="566"/>
      <c r="J379" s="167"/>
      <c r="K379" s="167"/>
      <c r="L379" s="167"/>
      <c r="M379" s="167"/>
      <c r="N379" s="168"/>
      <c r="P379" s="2027"/>
    </row>
    <row r="380" spans="1:16" s="1193" customFormat="1" ht="18" customHeight="1" x14ac:dyDescent="0.3">
      <c r="A380" s="583">
        <v>371</v>
      </c>
      <c r="B380" s="1188"/>
      <c r="C380" s="1189"/>
      <c r="D380" s="1190" t="s">
        <v>308</v>
      </c>
      <c r="E380" s="1191"/>
      <c r="F380" s="1191"/>
      <c r="G380" s="1748"/>
      <c r="H380" s="1192"/>
      <c r="I380" s="1183">
        <f>SUM(J380:N380)</f>
        <v>10200</v>
      </c>
      <c r="J380" s="1184"/>
      <c r="K380" s="1184"/>
      <c r="L380" s="1184"/>
      <c r="M380" s="1184"/>
      <c r="N380" s="1185">
        <v>10200</v>
      </c>
    </row>
    <row r="381" spans="1:16" s="1193" customFormat="1" ht="18" customHeight="1" x14ac:dyDescent="0.3">
      <c r="A381" s="583">
        <v>372</v>
      </c>
      <c r="B381" s="1188"/>
      <c r="C381" s="1189"/>
      <c r="D381" s="576" t="s">
        <v>1158</v>
      </c>
      <c r="E381" s="1191"/>
      <c r="F381" s="1191"/>
      <c r="G381" s="1748"/>
      <c r="H381" s="1192"/>
      <c r="I381" s="566">
        <f t="shared" ref="I381:I383" si="100">SUM(J381:N381)</f>
        <v>10200</v>
      </c>
      <c r="J381" s="1184"/>
      <c r="K381" s="1184"/>
      <c r="L381" s="1184"/>
      <c r="M381" s="1184"/>
      <c r="N381" s="439">
        <v>10200</v>
      </c>
    </row>
    <row r="382" spans="1:16" s="1193" customFormat="1" ht="18" customHeight="1" x14ac:dyDescent="0.3">
      <c r="A382" s="583">
        <v>373</v>
      </c>
      <c r="B382" s="1188"/>
      <c r="C382" s="1189"/>
      <c r="D382" s="1318" t="s">
        <v>947</v>
      </c>
      <c r="E382" s="1191"/>
      <c r="F382" s="1191"/>
      <c r="G382" s="1748"/>
      <c r="H382" s="1192"/>
      <c r="I382" s="1321">
        <f t="shared" si="100"/>
        <v>0</v>
      </c>
      <c r="J382" s="184"/>
      <c r="K382" s="184"/>
      <c r="L382" s="184"/>
      <c r="M382" s="184"/>
      <c r="N382" s="185"/>
    </row>
    <row r="383" spans="1:16" s="1193" customFormat="1" ht="18" customHeight="1" x14ac:dyDescent="0.3">
      <c r="A383" s="583">
        <v>374</v>
      </c>
      <c r="B383" s="1188"/>
      <c r="C383" s="1189"/>
      <c r="D383" s="576" t="s">
        <v>1250</v>
      </c>
      <c r="E383" s="1191"/>
      <c r="F383" s="1191"/>
      <c r="G383" s="1748"/>
      <c r="H383" s="1192"/>
      <c r="I383" s="566">
        <f t="shared" si="100"/>
        <v>10200</v>
      </c>
      <c r="J383" s="443"/>
      <c r="K383" s="443"/>
      <c r="L383" s="443"/>
      <c r="M383" s="443"/>
      <c r="N383" s="439">
        <f>SUM(N381:N382)</f>
        <v>10200</v>
      </c>
    </row>
    <row r="384" spans="1:16" s="2026" customFormat="1" ht="22.5" customHeight="1" x14ac:dyDescent="0.35">
      <c r="A384" s="583">
        <v>375</v>
      </c>
      <c r="B384" s="578"/>
      <c r="C384" s="161">
        <v>54</v>
      </c>
      <c r="D384" s="577" t="s">
        <v>78</v>
      </c>
      <c r="E384" s="163">
        <v>60000</v>
      </c>
      <c r="F384" s="163">
        <v>60000</v>
      </c>
      <c r="G384" s="1746">
        <v>60000</v>
      </c>
      <c r="H384" s="598" t="s">
        <v>23</v>
      </c>
      <c r="I384" s="566"/>
      <c r="J384" s="167"/>
      <c r="K384" s="167"/>
      <c r="L384" s="167"/>
      <c r="M384" s="167"/>
      <c r="N384" s="168"/>
      <c r="P384" s="2027"/>
    </row>
    <row r="385" spans="1:16" s="1193" customFormat="1" ht="18" customHeight="1" x14ac:dyDescent="0.3">
      <c r="A385" s="583">
        <v>376</v>
      </c>
      <c r="B385" s="1188"/>
      <c r="C385" s="1189"/>
      <c r="D385" s="1190" t="s">
        <v>308</v>
      </c>
      <c r="E385" s="1191"/>
      <c r="F385" s="1191"/>
      <c r="G385" s="1748"/>
      <c r="H385" s="1192"/>
      <c r="I385" s="1183">
        <f>SUM(J385:N385)</f>
        <v>60000</v>
      </c>
      <c r="J385" s="1184"/>
      <c r="K385" s="1184"/>
      <c r="L385" s="1184"/>
      <c r="M385" s="1184"/>
      <c r="N385" s="1185">
        <v>60000</v>
      </c>
    </row>
    <row r="386" spans="1:16" s="1193" customFormat="1" ht="18" customHeight="1" x14ac:dyDescent="0.3">
      <c r="A386" s="583">
        <v>377</v>
      </c>
      <c r="B386" s="1188"/>
      <c r="C386" s="1189"/>
      <c r="D386" s="576" t="s">
        <v>1158</v>
      </c>
      <c r="E386" s="1191"/>
      <c r="F386" s="1191"/>
      <c r="G386" s="1748"/>
      <c r="H386" s="1192"/>
      <c r="I386" s="566">
        <f t="shared" ref="I386:I388" si="101">SUM(J386:N386)</f>
        <v>60000</v>
      </c>
      <c r="J386" s="1184"/>
      <c r="K386" s="1184"/>
      <c r="L386" s="1184"/>
      <c r="M386" s="1184"/>
      <c r="N386" s="439">
        <v>60000</v>
      </c>
    </row>
    <row r="387" spans="1:16" s="1193" customFormat="1" ht="18" customHeight="1" x14ac:dyDescent="0.3">
      <c r="A387" s="583">
        <v>378</v>
      </c>
      <c r="B387" s="1188"/>
      <c r="C387" s="1189"/>
      <c r="D387" s="1318" t="s">
        <v>947</v>
      </c>
      <c r="E387" s="1191"/>
      <c r="F387" s="1191"/>
      <c r="G387" s="1748"/>
      <c r="H387" s="1192"/>
      <c r="I387" s="1321">
        <f t="shared" si="101"/>
        <v>0</v>
      </c>
      <c r="J387" s="184"/>
      <c r="K387" s="184"/>
      <c r="L387" s="184"/>
      <c r="M387" s="184"/>
      <c r="N387" s="185"/>
    </row>
    <row r="388" spans="1:16" s="1193" customFormat="1" ht="18" customHeight="1" x14ac:dyDescent="0.3">
      <c r="A388" s="583">
        <v>379</v>
      </c>
      <c r="B388" s="1188"/>
      <c r="C388" s="1189"/>
      <c r="D388" s="576" t="s">
        <v>1250</v>
      </c>
      <c r="E388" s="1191"/>
      <c r="F388" s="1191"/>
      <c r="G388" s="1748"/>
      <c r="H388" s="1192"/>
      <c r="I388" s="566">
        <f t="shared" si="101"/>
        <v>60000</v>
      </c>
      <c r="J388" s="443"/>
      <c r="K388" s="443"/>
      <c r="L388" s="443"/>
      <c r="M388" s="443"/>
      <c r="N388" s="439">
        <f>SUM(N386:N387)</f>
        <v>60000</v>
      </c>
    </row>
    <row r="389" spans="1:16" s="2026" customFormat="1" ht="22.5" customHeight="1" x14ac:dyDescent="0.35">
      <c r="A389" s="583">
        <v>380</v>
      </c>
      <c r="B389" s="578"/>
      <c r="C389" s="161">
        <v>55</v>
      </c>
      <c r="D389" s="577" t="s">
        <v>521</v>
      </c>
      <c r="E389" s="163">
        <v>411191</v>
      </c>
      <c r="F389" s="163">
        <v>401644</v>
      </c>
      <c r="G389" s="1746">
        <v>458587</v>
      </c>
      <c r="H389" s="598" t="s">
        <v>23</v>
      </c>
      <c r="I389" s="566"/>
      <c r="J389" s="167"/>
      <c r="K389" s="167"/>
      <c r="L389" s="167"/>
      <c r="M389" s="167"/>
      <c r="N389" s="168"/>
      <c r="P389" s="2027"/>
    </row>
    <row r="390" spans="1:16" s="1193" customFormat="1" ht="18" customHeight="1" x14ac:dyDescent="0.3">
      <c r="A390" s="583">
        <v>381</v>
      </c>
      <c r="B390" s="1188"/>
      <c r="C390" s="1189"/>
      <c r="D390" s="1190" t="s">
        <v>308</v>
      </c>
      <c r="E390" s="1191"/>
      <c r="F390" s="1191"/>
      <c r="G390" s="1748"/>
      <c r="H390" s="1192"/>
      <c r="I390" s="1183">
        <f>SUM(J390:N390)</f>
        <v>454892</v>
      </c>
      <c r="J390" s="1184"/>
      <c r="K390" s="1184"/>
      <c r="L390" s="1184"/>
      <c r="M390" s="1184"/>
      <c r="N390" s="1185">
        <v>454892</v>
      </c>
    </row>
    <row r="391" spans="1:16" s="1193" customFormat="1" ht="18" customHeight="1" x14ac:dyDescent="0.3">
      <c r="A391" s="583">
        <v>382</v>
      </c>
      <c r="B391" s="1188"/>
      <c r="C391" s="1189"/>
      <c r="D391" s="576" t="s">
        <v>1158</v>
      </c>
      <c r="E391" s="1191"/>
      <c r="F391" s="1191"/>
      <c r="G391" s="1748"/>
      <c r="H391" s="1192"/>
      <c r="I391" s="566">
        <f t="shared" ref="I391:I392" si="102">SUM(J391:N391)</f>
        <v>569176</v>
      </c>
      <c r="J391" s="1184"/>
      <c r="K391" s="1184"/>
      <c r="L391" s="1184"/>
      <c r="M391" s="1184"/>
      <c r="N391" s="439">
        <v>569176</v>
      </c>
    </row>
    <row r="392" spans="1:16" s="1193" customFormat="1" ht="18" customHeight="1" x14ac:dyDescent="0.3">
      <c r="A392" s="583">
        <v>383</v>
      </c>
      <c r="B392" s="1188"/>
      <c r="C392" s="1189"/>
      <c r="D392" s="1355" t="s">
        <v>969</v>
      </c>
      <c r="E392" s="1191"/>
      <c r="F392" s="1191"/>
      <c r="G392" s="1748"/>
      <c r="H392" s="1192"/>
      <c r="I392" s="1321">
        <f t="shared" si="102"/>
        <v>0</v>
      </c>
      <c r="J392" s="184"/>
      <c r="K392" s="184"/>
      <c r="L392" s="184"/>
      <c r="M392" s="184"/>
      <c r="N392" s="185"/>
    </row>
    <row r="393" spans="1:16" s="1193" customFormat="1" ht="18" customHeight="1" x14ac:dyDescent="0.3">
      <c r="A393" s="583">
        <v>384</v>
      </c>
      <c r="B393" s="1188"/>
      <c r="C393" s="1189"/>
      <c r="D393" s="576" t="s">
        <v>1250</v>
      </c>
      <c r="E393" s="1191"/>
      <c r="F393" s="1191"/>
      <c r="G393" s="1748"/>
      <c r="H393" s="1192"/>
      <c r="I393" s="566">
        <f>SUM(J393:N393)</f>
        <v>569176</v>
      </c>
      <c r="J393" s="443"/>
      <c r="K393" s="443"/>
      <c r="L393" s="443"/>
      <c r="M393" s="443"/>
      <c r="N393" s="439">
        <f>SUM(N391:N392)</f>
        <v>569176</v>
      </c>
    </row>
    <row r="394" spans="1:16" s="2026" customFormat="1" ht="22.5" customHeight="1" x14ac:dyDescent="0.35">
      <c r="A394" s="583">
        <v>385</v>
      </c>
      <c r="B394" s="578"/>
      <c r="C394" s="161">
        <v>56</v>
      </c>
      <c r="D394" s="577" t="s">
        <v>388</v>
      </c>
      <c r="E394" s="163">
        <v>47940</v>
      </c>
      <c r="F394" s="163">
        <v>68578</v>
      </c>
      <c r="G394" s="1746">
        <v>68585</v>
      </c>
      <c r="H394" s="598" t="s">
        <v>23</v>
      </c>
      <c r="I394" s="566"/>
      <c r="J394" s="167"/>
      <c r="K394" s="167"/>
      <c r="L394" s="167"/>
      <c r="M394" s="167"/>
      <c r="N394" s="168"/>
      <c r="P394" s="2027"/>
    </row>
    <row r="395" spans="1:16" s="1193" customFormat="1" ht="18" customHeight="1" x14ac:dyDescent="0.3">
      <c r="A395" s="583">
        <v>386</v>
      </c>
      <c r="B395" s="1188"/>
      <c r="C395" s="1189"/>
      <c r="D395" s="1190" t="s">
        <v>308</v>
      </c>
      <c r="E395" s="1191"/>
      <c r="F395" s="1191"/>
      <c r="G395" s="1748"/>
      <c r="H395" s="1192"/>
      <c r="I395" s="1183">
        <f>SUM(J395:N395)</f>
        <v>98406</v>
      </c>
      <c r="J395" s="1184"/>
      <c r="K395" s="1184"/>
      <c r="L395" s="1184">
        <f>80578+17828</f>
        <v>98406</v>
      </c>
      <c r="M395" s="1184"/>
      <c r="N395" s="1185"/>
    </row>
    <row r="396" spans="1:16" s="1193" customFormat="1" ht="18" customHeight="1" x14ac:dyDescent="0.3">
      <c r="A396" s="583">
        <v>387</v>
      </c>
      <c r="B396" s="1188"/>
      <c r="C396" s="1189"/>
      <c r="D396" s="576" t="s">
        <v>1158</v>
      </c>
      <c r="E396" s="1191"/>
      <c r="F396" s="1191"/>
      <c r="G396" s="1748"/>
      <c r="H396" s="1192"/>
      <c r="I396" s="566">
        <f t="shared" ref="I396:I398" si="103">SUM(J396:N396)</f>
        <v>98406</v>
      </c>
      <c r="J396" s="1184"/>
      <c r="K396" s="1184"/>
      <c r="L396" s="443">
        <v>98406</v>
      </c>
      <c r="M396" s="1184"/>
      <c r="N396" s="1185"/>
    </row>
    <row r="397" spans="1:16" s="1193" customFormat="1" ht="18" customHeight="1" x14ac:dyDescent="0.3">
      <c r="A397" s="583">
        <v>388</v>
      </c>
      <c r="B397" s="1188"/>
      <c r="C397" s="1189"/>
      <c r="D397" s="1318" t="s">
        <v>969</v>
      </c>
      <c r="E397" s="1191"/>
      <c r="F397" s="1191"/>
      <c r="G397" s="1748"/>
      <c r="H397" s="1192"/>
      <c r="I397" s="1321">
        <f t="shared" si="103"/>
        <v>0</v>
      </c>
      <c r="J397" s="184"/>
      <c r="K397" s="184"/>
      <c r="L397" s="184"/>
      <c r="M397" s="184"/>
      <c r="N397" s="185"/>
    </row>
    <row r="398" spans="1:16" s="1193" customFormat="1" ht="18" customHeight="1" x14ac:dyDescent="0.3">
      <c r="A398" s="583">
        <v>389</v>
      </c>
      <c r="B398" s="1188"/>
      <c r="C398" s="1189"/>
      <c r="D398" s="576" t="s">
        <v>1250</v>
      </c>
      <c r="E398" s="1191"/>
      <c r="F398" s="1191"/>
      <c r="G398" s="1748"/>
      <c r="H398" s="1192"/>
      <c r="I398" s="566">
        <f t="shared" si="103"/>
        <v>98406</v>
      </c>
      <c r="J398" s="443"/>
      <c r="K398" s="443"/>
      <c r="L398" s="443">
        <f>SUM(L396:L397)</f>
        <v>98406</v>
      </c>
      <c r="M398" s="443"/>
      <c r="N398" s="439"/>
    </row>
    <row r="399" spans="1:16" s="8" customFormat="1" ht="22.5" customHeight="1" x14ac:dyDescent="0.3">
      <c r="A399" s="583">
        <v>390</v>
      </c>
      <c r="B399" s="164"/>
      <c r="C399" s="161">
        <v>57</v>
      </c>
      <c r="D399" s="576" t="s">
        <v>476</v>
      </c>
      <c r="E399" s="163">
        <v>937</v>
      </c>
      <c r="F399" s="163">
        <v>3840</v>
      </c>
      <c r="G399" s="1746">
        <v>2180</v>
      </c>
      <c r="H399" s="598" t="s">
        <v>24</v>
      </c>
      <c r="I399" s="566"/>
      <c r="J399" s="167"/>
      <c r="K399" s="167"/>
      <c r="L399" s="167"/>
      <c r="M399" s="167"/>
      <c r="N399" s="168"/>
    </row>
    <row r="400" spans="1:16" s="1193" customFormat="1" ht="18" customHeight="1" x14ac:dyDescent="0.3">
      <c r="A400" s="583">
        <v>391</v>
      </c>
      <c r="B400" s="1188"/>
      <c r="C400" s="1189"/>
      <c r="D400" s="1190" t="s">
        <v>308</v>
      </c>
      <c r="E400" s="1191"/>
      <c r="F400" s="1191"/>
      <c r="G400" s="1748"/>
      <c r="H400" s="1192"/>
      <c r="I400" s="1183">
        <f>SUM(J400:N400)</f>
        <v>3264</v>
      </c>
      <c r="J400" s="1184"/>
      <c r="K400" s="1184"/>
      <c r="L400" s="1184"/>
      <c r="M400" s="1184"/>
      <c r="N400" s="1185">
        <v>3264</v>
      </c>
    </row>
    <row r="401" spans="1:16" s="1193" customFormat="1" ht="18" customHeight="1" x14ac:dyDescent="0.3">
      <c r="A401" s="583">
        <v>392</v>
      </c>
      <c r="B401" s="1188"/>
      <c r="C401" s="1189"/>
      <c r="D401" s="576" t="s">
        <v>1158</v>
      </c>
      <c r="E401" s="1191"/>
      <c r="F401" s="1191"/>
      <c r="G401" s="1748"/>
      <c r="H401" s="1192"/>
      <c r="I401" s="566">
        <f t="shared" ref="I401:I403" si="104">SUM(J401:N401)</f>
        <v>3264</v>
      </c>
      <c r="J401" s="1184"/>
      <c r="K401" s="1184"/>
      <c r="L401" s="443">
        <v>3264</v>
      </c>
      <c r="M401" s="443"/>
      <c r="N401" s="439">
        <v>0</v>
      </c>
    </row>
    <row r="402" spans="1:16" s="1193" customFormat="1" ht="18" customHeight="1" x14ac:dyDescent="0.3">
      <c r="A402" s="583">
        <v>393</v>
      </c>
      <c r="B402" s="1188"/>
      <c r="C402" s="1189"/>
      <c r="D402" s="1318" t="s">
        <v>969</v>
      </c>
      <c r="E402" s="1191"/>
      <c r="F402" s="1191"/>
      <c r="G402" s="1748"/>
      <c r="H402" s="1192"/>
      <c r="I402" s="1321">
        <f t="shared" si="104"/>
        <v>0</v>
      </c>
      <c r="J402" s="184"/>
      <c r="K402" s="184"/>
      <c r="L402" s="184"/>
      <c r="M402" s="184"/>
      <c r="N402" s="185"/>
    </row>
    <row r="403" spans="1:16" s="1193" customFormat="1" ht="18" customHeight="1" x14ac:dyDescent="0.3">
      <c r="A403" s="583">
        <v>394</v>
      </c>
      <c r="B403" s="1188"/>
      <c r="C403" s="1189"/>
      <c r="D403" s="576" t="s">
        <v>1250</v>
      </c>
      <c r="E403" s="1191"/>
      <c r="F403" s="1191"/>
      <c r="G403" s="1748"/>
      <c r="H403" s="1192"/>
      <c r="I403" s="566">
        <f t="shared" si="104"/>
        <v>3264</v>
      </c>
      <c r="J403" s="443"/>
      <c r="K403" s="443"/>
      <c r="L403" s="443">
        <f>SUM(L401:L402)</f>
        <v>3264</v>
      </c>
      <c r="M403" s="443"/>
      <c r="N403" s="439">
        <f>SUM(N401:N402)</f>
        <v>0</v>
      </c>
    </row>
    <row r="404" spans="1:16" s="8" customFormat="1" ht="22.5" customHeight="1" x14ac:dyDescent="0.3">
      <c r="A404" s="583">
        <v>395</v>
      </c>
      <c r="B404" s="164"/>
      <c r="C404" s="161">
        <v>58</v>
      </c>
      <c r="D404" s="576" t="s">
        <v>477</v>
      </c>
      <c r="E404" s="163">
        <v>2448</v>
      </c>
      <c r="F404" s="163">
        <v>4000</v>
      </c>
      <c r="G404" s="1746"/>
      <c r="H404" s="598" t="s">
        <v>24</v>
      </c>
      <c r="I404" s="566"/>
      <c r="J404" s="167"/>
      <c r="K404" s="167"/>
      <c r="L404" s="167"/>
      <c r="M404" s="167"/>
      <c r="N404" s="168"/>
    </row>
    <row r="405" spans="1:16" s="1193" customFormat="1" ht="18" customHeight="1" x14ac:dyDescent="0.3">
      <c r="A405" s="583">
        <v>396</v>
      </c>
      <c r="B405" s="1188"/>
      <c r="C405" s="1189"/>
      <c r="D405" s="1190" t="s">
        <v>308</v>
      </c>
      <c r="E405" s="1191"/>
      <c r="F405" s="1191"/>
      <c r="G405" s="1748"/>
      <c r="H405" s="1192"/>
      <c r="I405" s="1183">
        <f>SUM(J405:N405)</f>
        <v>3400</v>
      </c>
      <c r="J405" s="1184"/>
      <c r="K405" s="1184"/>
      <c r="L405" s="1184"/>
      <c r="M405" s="1184"/>
      <c r="N405" s="1185">
        <v>3400</v>
      </c>
    </row>
    <row r="406" spans="1:16" s="1193" customFormat="1" ht="18" customHeight="1" x14ac:dyDescent="0.3">
      <c r="A406" s="583">
        <v>397</v>
      </c>
      <c r="B406" s="1188"/>
      <c r="C406" s="1189"/>
      <c r="D406" s="576" t="s">
        <v>1158</v>
      </c>
      <c r="E406" s="1191"/>
      <c r="F406" s="1191"/>
      <c r="G406" s="1748"/>
      <c r="H406" s="1192"/>
      <c r="I406" s="566">
        <f t="shared" ref="I406:I408" si="105">SUM(J406:N406)</f>
        <v>0</v>
      </c>
      <c r="J406" s="1184"/>
      <c r="K406" s="1184"/>
      <c r="L406" s="1184"/>
      <c r="M406" s="1184"/>
      <c r="N406" s="439">
        <v>0</v>
      </c>
    </row>
    <row r="407" spans="1:16" s="1193" customFormat="1" ht="18" customHeight="1" x14ac:dyDescent="0.3">
      <c r="A407" s="583">
        <v>398</v>
      </c>
      <c r="B407" s="1188"/>
      <c r="C407" s="1189"/>
      <c r="D407" s="1318" t="s">
        <v>969</v>
      </c>
      <c r="E407" s="1191"/>
      <c r="F407" s="1191"/>
      <c r="G407" s="1748"/>
      <c r="H407" s="1192"/>
      <c r="I407" s="1321">
        <f t="shared" si="105"/>
        <v>0</v>
      </c>
      <c r="J407" s="184"/>
      <c r="K407" s="184"/>
      <c r="L407" s="184"/>
      <c r="M407" s="184"/>
      <c r="N407" s="185"/>
    </row>
    <row r="408" spans="1:16" s="1193" customFormat="1" ht="18" customHeight="1" x14ac:dyDescent="0.3">
      <c r="A408" s="583">
        <v>399</v>
      </c>
      <c r="B408" s="1188"/>
      <c r="C408" s="1189"/>
      <c r="D408" s="576" t="s">
        <v>1250</v>
      </c>
      <c r="E408" s="1191"/>
      <c r="F408" s="1191"/>
      <c r="G408" s="1748"/>
      <c r="H408" s="1192"/>
      <c r="I408" s="566">
        <f t="shared" si="105"/>
        <v>0</v>
      </c>
      <c r="J408" s="443"/>
      <c r="K408" s="443"/>
      <c r="L408" s="443"/>
      <c r="M408" s="443"/>
      <c r="N408" s="439">
        <f>SUM(N406:N407)</f>
        <v>0</v>
      </c>
    </row>
    <row r="409" spans="1:16" s="3" customFormat="1" ht="22.5" customHeight="1" x14ac:dyDescent="0.3">
      <c r="A409" s="583">
        <v>400</v>
      </c>
      <c r="B409" s="160"/>
      <c r="C409" s="161">
        <v>59</v>
      </c>
      <c r="D409" s="577" t="s">
        <v>80</v>
      </c>
      <c r="E409" s="163">
        <v>1700</v>
      </c>
      <c r="F409" s="163">
        <v>1700</v>
      </c>
      <c r="G409" s="1746">
        <v>1700</v>
      </c>
      <c r="H409" s="598" t="s">
        <v>24</v>
      </c>
      <c r="I409" s="566"/>
      <c r="J409" s="167"/>
      <c r="K409" s="167"/>
      <c r="L409" s="167"/>
      <c r="M409" s="167"/>
      <c r="N409" s="168"/>
      <c r="P409" s="8"/>
    </row>
    <row r="410" spans="1:16" s="1193" customFormat="1" ht="18" customHeight="1" x14ac:dyDescent="0.3">
      <c r="A410" s="583">
        <v>401</v>
      </c>
      <c r="B410" s="1188"/>
      <c r="C410" s="1189"/>
      <c r="D410" s="1190" t="s">
        <v>308</v>
      </c>
      <c r="E410" s="1191"/>
      <c r="F410" s="1191"/>
      <c r="G410" s="1748"/>
      <c r="H410" s="1192"/>
      <c r="I410" s="1183">
        <f>SUM(J410:N410)</f>
        <v>1445</v>
      </c>
      <c r="J410" s="1184"/>
      <c r="K410" s="1184"/>
      <c r="L410" s="1184">
        <v>1445</v>
      </c>
      <c r="M410" s="1184"/>
      <c r="N410" s="1185"/>
    </row>
    <row r="411" spans="1:16" s="1193" customFormat="1" ht="18" customHeight="1" x14ac:dyDescent="0.3">
      <c r="A411" s="583">
        <v>402</v>
      </c>
      <c r="B411" s="1188"/>
      <c r="C411" s="1189"/>
      <c r="D411" s="576" t="s">
        <v>1158</v>
      </c>
      <c r="E411" s="1191"/>
      <c r="F411" s="1191"/>
      <c r="G411" s="1748"/>
      <c r="H411" s="1192"/>
      <c r="I411" s="566">
        <f t="shared" ref="I411:I413" si="106">SUM(J411:N411)</f>
        <v>1445</v>
      </c>
      <c r="J411" s="1184"/>
      <c r="K411" s="1184"/>
      <c r="L411" s="443">
        <v>1445</v>
      </c>
      <c r="M411" s="1184"/>
      <c r="N411" s="1185"/>
    </row>
    <row r="412" spans="1:16" s="1193" customFormat="1" ht="18" customHeight="1" x14ac:dyDescent="0.3">
      <c r="A412" s="583">
        <v>403</v>
      </c>
      <c r="B412" s="1188"/>
      <c r="C412" s="1189"/>
      <c r="D412" s="1318" t="s">
        <v>947</v>
      </c>
      <c r="E412" s="1191"/>
      <c r="F412" s="1191"/>
      <c r="G412" s="1748"/>
      <c r="H412" s="1192"/>
      <c r="I412" s="1321">
        <f t="shared" si="106"/>
        <v>0</v>
      </c>
      <c r="J412" s="184"/>
      <c r="K412" s="184"/>
      <c r="L412" s="184"/>
      <c r="M412" s="184"/>
      <c r="N412" s="185"/>
    </row>
    <row r="413" spans="1:16" s="1193" customFormat="1" ht="18" customHeight="1" x14ac:dyDescent="0.3">
      <c r="A413" s="583">
        <v>404</v>
      </c>
      <c r="B413" s="1188"/>
      <c r="C413" s="1189"/>
      <c r="D413" s="576" t="s">
        <v>1250</v>
      </c>
      <c r="E413" s="1191"/>
      <c r="F413" s="1191"/>
      <c r="G413" s="1748"/>
      <c r="H413" s="1192"/>
      <c r="I413" s="566">
        <f t="shared" si="106"/>
        <v>1445</v>
      </c>
      <c r="J413" s="443"/>
      <c r="K413" s="443"/>
      <c r="L413" s="443">
        <f>SUM(L411:L412)</f>
        <v>1445</v>
      </c>
      <c r="M413" s="443"/>
      <c r="N413" s="439"/>
    </row>
    <row r="414" spans="1:16" s="3" customFormat="1" ht="22.5" customHeight="1" x14ac:dyDescent="0.3">
      <c r="A414" s="583">
        <v>405</v>
      </c>
      <c r="B414" s="160"/>
      <c r="C414" s="161">
        <v>60</v>
      </c>
      <c r="D414" s="577" t="s">
        <v>448</v>
      </c>
      <c r="E414" s="163"/>
      <c r="F414" s="163">
        <v>1000</v>
      </c>
      <c r="G414" s="1746"/>
      <c r="H414" s="598" t="s">
        <v>24</v>
      </c>
      <c r="I414" s="566"/>
      <c r="J414" s="167"/>
      <c r="K414" s="167"/>
      <c r="L414" s="167"/>
      <c r="M414" s="167"/>
      <c r="N414" s="168"/>
      <c r="P414" s="8"/>
    </row>
    <row r="415" spans="1:16" s="1193" customFormat="1" ht="18" customHeight="1" x14ac:dyDescent="0.3">
      <c r="A415" s="583">
        <v>406</v>
      </c>
      <c r="B415" s="1188"/>
      <c r="C415" s="1189"/>
      <c r="D415" s="1190" t="s">
        <v>308</v>
      </c>
      <c r="E415" s="1191"/>
      <c r="F415" s="1191"/>
      <c r="G415" s="1748"/>
      <c r="H415" s="1192"/>
      <c r="I415" s="1183">
        <f>SUM(J415:N415)</f>
        <v>850</v>
      </c>
      <c r="J415" s="1184"/>
      <c r="K415" s="1184"/>
      <c r="L415" s="1184">
        <v>850</v>
      </c>
      <c r="M415" s="1184"/>
      <c r="N415" s="1185"/>
    </row>
    <row r="416" spans="1:16" s="1193" customFormat="1" ht="18" customHeight="1" x14ac:dyDescent="0.3">
      <c r="A416" s="583">
        <v>407</v>
      </c>
      <c r="B416" s="1188"/>
      <c r="C416" s="1189"/>
      <c r="D416" s="576" t="s">
        <v>1158</v>
      </c>
      <c r="E416" s="1191"/>
      <c r="F416" s="1191"/>
      <c r="G416" s="1748"/>
      <c r="H416" s="1192"/>
      <c r="I416" s="566">
        <f t="shared" ref="I416:I418" si="107">SUM(J416:N416)</f>
        <v>0</v>
      </c>
      <c r="J416" s="1184"/>
      <c r="K416" s="1184"/>
      <c r="L416" s="443">
        <v>0</v>
      </c>
      <c r="M416" s="1184"/>
      <c r="N416" s="1185"/>
    </row>
    <row r="417" spans="1:16" s="1193" customFormat="1" ht="18" customHeight="1" x14ac:dyDescent="0.3">
      <c r="A417" s="583">
        <v>408</v>
      </c>
      <c r="B417" s="1188"/>
      <c r="C417" s="1189"/>
      <c r="D417" s="1318" t="s">
        <v>969</v>
      </c>
      <c r="E417" s="1191"/>
      <c r="F417" s="1191"/>
      <c r="G417" s="1748"/>
      <c r="H417" s="1192"/>
      <c r="I417" s="1321">
        <f t="shared" si="107"/>
        <v>0</v>
      </c>
      <c r="J417" s="184"/>
      <c r="K417" s="184"/>
      <c r="L417" s="184"/>
      <c r="M417" s="184"/>
      <c r="N417" s="185"/>
    </row>
    <row r="418" spans="1:16" s="1193" customFormat="1" ht="18" customHeight="1" x14ac:dyDescent="0.3">
      <c r="A418" s="583">
        <v>409</v>
      </c>
      <c r="B418" s="1188"/>
      <c r="C418" s="1189"/>
      <c r="D418" s="576" t="s">
        <v>1250</v>
      </c>
      <c r="E418" s="1191"/>
      <c r="F418" s="1191"/>
      <c r="G418" s="1748"/>
      <c r="H418" s="1192"/>
      <c r="I418" s="566">
        <f t="shared" si="107"/>
        <v>0</v>
      </c>
      <c r="J418" s="443"/>
      <c r="K418" s="443"/>
      <c r="L418" s="443">
        <f>SUM(L416:L417)</f>
        <v>0</v>
      </c>
      <c r="M418" s="443"/>
      <c r="N418" s="439"/>
    </row>
    <row r="419" spans="1:16" s="3" customFormat="1" ht="22.5" customHeight="1" x14ac:dyDescent="0.3">
      <c r="A419" s="583">
        <v>410</v>
      </c>
      <c r="B419" s="160"/>
      <c r="C419" s="161">
        <v>61</v>
      </c>
      <c r="D419" s="577" t="s">
        <v>81</v>
      </c>
      <c r="E419" s="163">
        <v>1000</v>
      </c>
      <c r="F419" s="163">
        <v>1000</v>
      </c>
      <c r="G419" s="1746">
        <v>1000</v>
      </c>
      <c r="H419" s="598" t="s">
        <v>24</v>
      </c>
      <c r="I419" s="566"/>
      <c r="J419" s="167"/>
      <c r="K419" s="167"/>
      <c r="L419" s="167"/>
      <c r="M419" s="167"/>
      <c r="N419" s="168"/>
      <c r="P419" s="8"/>
    </row>
    <row r="420" spans="1:16" s="1193" customFormat="1" ht="18" customHeight="1" x14ac:dyDescent="0.3">
      <c r="A420" s="583">
        <v>411</v>
      </c>
      <c r="B420" s="1188"/>
      <c r="C420" s="1189"/>
      <c r="D420" s="1190" t="s">
        <v>308</v>
      </c>
      <c r="E420" s="1191"/>
      <c r="F420" s="1191"/>
      <c r="G420" s="1748"/>
      <c r="H420" s="1192"/>
      <c r="I420" s="1183">
        <f>SUM(J420:N420)</f>
        <v>850</v>
      </c>
      <c r="J420" s="1184"/>
      <c r="K420" s="1184"/>
      <c r="L420" s="1184">
        <v>850</v>
      </c>
      <c r="M420" s="1184"/>
      <c r="N420" s="1185"/>
    </row>
    <row r="421" spans="1:16" s="1193" customFormat="1" ht="18" customHeight="1" x14ac:dyDescent="0.3">
      <c r="A421" s="583">
        <v>412</v>
      </c>
      <c r="B421" s="1188"/>
      <c r="C421" s="1189"/>
      <c r="D421" s="576" t="s">
        <v>1158</v>
      </c>
      <c r="E421" s="1191"/>
      <c r="F421" s="1191"/>
      <c r="G421" s="1748"/>
      <c r="H421" s="1192"/>
      <c r="I421" s="566">
        <f t="shared" ref="I421:I423" si="108">SUM(J421:N421)</f>
        <v>710</v>
      </c>
      <c r="J421" s="1184"/>
      <c r="K421" s="1184"/>
      <c r="L421" s="443">
        <v>710</v>
      </c>
      <c r="M421" s="1184"/>
      <c r="N421" s="1185"/>
    </row>
    <row r="422" spans="1:16" s="1193" customFormat="1" ht="18" customHeight="1" x14ac:dyDescent="0.3">
      <c r="A422" s="583">
        <v>413</v>
      </c>
      <c r="B422" s="1188"/>
      <c r="C422" s="1189"/>
      <c r="D422" s="1318" t="s">
        <v>969</v>
      </c>
      <c r="E422" s="1191"/>
      <c r="F422" s="1191"/>
      <c r="G422" s="1748"/>
      <c r="H422" s="1192"/>
      <c r="I422" s="1321">
        <f t="shared" si="108"/>
        <v>0</v>
      </c>
      <c r="J422" s="184"/>
      <c r="K422" s="184"/>
      <c r="L422" s="184"/>
      <c r="M422" s="184"/>
      <c r="N422" s="185"/>
    </row>
    <row r="423" spans="1:16" s="1193" customFormat="1" ht="18" customHeight="1" x14ac:dyDescent="0.3">
      <c r="A423" s="583">
        <v>414</v>
      </c>
      <c r="B423" s="1188"/>
      <c r="C423" s="1189"/>
      <c r="D423" s="576" t="s">
        <v>1250</v>
      </c>
      <c r="E423" s="1191"/>
      <c r="F423" s="1191"/>
      <c r="G423" s="1748"/>
      <c r="H423" s="1192"/>
      <c r="I423" s="566">
        <f t="shared" si="108"/>
        <v>710</v>
      </c>
      <c r="J423" s="443"/>
      <c r="K423" s="443"/>
      <c r="L423" s="443">
        <f>SUM(L421:L422)</f>
        <v>710</v>
      </c>
      <c r="M423" s="443"/>
      <c r="N423" s="439"/>
    </row>
    <row r="424" spans="1:16" s="8" customFormat="1" ht="22.5" customHeight="1" x14ac:dyDescent="0.3">
      <c r="A424" s="583">
        <v>415</v>
      </c>
      <c r="B424" s="164"/>
      <c r="C424" s="161">
        <v>62</v>
      </c>
      <c r="D424" s="577" t="s">
        <v>814</v>
      </c>
      <c r="E424" s="163"/>
      <c r="F424" s="163"/>
      <c r="G424" s="1746"/>
      <c r="H424" s="598" t="s">
        <v>24</v>
      </c>
      <c r="I424" s="566"/>
      <c r="J424" s="167"/>
      <c r="K424" s="167"/>
      <c r="L424" s="167"/>
      <c r="M424" s="167"/>
      <c r="N424" s="168"/>
    </row>
    <row r="425" spans="1:16" s="1193" customFormat="1" ht="18" customHeight="1" x14ac:dyDescent="0.3">
      <c r="A425" s="583">
        <v>416</v>
      </c>
      <c r="B425" s="1188"/>
      <c r="C425" s="1189"/>
      <c r="D425" s="1190" t="s">
        <v>308</v>
      </c>
      <c r="E425" s="1191"/>
      <c r="F425" s="1191"/>
      <c r="G425" s="1748"/>
      <c r="H425" s="1192"/>
      <c r="I425" s="1183">
        <f>SUM(J425:N425)</f>
        <v>1275</v>
      </c>
      <c r="J425" s="1184"/>
      <c r="K425" s="1184"/>
      <c r="L425" s="1184"/>
      <c r="M425" s="1184"/>
      <c r="N425" s="1185">
        <v>1275</v>
      </c>
    </row>
    <row r="426" spans="1:16" s="1193" customFormat="1" ht="18" customHeight="1" x14ac:dyDescent="0.3">
      <c r="A426" s="583">
        <v>417</v>
      </c>
      <c r="B426" s="1188"/>
      <c r="C426" s="1189"/>
      <c r="D426" s="576" t="s">
        <v>1158</v>
      </c>
      <c r="E426" s="1191"/>
      <c r="F426" s="1191"/>
      <c r="G426" s="1748"/>
      <c r="H426" s="1192"/>
      <c r="I426" s="566">
        <f t="shared" ref="I426:I428" si="109">SUM(J426:N426)</f>
        <v>1275</v>
      </c>
      <c r="J426" s="1184"/>
      <c r="K426" s="1184"/>
      <c r="L426" s="1184"/>
      <c r="M426" s="1184"/>
      <c r="N426" s="439">
        <v>1275</v>
      </c>
    </row>
    <row r="427" spans="1:16" s="1193" customFormat="1" ht="18" customHeight="1" x14ac:dyDescent="0.3">
      <c r="A427" s="583">
        <v>418</v>
      </c>
      <c r="B427" s="1188"/>
      <c r="C427" s="1189"/>
      <c r="D427" s="1318" t="s">
        <v>947</v>
      </c>
      <c r="E427" s="1191"/>
      <c r="F427" s="1191"/>
      <c r="G427" s="1748"/>
      <c r="H427" s="1192"/>
      <c r="I427" s="1321">
        <f t="shared" si="109"/>
        <v>0</v>
      </c>
      <c r="J427" s="184"/>
      <c r="K427" s="184"/>
      <c r="L427" s="184"/>
      <c r="M427" s="184"/>
      <c r="N427" s="185"/>
    </row>
    <row r="428" spans="1:16" s="1193" customFormat="1" ht="18" customHeight="1" x14ac:dyDescent="0.3">
      <c r="A428" s="583">
        <v>419</v>
      </c>
      <c r="B428" s="1188"/>
      <c r="C428" s="1189"/>
      <c r="D428" s="576" t="s">
        <v>1250</v>
      </c>
      <c r="E428" s="1191"/>
      <c r="F428" s="1191"/>
      <c r="G428" s="1748"/>
      <c r="H428" s="1192"/>
      <c r="I428" s="566">
        <f t="shared" si="109"/>
        <v>1275</v>
      </c>
      <c r="J428" s="443"/>
      <c r="K428" s="443"/>
      <c r="L428" s="443"/>
      <c r="M428" s="443"/>
      <c r="N428" s="439">
        <f>SUM(N426:N427)</f>
        <v>1275</v>
      </c>
    </row>
    <row r="429" spans="1:16" s="3" customFormat="1" ht="22.5" customHeight="1" x14ac:dyDescent="0.3">
      <c r="A429" s="583">
        <v>420</v>
      </c>
      <c r="B429" s="160"/>
      <c r="C429" s="161">
        <v>63</v>
      </c>
      <c r="D429" s="577" t="s">
        <v>82</v>
      </c>
      <c r="E429" s="163">
        <v>4958</v>
      </c>
      <c r="F429" s="163">
        <v>5500</v>
      </c>
      <c r="G429" s="1746">
        <v>5500</v>
      </c>
      <c r="H429" s="598" t="s">
        <v>23</v>
      </c>
      <c r="I429" s="566"/>
      <c r="J429" s="167"/>
      <c r="K429" s="167"/>
      <c r="L429" s="167"/>
      <c r="M429" s="167"/>
      <c r="N429" s="168"/>
      <c r="P429" s="8"/>
    </row>
    <row r="430" spans="1:16" s="1193" customFormat="1" ht="18" customHeight="1" x14ac:dyDescent="0.3">
      <c r="A430" s="583">
        <v>421</v>
      </c>
      <c r="B430" s="1188"/>
      <c r="C430" s="1189"/>
      <c r="D430" s="1190" t="s">
        <v>308</v>
      </c>
      <c r="E430" s="1191"/>
      <c r="F430" s="1191"/>
      <c r="G430" s="1748"/>
      <c r="H430" s="1192"/>
      <c r="I430" s="1183">
        <f>SUM(J430:N430)</f>
        <v>5500</v>
      </c>
      <c r="J430" s="1184"/>
      <c r="K430" s="1184"/>
      <c r="L430" s="1184">
        <v>5500</v>
      </c>
      <c r="M430" s="1184"/>
      <c r="N430" s="1185"/>
    </row>
    <row r="431" spans="1:16" s="1193" customFormat="1" ht="18" customHeight="1" x14ac:dyDescent="0.3">
      <c r="A431" s="583">
        <v>422</v>
      </c>
      <c r="B431" s="1188"/>
      <c r="C431" s="1189"/>
      <c r="D431" s="576" t="s">
        <v>1158</v>
      </c>
      <c r="E431" s="1191"/>
      <c r="F431" s="1191"/>
      <c r="G431" s="1748"/>
      <c r="H431" s="1192"/>
      <c r="I431" s="566">
        <f t="shared" ref="I431:I433" si="110">SUM(J431:N431)</f>
        <v>5500</v>
      </c>
      <c r="J431" s="1184"/>
      <c r="K431" s="1184"/>
      <c r="L431" s="443">
        <v>5500</v>
      </c>
      <c r="M431" s="1184"/>
      <c r="N431" s="1185"/>
    </row>
    <row r="432" spans="1:16" s="1193" customFormat="1" ht="18" customHeight="1" x14ac:dyDescent="0.3">
      <c r="A432" s="583">
        <v>423</v>
      </c>
      <c r="B432" s="1188"/>
      <c r="C432" s="1189"/>
      <c r="D432" s="1318" t="s">
        <v>947</v>
      </c>
      <c r="E432" s="1191"/>
      <c r="F432" s="1191"/>
      <c r="G432" s="1748"/>
      <c r="H432" s="1192"/>
      <c r="I432" s="1321">
        <f t="shared" si="110"/>
        <v>0</v>
      </c>
      <c r="J432" s="184"/>
      <c r="K432" s="184"/>
      <c r="L432" s="184"/>
      <c r="M432" s="184"/>
      <c r="N432" s="185"/>
    </row>
    <row r="433" spans="1:16" s="1193" customFormat="1" ht="18" customHeight="1" x14ac:dyDescent="0.3">
      <c r="A433" s="583">
        <v>424</v>
      </c>
      <c r="B433" s="1188"/>
      <c r="C433" s="1189"/>
      <c r="D433" s="576" t="s">
        <v>1250</v>
      </c>
      <c r="E433" s="1191"/>
      <c r="F433" s="1191"/>
      <c r="G433" s="1748"/>
      <c r="H433" s="1192"/>
      <c r="I433" s="566">
        <f t="shared" si="110"/>
        <v>5500</v>
      </c>
      <c r="J433" s="443"/>
      <c r="K433" s="443"/>
      <c r="L433" s="443">
        <f>SUM(L431:L432)</f>
        <v>5500</v>
      </c>
      <c r="M433" s="443"/>
      <c r="N433" s="439"/>
    </row>
    <row r="434" spans="1:16" s="3" customFormat="1" ht="22.5" customHeight="1" x14ac:dyDescent="0.3">
      <c r="A434" s="583">
        <v>425</v>
      </c>
      <c r="B434" s="160"/>
      <c r="C434" s="161">
        <v>64</v>
      </c>
      <c r="D434" s="577" t="s">
        <v>83</v>
      </c>
      <c r="E434" s="163">
        <v>4500</v>
      </c>
      <c r="F434" s="163">
        <v>4800</v>
      </c>
      <c r="G434" s="1746">
        <v>4800</v>
      </c>
      <c r="H434" s="598" t="s">
        <v>23</v>
      </c>
      <c r="I434" s="566"/>
      <c r="J434" s="167"/>
      <c r="K434" s="167"/>
      <c r="L434" s="167"/>
      <c r="M434" s="167"/>
      <c r="N434" s="168"/>
      <c r="P434" s="8"/>
    </row>
    <row r="435" spans="1:16" s="1193" customFormat="1" ht="18" customHeight="1" x14ac:dyDescent="0.3">
      <c r="A435" s="583">
        <v>426</v>
      </c>
      <c r="B435" s="1188"/>
      <c r="C435" s="1189"/>
      <c r="D435" s="1190" t="s">
        <v>308</v>
      </c>
      <c r="E435" s="1191"/>
      <c r="F435" s="1191"/>
      <c r="G435" s="1748"/>
      <c r="H435" s="1192"/>
      <c r="I435" s="1183">
        <f>SUM(J435:N435)</f>
        <v>5200</v>
      </c>
      <c r="J435" s="1184"/>
      <c r="K435" s="1184"/>
      <c r="L435" s="1184">
        <v>5200</v>
      </c>
      <c r="M435" s="1184"/>
      <c r="N435" s="1185"/>
    </row>
    <row r="436" spans="1:16" s="1193" customFormat="1" ht="18" customHeight="1" x14ac:dyDescent="0.3">
      <c r="A436" s="583">
        <v>427</v>
      </c>
      <c r="B436" s="1188"/>
      <c r="C436" s="1189"/>
      <c r="D436" s="576" t="s">
        <v>1158</v>
      </c>
      <c r="E436" s="1191"/>
      <c r="F436" s="1191"/>
      <c r="G436" s="1748"/>
      <c r="H436" s="1192"/>
      <c r="I436" s="566">
        <f t="shared" ref="I436:I438" si="111">SUM(J436:N436)</f>
        <v>5200</v>
      </c>
      <c r="J436" s="1184"/>
      <c r="K436" s="1184"/>
      <c r="L436" s="443">
        <v>5200</v>
      </c>
      <c r="M436" s="1184"/>
      <c r="N436" s="1185"/>
    </row>
    <row r="437" spans="1:16" s="1193" customFormat="1" ht="18" customHeight="1" x14ac:dyDescent="0.3">
      <c r="A437" s="583">
        <v>428</v>
      </c>
      <c r="B437" s="1188"/>
      <c r="C437" s="1189"/>
      <c r="D437" s="1318" t="s">
        <v>947</v>
      </c>
      <c r="E437" s="1191"/>
      <c r="F437" s="1191"/>
      <c r="G437" s="1748"/>
      <c r="H437" s="1192"/>
      <c r="I437" s="1321">
        <f t="shared" si="111"/>
        <v>0</v>
      </c>
      <c r="J437" s="184"/>
      <c r="K437" s="184"/>
      <c r="L437" s="184"/>
      <c r="M437" s="184"/>
      <c r="N437" s="185"/>
    </row>
    <row r="438" spans="1:16" s="1193" customFormat="1" ht="18" customHeight="1" x14ac:dyDescent="0.3">
      <c r="A438" s="583">
        <v>429</v>
      </c>
      <c r="B438" s="1188"/>
      <c r="C438" s="1189"/>
      <c r="D438" s="576" t="s">
        <v>1250</v>
      </c>
      <c r="E438" s="1191"/>
      <c r="F438" s="1191"/>
      <c r="G438" s="1748"/>
      <c r="H438" s="1192"/>
      <c r="I438" s="566">
        <f t="shared" si="111"/>
        <v>5200</v>
      </c>
      <c r="J438" s="443"/>
      <c r="K438" s="443"/>
      <c r="L438" s="443">
        <f>SUM(L436:L437)</f>
        <v>5200</v>
      </c>
      <c r="M438" s="443"/>
      <c r="N438" s="439"/>
    </row>
    <row r="439" spans="1:16" s="3" customFormat="1" ht="22.5" customHeight="1" x14ac:dyDescent="0.3">
      <c r="A439" s="583">
        <v>430</v>
      </c>
      <c r="B439" s="160"/>
      <c r="C439" s="161">
        <v>65</v>
      </c>
      <c r="D439" s="577" t="s">
        <v>84</v>
      </c>
      <c r="E439" s="163">
        <v>1391</v>
      </c>
      <c r="F439" s="163">
        <v>2845</v>
      </c>
      <c r="G439" s="1746">
        <v>1763</v>
      </c>
      <c r="H439" s="598" t="s">
        <v>24</v>
      </c>
      <c r="I439" s="566"/>
      <c r="J439" s="167"/>
      <c r="K439" s="167"/>
      <c r="L439" s="167"/>
      <c r="M439" s="167"/>
      <c r="N439" s="168"/>
      <c r="P439" s="8"/>
    </row>
    <row r="440" spans="1:16" s="1193" customFormat="1" ht="18" customHeight="1" x14ac:dyDescent="0.3">
      <c r="A440" s="583">
        <v>431</v>
      </c>
      <c r="B440" s="1188"/>
      <c r="C440" s="1189"/>
      <c r="D440" s="1190" t="s">
        <v>308</v>
      </c>
      <c r="E440" s="1191"/>
      <c r="F440" s="1191"/>
      <c r="G440" s="1748"/>
      <c r="H440" s="1192"/>
      <c r="I440" s="1183">
        <f>SUM(J440:N440)</f>
        <v>2418</v>
      </c>
      <c r="J440" s="1184"/>
      <c r="K440" s="1184"/>
      <c r="L440" s="1184">
        <v>2418</v>
      </c>
      <c r="M440" s="1184"/>
      <c r="N440" s="1185"/>
    </row>
    <row r="441" spans="1:16" s="1193" customFormat="1" ht="18" customHeight="1" x14ac:dyDescent="0.3">
      <c r="A441" s="583">
        <v>432</v>
      </c>
      <c r="B441" s="1188"/>
      <c r="C441" s="1189"/>
      <c r="D441" s="576" t="s">
        <v>1158</v>
      </c>
      <c r="E441" s="1191"/>
      <c r="F441" s="1191"/>
      <c r="G441" s="1748"/>
      <c r="H441" s="1192"/>
      <c r="I441" s="566">
        <f t="shared" ref="I441:I443" si="112">SUM(J441:N441)</f>
        <v>3418</v>
      </c>
      <c r="J441" s="1184"/>
      <c r="K441" s="1184"/>
      <c r="L441" s="443">
        <v>3418</v>
      </c>
      <c r="M441" s="1184"/>
      <c r="N441" s="1185"/>
    </row>
    <row r="442" spans="1:16" s="1193" customFormat="1" ht="18" customHeight="1" x14ac:dyDescent="0.3">
      <c r="A442" s="583">
        <v>433</v>
      </c>
      <c r="B442" s="1188"/>
      <c r="C442" s="1189"/>
      <c r="D442" s="1318" t="s">
        <v>970</v>
      </c>
      <c r="E442" s="1191"/>
      <c r="F442" s="1191"/>
      <c r="G442" s="1748"/>
      <c r="H442" s="1192"/>
      <c r="I442" s="1321">
        <f t="shared" si="112"/>
        <v>2500</v>
      </c>
      <c r="J442" s="184"/>
      <c r="K442" s="184"/>
      <c r="L442" s="184">
        <v>2500</v>
      </c>
      <c r="M442" s="184"/>
      <c r="N442" s="185"/>
    </row>
    <row r="443" spans="1:16" s="1193" customFormat="1" ht="18" customHeight="1" x14ac:dyDescent="0.3">
      <c r="A443" s="583">
        <v>434</v>
      </c>
      <c r="B443" s="1188"/>
      <c r="C443" s="1189"/>
      <c r="D443" s="576" t="s">
        <v>1250</v>
      </c>
      <c r="E443" s="1191"/>
      <c r="F443" s="1191"/>
      <c r="G443" s="1748"/>
      <c r="H443" s="1192"/>
      <c r="I443" s="566">
        <f t="shared" si="112"/>
        <v>5918</v>
      </c>
      <c r="J443" s="443"/>
      <c r="K443" s="443"/>
      <c r="L443" s="443">
        <f>SUM(L441:L442)</f>
        <v>5918</v>
      </c>
      <c r="M443" s="443"/>
      <c r="N443" s="439"/>
    </row>
    <row r="444" spans="1:16" s="3" customFormat="1" ht="22.5" customHeight="1" x14ac:dyDescent="0.3">
      <c r="A444" s="583">
        <v>435</v>
      </c>
      <c r="B444" s="160"/>
      <c r="C444" s="161">
        <v>66</v>
      </c>
      <c r="D444" s="577" t="s">
        <v>85</v>
      </c>
      <c r="E444" s="163">
        <v>189681</v>
      </c>
      <c r="F444" s="163">
        <v>218519</v>
      </c>
      <c r="G444" s="1746">
        <v>197049</v>
      </c>
      <c r="H444" s="598" t="s">
        <v>23</v>
      </c>
      <c r="I444" s="566"/>
      <c r="J444" s="167"/>
      <c r="K444" s="167"/>
      <c r="L444" s="167"/>
      <c r="M444" s="167"/>
      <c r="N444" s="168"/>
      <c r="P444" s="8"/>
    </row>
    <row r="445" spans="1:16" s="1193" customFormat="1" ht="18" customHeight="1" x14ac:dyDescent="0.3">
      <c r="A445" s="583">
        <v>436</v>
      </c>
      <c r="B445" s="1188"/>
      <c r="C445" s="1189"/>
      <c r="D445" s="1190" t="s">
        <v>308</v>
      </c>
      <c r="E445" s="1191"/>
      <c r="F445" s="1191"/>
      <c r="G445" s="1748"/>
      <c r="H445" s="1192"/>
      <c r="I445" s="1183">
        <f>SUM(J445:N445)</f>
        <v>255180</v>
      </c>
      <c r="J445" s="1184">
        <v>153862</v>
      </c>
      <c r="K445" s="1184">
        <v>26611</v>
      </c>
      <c r="L445" s="1184">
        <f>77707-3000</f>
        <v>74707</v>
      </c>
      <c r="M445" s="1184"/>
      <c r="N445" s="1185"/>
    </row>
    <row r="446" spans="1:16" s="1193" customFormat="1" ht="18" customHeight="1" x14ac:dyDescent="0.3">
      <c r="A446" s="583">
        <v>437</v>
      </c>
      <c r="B446" s="1188"/>
      <c r="C446" s="1189"/>
      <c r="D446" s="576" t="s">
        <v>1158</v>
      </c>
      <c r="E446" s="1191"/>
      <c r="F446" s="1191"/>
      <c r="G446" s="1748"/>
      <c r="H446" s="1192"/>
      <c r="I446" s="566">
        <f t="shared" ref="I446:I448" si="113">SUM(J446:N446)</f>
        <v>266124</v>
      </c>
      <c r="J446" s="443">
        <v>158536</v>
      </c>
      <c r="K446" s="443">
        <v>30817</v>
      </c>
      <c r="L446" s="443">
        <v>76771</v>
      </c>
      <c r="M446" s="1184"/>
      <c r="N446" s="1185"/>
    </row>
    <row r="447" spans="1:16" s="1193" customFormat="1" ht="18" customHeight="1" x14ac:dyDescent="0.3">
      <c r="A447" s="583">
        <v>438</v>
      </c>
      <c r="B447" s="1188"/>
      <c r="C447" s="1189"/>
      <c r="D447" s="1318" t="s">
        <v>970</v>
      </c>
      <c r="E447" s="1191"/>
      <c r="F447" s="1191"/>
      <c r="G447" s="1748"/>
      <c r="H447" s="1192"/>
      <c r="I447" s="1321">
        <f t="shared" si="113"/>
        <v>-2500</v>
      </c>
      <c r="J447" s="184"/>
      <c r="K447" s="184"/>
      <c r="L447" s="184">
        <v>-2500</v>
      </c>
      <c r="M447" s="184"/>
      <c r="N447" s="185"/>
    </row>
    <row r="448" spans="1:16" s="1193" customFormat="1" ht="18" customHeight="1" x14ac:dyDescent="0.3">
      <c r="A448" s="583">
        <v>439</v>
      </c>
      <c r="B448" s="1188"/>
      <c r="C448" s="1189"/>
      <c r="D448" s="576" t="s">
        <v>1250</v>
      </c>
      <c r="E448" s="1191"/>
      <c r="F448" s="1191"/>
      <c r="G448" s="1748"/>
      <c r="H448" s="1192"/>
      <c r="I448" s="566">
        <f t="shared" si="113"/>
        <v>263624</v>
      </c>
      <c r="J448" s="443">
        <f>SUM(J446:J447)</f>
        <v>158536</v>
      </c>
      <c r="K448" s="443">
        <f t="shared" ref="K448:L448" si="114">SUM(K446:K447)</f>
        <v>30817</v>
      </c>
      <c r="L448" s="443">
        <f t="shared" si="114"/>
        <v>74271</v>
      </c>
      <c r="M448" s="443"/>
      <c r="N448" s="439"/>
    </row>
    <row r="449" spans="1:16" s="8" customFormat="1" ht="22.5" customHeight="1" x14ac:dyDescent="0.3">
      <c r="A449" s="583">
        <v>440</v>
      </c>
      <c r="B449" s="164"/>
      <c r="C449" s="161">
        <v>67</v>
      </c>
      <c r="D449" s="576" t="s">
        <v>449</v>
      </c>
      <c r="E449" s="163">
        <v>180</v>
      </c>
      <c r="F449" s="163">
        <v>180</v>
      </c>
      <c r="G449" s="1746">
        <v>180</v>
      </c>
      <c r="H449" s="598" t="s">
        <v>23</v>
      </c>
      <c r="I449" s="566"/>
      <c r="J449" s="167"/>
      <c r="K449" s="167"/>
      <c r="L449" s="167"/>
      <c r="M449" s="167"/>
      <c r="N449" s="168"/>
    </row>
    <row r="450" spans="1:16" s="1193" customFormat="1" ht="18" customHeight="1" x14ac:dyDescent="0.3">
      <c r="A450" s="583">
        <v>441</v>
      </c>
      <c r="B450" s="1188"/>
      <c r="C450" s="1189"/>
      <c r="D450" s="1190" t="s">
        <v>308</v>
      </c>
      <c r="E450" s="1191"/>
      <c r="F450" s="1191"/>
      <c r="G450" s="1748"/>
      <c r="H450" s="1192"/>
      <c r="I450" s="1183">
        <f>SUM(J450:N450)</f>
        <v>180</v>
      </c>
      <c r="J450" s="1184"/>
      <c r="K450" s="1184"/>
      <c r="L450" s="1184">
        <v>180</v>
      </c>
      <c r="M450" s="1184"/>
      <c r="N450" s="1185"/>
    </row>
    <row r="451" spans="1:16" s="1193" customFormat="1" ht="18" customHeight="1" x14ac:dyDescent="0.3">
      <c r="A451" s="583">
        <v>442</v>
      </c>
      <c r="B451" s="1188"/>
      <c r="C451" s="1189"/>
      <c r="D451" s="576" t="s">
        <v>1158</v>
      </c>
      <c r="E451" s="1191"/>
      <c r="F451" s="1191"/>
      <c r="G451" s="1748"/>
      <c r="H451" s="1192"/>
      <c r="I451" s="566">
        <f t="shared" ref="I451:I453" si="115">SUM(J451:N451)</f>
        <v>180</v>
      </c>
      <c r="J451" s="1184"/>
      <c r="K451" s="1184"/>
      <c r="L451" s="443">
        <v>180</v>
      </c>
      <c r="M451" s="1184"/>
      <c r="N451" s="1185"/>
    </row>
    <row r="452" spans="1:16" s="1193" customFormat="1" ht="18" customHeight="1" x14ac:dyDescent="0.3">
      <c r="A452" s="583">
        <v>443</v>
      </c>
      <c r="B452" s="1188"/>
      <c r="C452" s="1189"/>
      <c r="D452" s="1318" t="s">
        <v>947</v>
      </c>
      <c r="E452" s="1191"/>
      <c r="F452" s="1191"/>
      <c r="G452" s="1748"/>
      <c r="H452" s="1192"/>
      <c r="I452" s="1321">
        <f t="shared" si="115"/>
        <v>0</v>
      </c>
      <c r="J452" s="184"/>
      <c r="K452" s="184"/>
      <c r="L452" s="184"/>
      <c r="M452" s="184"/>
      <c r="N452" s="185"/>
    </row>
    <row r="453" spans="1:16" s="1193" customFormat="1" ht="18" customHeight="1" x14ac:dyDescent="0.3">
      <c r="A453" s="583">
        <v>444</v>
      </c>
      <c r="B453" s="1188"/>
      <c r="C453" s="1189"/>
      <c r="D453" s="576" t="s">
        <v>1250</v>
      </c>
      <c r="E453" s="1191"/>
      <c r="F453" s="1191"/>
      <c r="G453" s="1748"/>
      <c r="H453" s="1192"/>
      <c r="I453" s="566">
        <f t="shared" si="115"/>
        <v>180</v>
      </c>
      <c r="J453" s="443"/>
      <c r="K453" s="443"/>
      <c r="L453" s="443">
        <f>SUM(L451:L452)</f>
        <v>180</v>
      </c>
      <c r="M453" s="443"/>
      <c r="N453" s="439"/>
    </row>
    <row r="454" spans="1:16" s="3" customFormat="1" ht="22.5" customHeight="1" x14ac:dyDescent="0.3">
      <c r="A454" s="583">
        <v>445</v>
      </c>
      <c r="B454" s="160"/>
      <c r="C454" s="161">
        <v>68</v>
      </c>
      <c r="D454" s="577" t="s">
        <v>86</v>
      </c>
      <c r="E454" s="163">
        <v>7276</v>
      </c>
      <c r="F454" s="163">
        <v>25000</v>
      </c>
      <c r="G454" s="1746">
        <v>14161</v>
      </c>
      <c r="H454" s="598" t="s">
        <v>23</v>
      </c>
      <c r="I454" s="566"/>
      <c r="J454" s="167"/>
      <c r="K454" s="167"/>
      <c r="L454" s="167"/>
      <c r="M454" s="167"/>
      <c r="N454" s="168"/>
      <c r="P454" s="8"/>
    </row>
    <row r="455" spans="1:16" s="1193" customFormat="1" ht="18" customHeight="1" x14ac:dyDescent="0.3">
      <c r="A455" s="583">
        <v>446</v>
      </c>
      <c r="B455" s="1210"/>
      <c r="C455" s="1189"/>
      <c r="D455" s="1190" t="s">
        <v>308</v>
      </c>
      <c r="E455" s="1195"/>
      <c r="F455" s="1195"/>
      <c r="G455" s="1751"/>
      <c r="H455" s="1196"/>
      <c r="I455" s="1183">
        <f>SUM(J455:N455)</f>
        <v>54536</v>
      </c>
      <c r="J455" s="1197"/>
      <c r="K455" s="1197"/>
      <c r="L455" s="1197"/>
      <c r="M455" s="1197"/>
      <c r="N455" s="1198">
        <f>54541-5</f>
        <v>54536</v>
      </c>
    </row>
    <row r="456" spans="1:16" s="1193" customFormat="1" ht="18" customHeight="1" x14ac:dyDescent="0.3">
      <c r="A456" s="583">
        <v>447</v>
      </c>
      <c r="B456" s="1210"/>
      <c r="C456" s="1189"/>
      <c r="D456" s="576" t="s">
        <v>1158</v>
      </c>
      <c r="E456" s="1195"/>
      <c r="F456" s="1195"/>
      <c r="G456" s="1751"/>
      <c r="H456" s="1196"/>
      <c r="I456" s="566">
        <f>SUM(J456:N456)</f>
        <v>321315</v>
      </c>
      <c r="J456" s="1197"/>
      <c r="K456" s="1197"/>
      <c r="L456" s="1319">
        <v>2293</v>
      </c>
      <c r="M456" s="1197"/>
      <c r="N456" s="1320">
        <v>319022</v>
      </c>
    </row>
    <row r="457" spans="1:16" s="1193" customFormat="1" ht="18" customHeight="1" x14ac:dyDescent="0.3">
      <c r="A457" s="583">
        <v>448</v>
      </c>
      <c r="B457" s="1210"/>
      <c r="C457" s="1189"/>
      <c r="D457" s="1318" t="s">
        <v>970</v>
      </c>
      <c r="E457" s="1195"/>
      <c r="F457" s="1195"/>
      <c r="G457" s="1751"/>
      <c r="H457" s="1196"/>
      <c r="I457" s="1321">
        <f t="shared" ref="I457" si="116">SUM(J457:N457)</f>
        <v>3433</v>
      </c>
      <c r="J457" s="621"/>
      <c r="K457" s="621"/>
      <c r="L457" s="621"/>
      <c r="M457" s="621"/>
      <c r="N457" s="622">
        <f>-2869-1+59254-52951</f>
        <v>3433</v>
      </c>
    </row>
    <row r="458" spans="1:16" s="1193" customFormat="1" ht="18" customHeight="1" x14ac:dyDescent="0.3">
      <c r="A458" s="583">
        <v>449</v>
      </c>
      <c r="B458" s="1210"/>
      <c r="C458" s="1189"/>
      <c r="D458" s="576" t="s">
        <v>1250</v>
      </c>
      <c r="E458" s="1195"/>
      <c r="F458" s="1195"/>
      <c r="G458" s="1751"/>
      <c r="H458" s="1196"/>
      <c r="I458" s="566">
        <f>SUM(J458:N458)</f>
        <v>324748</v>
      </c>
      <c r="J458" s="1319"/>
      <c r="K458" s="1319"/>
      <c r="L458" s="1319">
        <f>SUM(L456:L457)</f>
        <v>2293</v>
      </c>
      <c r="M458" s="1319"/>
      <c r="N458" s="1320">
        <f>SUM(N456:N457)</f>
        <v>322455</v>
      </c>
    </row>
    <row r="459" spans="1:16" s="3" customFormat="1" ht="22.5" customHeight="1" x14ac:dyDescent="0.3">
      <c r="A459" s="583">
        <v>450</v>
      </c>
      <c r="B459" s="160"/>
      <c r="C459" s="161">
        <v>69</v>
      </c>
      <c r="D459" s="577" t="s">
        <v>87</v>
      </c>
      <c r="E459" s="163">
        <v>121137</v>
      </c>
      <c r="F459" s="163">
        <v>136877</v>
      </c>
      <c r="G459" s="1746">
        <v>164182</v>
      </c>
      <c r="H459" s="598" t="s">
        <v>23</v>
      </c>
      <c r="I459" s="566"/>
      <c r="J459" s="167"/>
      <c r="K459" s="167"/>
      <c r="L459" s="167"/>
      <c r="M459" s="167"/>
      <c r="N459" s="168"/>
      <c r="P459" s="8"/>
    </row>
    <row r="460" spans="1:16" s="1193" customFormat="1" ht="18" customHeight="1" x14ac:dyDescent="0.3">
      <c r="A460" s="583">
        <v>451</v>
      </c>
      <c r="B460" s="1188"/>
      <c r="C460" s="1189"/>
      <c r="D460" s="1190" t="s">
        <v>308</v>
      </c>
      <c r="E460" s="1191"/>
      <c r="F460" s="1191"/>
      <c r="G460" s="1748"/>
      <c r="H460" s="1192"/>
      <c r="I460" s="1183">
        <f>SUM(J460:N460)</f>
        <v>158489</v>
      </c>
      <c r="J460" s="1184"/>
      <c r="K460" s="1184"/>
      <c r="L460" s="1184">
        <v>158489</v>
      </c>
      <c r="M460" s="1184"/>
      <c r="N460" s="1185"/>
    </row>
    <row r="461" spans="1:16" s="1193" customFormat="1" ht="18" customHeight="1" x14ac:dyDescent="0.3">
      <c r="A461" s="583">
        <v>452</v>
      </c>
      <c r="B461" s="1188"/>
      <c r="C461" s="1189"/>
      <c r="D461" s="576" t="s">
        <v>1158</v>
      </c>
      <c r="E461" s="1191"/>
      <c r="F461" s="1191"/>
      <c r="G461" s="1748"/>
      <c r="H461" s="1192"/>
      <c r="I461" s="566">
        <f t="shared" ref="I461:I463" si="117">SUM(J461:N461)</f>
        <v>139930</v>
      </c>
      <c r="J461" s="1184"/>
      <c r="K461" s="1184"/>
      <c r="L461" s="443">
        <v>139930</v>
      </c>
      <c r="M461" s="1184"/>
      <c r="N461" s="1185"/>
    </row>
    <row r="462" spans="1:16" s="1193" customFormat="1" ht="18" customHeight="1" x14ac:dyDescent="0.3">
      <c r="A462" s="583">
        <v>453</v>
      </c>
      <c r="B462" s="1188"/>
      <c r="C462" s="1189"/>
      <c r="D462" s="1318" t="s">
        <v>969</v>
      </c>
      <c r="E462" s="1191"/>
      <c r="F462" s="1191"/>
      <c r="G462" s="1748"/>
      <c r="H462" s="1192"/>
      <c r="I462" s="1321">
        <f t="shared" si="117"/>
        <v>0</v>
      </c>
      <c r="J462" s="184"/>
      <c r="K462" s="184"/>
      <c r="L462" s="184"/>
      <c r="M462" s="184"/>
      <c r="N462" s="185"/>
    </row>
    <row r="463" spans="1:16" s="1193" customFormat="1" ht="18" customHeight="1" x14ac:dyDescent="0.3">
      <c r="A463" s="583">
        <v>454</v>
      </c>
      <c r="B463" s="1188"/>
      <c r="C463" s="1189"/>
      <c r="D463" s="576" t="s">
        <v>1250</v>
      </c>
      <c r="E463" s="1191"/>
      <c r="F463" s="1191"/>
      <c r="G463" s="1748"/>
      <c r="H463" s="1192"/>
      <c r="I463" s="566">
        <f t="shared" si="117"/>
        <v>139930</v>
      </c>
      <c r="J463" s="443"/>
      <c r="K463" s="443"/>
      <c r="L463" s="443">
        <f>SUM(L461:L462)</f>
        <v>139930</v>
      </c>
      <c r="M463" s="443"/>
      <c r="N463" s="439"/>
    </row>
    <row r="464" spans="1:16" s="3" customFormat="1" ht="22.5" customHeight="1" x14ac:dyDescent="0.3">
      <c r="A464" s="583">
        <v>455</v>
      </c>
      <c r="B464" s="160"/>
      <c r="C464" s="161">
        <v>70</v>
      </c>
      <c r="D464" s="577" t="s">
        <v>88</v>
      </c>
      <c r="E464" s="163">
        <v>15166</v>
      </c>
      <c r="F464" s="163">
        <v>16687</v>
      </c>
      <c r="G464" s="1746">
        <v>13955</v>
      </c>
      <c r="H464" s="598" t="s">
        <v>24</v>
      </c>
      <c r="I464" s="566"/>
      <c r="J464" s="167"/>
      <c r="K464" s="167"/>
      <c r="L464" s="167"/>
      <c r="M464" s="167"/>
      <c r="N464" s="168"/>
      <c r="P464" s="8"/>
    </row>
    <row r="465" spans="1:16" s="1193" customFormat="1" ht="18" customHeight="1" x14ac:dyDescent="0.3">
      <c r="A465" s="583">
        <v>456</v>
      </c>
      <c r="B465" s="1188"/>
      <c r="C465" s="1189"/>
      <c r="D465" s="1190" t="s">
        <v>308</v>
      </c>
      <c r="E465" s="1191"/>
      <c r="F465" s="1191"/>
      <c r="G465" s="1748"/>
      <c r="H465" s="1192"/>
      <c r="I465" s="1183">
        <f>SUM(J465:N465)</f>
        <v>40583</v>
      </c>
      <c r="J465" s="1184"/>
      <c r="K465" s="1184"/>
      <c r="L465" s="1184">
        <v>40583</v>
      </c>
      <c r="M465" s="1184"/>
      <c r="N465" s="1185"/>
    </row>
    <row r="466" spans="1:16" s="1193" customFormat="1" ht="18" customHeight="1" x14ac:dyDescent="0.3">
      <c r="A466" s="583">
        <v>457</v>
      </c>
      <c r="B466" s="1188"/>
      <c r="C466" s="1189"/>
      <c r="D466" s="576" t="s">
        <v>1158</v>
      </c>
      <c r="E466" s="1191"/>
      <c r="F466" s="1191"/>
      <c r="G466" s="1748"/>
      <c r="H466" s="1192"/>
      <c r="I466" s="566">
        <f t="shared" ref="I466:I468" si="118">SUM(J466:N466)</f>
        <v>40583</v>
      </c>
      <c r="J466" s="1184"/>
      <c r="K466" s="1184"/>
      <c r="L466" s="443">
        <v>40583</v>
      </c>
      <c r="M466" s="1184"/>
      <c r="N466" s="1185"/>
    </row>
    <row r="467" spans="1:16" s="1193" customFormat="1" ht="18" customHeight="1" x14ac:dyDescent="0.3">
      <c r="A467" s="583">
        <v>458</v>
      </c>
      <c r="B467" s="1188"/>
      <c r="C467" s="1189"/>
      <c r="D467" s="1318" t="s">
        <v>947</v>
      </c>
      <c r="E467" s="1191"/>
      <c r="F467" s="1191"/>
      <c r="G467" s="1748"/>
      <c r="H467" s="1192"/>
      <c r="I467" s="1321">
        <f t="shared" si="118"/>
        <v>0</v>
      </c>
      <c r="J467" s="184"/>
      <c r="K467" s="184"/>
      <c r="L467" s="184"/>
      <c r="M467" s="184"/>
      <c r="N467" s="185"/>
    </row>
    <row r="468" spans="1:16" s="1193" customFormat="1" ht="18" customHeight="1" x14ac:dyDescent="0.3">
      <c r="A468" s="583">
        <v>459</v>
      </c>
      <c r="B468" s="1188"/>
      <c r="C468" s="1189"/>
      <c r="D468" s="576" t="s">
        <v>1250</v>
      </c>
      <c r="E468" s="1191"/>
      <c r="F468" s="1191"/>
      <c r="G468" s="1748"/>
      <c r="H468" s="1192"/>
      <c r="I468" s="566">
        <f t="shared" si="118"/>
        <v>40583</v>
      </c>
      <c r="J468" s="443"/>
      <c r="K468" s="443"/>
      <c r="L468" s="443">
        <f>SUM(L466:L467)</f>
        <v>40583</v>
      </c>
      <c r="M468" s="443"/>
      <c r="N468" s="439"/>
    </row>
    <row r="469" spans="1:16" s="8" customFormat="1" ht="22.5" customHeight="1" x14ac:dyDescent="0.3">
      <c r="A469" s="583">
        <v>460</v>
      </c>
      <c r="B469" s="164"/>
      <c r="C469" s="161">
        <v>71</v>
      </c>
      <c r="D469" s="576" t="s">
        <v>450</v>
      </c>
      <c r="E469" s="163">
        <v>244205</v>
      </c>
      <c r="F469" s="163">
        <v>306766</v>
      </c>
      <c r="G469" s="1746">
        <v>306766</v>
      </c>
      <c r="H469" s="598" t="s">
        <v>23</v>
      </c>
      <c r="I469" s="566"/>
      <c r="J469" s="167"/>
      <c r="K469" s="167"/>
      <c r="L469" s="167"/>
      <c r="M469" s="167"/>
      <c r="N469" s="168"/>
    </row>
    <row r="470" spans="1:16" s="1193" customFormat="1" ht="18" customHeight="1" x14ac:dyDescent="0.3">
      <c r="A470" s="583">
        <v>461</v>
      </c>
      <c r="B470" s="1188"/>
      <c r="C470" s="1189"/>
      <c r="D470" s="1190" t="s">
        <v>308</v>
      </c>
      <c r="E470" s="1191"/>
      <c r="F470" s="1191"/>
      <c r="G470" s="1748"/>
      <c r="H470" s="1192"/>
      <c r="I470" s="1183">
        <f>SUM(J470:N470)</f>
        <v>394879</v>
      </c>
      <c r="J470" s="1184"/>
      <c r="K470" s="1184"/>
      <c r="L470" s="1184"/>
      <c r="M470" s="1184"/>
      <c r="N470" s="1185">
        <v>394879</v>
      </c>
    </row>
    <row r="471" spans="1:16" s="1193" customFormat="1" ht="18" customHeight="1" x14ac:dyDescent="0.3">
      <c r="A471" s="583">
        <v>462</v>
      </c>
      <c r="B471" s="1188"/>
      <c r="C471" s="1189"/>
      <c r="D471" s="576" t="s">
        <v>1158</v>
      </c>
      <c r="E471" s="1191"/>
      <c r="F471" s="1191"/>
      <c r="G471" s="1748"/>
      <c r="H471" s="1192"/>
      <c r="I471" s="566">
        <f t="shared" ref="I471:I473" si="119">SUM(J471:N471)</f>
        <v>301689</v>
      </c>
      <c r="J471" s="1184"/>
      <c r="K471" s="1184"/>
      <c r="L471" s="1184"/>
      <c r="M471" s="1184"/>
      <c r="N471" s="439">
        <v>301689</v>
      </c>
    </row>
    <row r="472" spans="1:16" s="1193" customFormat="1" ht="18" customHeight="1" x14ac:dyDescent="0.3">
      <c r="A472" s="583">
        <v>463</v>
      </c>
      <c r="B472" s="1188"/>
      <c r="C472" s="1189"/>
      <c r="D472" s="1318" t="s">
        <v>969</v>
      </c>
      <c r="E472" s="1191"/>
      <c r="F472" s="1191"/>
      <c r="G472" s="1748"/>
      <c r="H472" s="1192"/>
      <c r="I472" s="1321">
        <f t="shared" si="119"/>
        <v>0</v>
      </c>
      <c r="J472" s="184"/>
      <c r="K472" s="184"/>
      <c r="L472" s="184"/>
      <c r="M472" s="184"/>
      <c r="N472" s="185"/>
    </row>
    <row r="473" spans="1:16" s="1193" customFormat="1" ht="18" customHeight="1" x14ac:dyDescent="0.3">
      <c r="A473" s="583">
        <v>464</v>
      </c>
      <c r="B473" s="1188"/>
      <c r="C473" s="1189"/>
      <c r="D473" s="576" t="s">
        <v>1250</v>
      </c>
      <c r="E473" s="1191"/>
      <c r="F473" s="1191"/>
      <c r="G473" s="1748"/>
      <c r="H473" s="1192"/>
      <c r="I473" s="566">
        <f t="shared" si="119"/>
        <v>301689</v>
      </c>
      <c r="J473" s="443"/>
      <c r="K473" s="443"/>
      <c r="L473" s="443"/>
      <c r="M473" s="443"/>
      <c r="N473" s="439">
        <f>SUM(N471:N472)</f>
        <v>301689</v>
      </c>
    </row>
    <row r="474" spans="1:16" s="3" customFormat="1" ht="22.5" customHeight="1" x14ac:dyDescent="0.3">
      <c r="A474" s="583">
        <v>465</v>
      </c>
      <c r="B474" s="160"/>
      <c r="C474" s="161">
        <v>72</v>
      </c>
      <c r="D474" s="577" t="s">
        <v>90</v>
      </c>
      <c r="E474" s="163">
        <v>5300</v>
      </c>
      <c r="F474" s="163">
        <v>15000</v>
      </c>
      <c r="G474" s="1746">
        <v>15000</v>
      </c>
      <c r="H474" s="598" t="s">
        <v>24</v>
      </c>
      <c r="I474" s="566"/>
      <c r="J474" s="167"/>
      <c r="K474" s="167"/>
      <c r="L474" s="167"/>
      <c r="M474" s="167"/>
      <c r="N474" s="168"/>
      <c r="P474" s="8"/>
    </row>
    <row r="475" spans="1:16" s="1193" customFormat="1" ht="18" customHeight="1" x14ac:dyDescent="0.3">
      <c r="A475" s="583">
        <v>466</v>
      </c>
      <c r="B475" s="1188"/>
      <c r="C475" s="1189"/>
      <c r="D475" s="1190" t="s">
        <v>308</v>
      </c>
      <c r="E475" s="1191"/>
      <c r="F475" s="1191"/>
      <c r="G475" s="1748"/>
      <c r="H475" s="1192"/>
      <c r="I475" s="1183">
        <f>SUM(J475:N475)</f>
        <v>12750</v>
      </c>
      <c r="J475" s="1184"/>
      <c r="K475" s="1184"/>
      <c r="L475" s="1184"/>
      <c r="M475" s="1184"/>
      <c r="N475" s="1185">
        <v>12750</v>
      </c>
    </row>
    <row r="476" spans="1:16" s="1193" customFormat="1" ht="18" customHeight="1" x14ac:dyDescent="0.3">
      <c r="A476" s="583">
        <v>467</v>
      </c>
      <c r="B476" s="1188"/>
      <c r="C476" s="1189"/>
      <c r="D476" s="576" t="s">
        <v>1158</v>
      </c>
      <c r="E476" s="1191"/>
      <c r="F476" s="1191"/>
      <c r="G476" s="1748"/>
      <c r="H476" s="1192"/>
      <c r="I476" s="566">
        <f t="shared" ref="I476:I478" si="120">SUM(J476:N476)</f>
        <v>12750</v>
      </c>
      <c r="J476" s="1184"/>
      <c r="K476" s="1184"/>
      <c r="L476" s="1184"/>
      <c r="M476" s="1184"/>
      <c r="N476" s="439">
        <v>12750</v>
      </c>
    </row>
    <row r="477" spans="1:16" s="1193" customFormat="1" ht="18" customHeight="1" x14ac:dyDescent="0.3">
      <c r="A477" s="583">
        <v>468</v>
      </c>
      <c r="B477" s="1188"/>
      <c r="C477" s="1189"/>
      <c r="D477" s="1318" t="s">
        <v>947</v>
      </c>
      <c r="E477" s="1191"/>
      <c r="F477" s="1191"/>
      <c r="G477" s="1748"/>
      <c r="H477" s="1192"/>
      <c r="I477" s="1321">
        <f t="shared" si="120"/>
        <v>0</v>
      </c>
      <c r="J477" s="443"/>
      <c r="K477" s="443"/>
      <c r="L477" s="443"/>
      <c r="M477" s="443"/>
      <c r="N477" s="439"/>
    </row>
    <row r="478" spans="1:16" s="1193" customFormat="1" ht="18" customHeight="1" x14ac:dyDescent="0.3">
      <c r="A478" s="583">
        <v>469</v>
      </c>
      <c r="B478" s="1188"/>
      <c r="C478" s="1189"/>
      <c r="D478" s="576" t="s">
        <v>1250</v>
      </c>
      <c r="E478" s="1191"/>
      <c r="F478" s="1191"/>
      <c r="G478" s="1748"/>
      <c r="H478" s="1192"/>
      <c r="I478" s="566">
        <f t="shared" si="120"/>
        <v>12750</v>
      </c>
      <c r="J478" s="443"/>
      <c r="K478" s="443"/>
      <c r="L478" s="443"/>
      <c r="M478" s="443"/>
      <c r="N478" s="439">
        <f>SUM(N476:N477)</f>
        <v>12750</v>
      </c>
    </row>
    <row r="479" spans="1:16" s="3" customFormat="1" ht="22.5" customHeight="1" x14ac:dyDescent="0.35">
      <c r="A479" s="583">
        <v>470</v>
      </c>
      <c r="B479" s="160"/>
      <c r="C479" s="161">
        <v>73</v>
      </c>
      <c r="D479" s="580" t="s">
        <v>451</v>
      </c>
      <c r="E479" s="163">
        <v>305180</v>
      </c>
      <c r="F479" s="163">
        <v>160000</v>
      </c>
      <c r="G479" s="1746">
        <v>135683</v>
      </c>
      <c r="H479" s="598" t="s">
        <v>23</v>
      </c>
      <c r="I479" s="566"/>
      <c r="J479" s="167"/>
      <c r="K479" s="167"/>
      <c r="L479" s="167"/>
      <c r="M479" s="167"/>
      <c r="N479" s="168"/>
      <c r="P479" s="8"/>
    </row>
    <row r="480" spans="1:16" s="1193" customFormat="1" ht="18" customHeight="1" x14ac:dyDescent="0.3">
      <c r="A480" s="583">
        <v>471</v>
      </c>
      <c r="B480" s="1188"/>
      <c r="C480" s="1189"/>
      <c r="D480" s="1190" t="s">
        <v>308</v>
      </c>
      <c r="E480" s="1191"/>
      <c r="F480" s="1191"/>
      <c r="G480" s="1748"/>
      <c r="H480" s="1192"/>
      <c r="I480" s="1183">
        <f>SUM(J480:N480)</f>
        <v>70760</v>
      </c>
      <c r="J480" s="1184"/>
      <c r="K480" s="1184"/>
      <c r="L480" s="1184"/>
      <c r="M480" s="1184"/>
      <c r="N480" s="1185">
        <v>70760</v>
      </c>
    </row>
    <row r="481" spans="1:16" s="1193" customFormat="1" ht="18" customHeight="1" x14ac:dyDescent="0.3">
      <c r="A481" s="583">
        <v>472</v>
      </c>
      <c r="B481" s="1188"/>
      <c r="C481" s="1189"/>
      <c r="D481" s="576" t="s">
        <v>1158</v>
      </c>
      <c r="E481" s="1191"/>
      <c r="F481" s="1191"/>
      <c r="G481" s="1748"/>
      <c r="H481" s="1192"/>
      <c r="I481" s="566">
        <f t="shared" ref="I481:I483" si="121">SUM(J481:N481)</f>
        <v>70760</v>
      </c>
      <c r="J481" s="1184"/>
      <c r="K481" s="1184"/>
      <c r="L481" s="1184"/>
      <c r="M481" s="1184"/>
      <c r="N481" s="439">
        <v>70760</v>
      </c>
    </row>
    <row r="482" spans="1:16" s="1193" customFormat="1" ht="18" customHeight="1" x14ac:dyDescent="0.3">
      <c r="A482" s="583">
        <v>473</v>
      </c>
      <c r="B482" s="1188"/>
      <c r="C482" s="1189"/>
      <c r="D482" s="1318" t="s">
        <v>947</v>
      </c>
      <c r="E482" s="1191"/>
      <c r="F482" s="1191"/>
      <c r="G482" s="1748"/>
      <c r="H482" s="1192"/>
      <c r="I482" s="1321">
        <f>SUM(J482:N482)</f>
        <v>0</v>
      </c>
      <c r="J482" s="443"/>
      <c r="K482" s="443"/>
      <c r="L482" s="443"/>
      <c r="M482" s="443"/>
      <c r="N482" s="439"/>
    </row>
    <row r="483" spans="1:16" s="1193" customFormat="1" ht="18" customHeight="1" x14ac:dyDescent="0.3">
      <c r="A483" s="583">
        <v>474</v>
      </c>
      <c r="B483" s="1188"/>
      <c r="C483" s="1189"/>
      <c r="D483" s="576" t="s">
        <v>1250</v>
      </c>
      <c r="E483" s="1191"/>
      <c r="F483" s="1191"/>
      <c r="G483" s="1748"/>
      <c r="H483" s="1192"/>
      <c r="I483" s="566">
        <f t="shared" si="121"/>
        <v>70760</v>
      </c>
      <c r="J483" s="443"/>
      <c r="K483" s="443"/>
      <c r="L483" s="443"/>
      <c r="M483" s="443"/>
      <c r="N483" s="439">
        <f>SUM(N481:N482)</f>
        <v>70760</v>
      </c>
    </row>
    <row r="484" spans="1:16" s="3" customFormat="1" ht="22.5" customHeight="1" x14ac:dyDescent="0.3">
      <c r="A484" s="583">
        <v>475</v>
      </c>
      <c r="B484" s="160"/>
      <c r="C484" s="161">
        <v>74</v>
      </c>
      <c r="D484" s="577" t="s">
        <v>93</v>
      </c>
      <c r="E484" s="163">
        <v>74000</v>
      </c>
      <c r="F484" s="163">
        <v>70000</v>
      </c>
      <c r="G484" s="1746">
        <v>70468</v>
      </c>
      <c r="H484" s="598" t="s">
        <v>24</v>
      </c>
      <c r="I484" s="566"/>
      <c r="J484" s="167"/>
      <c r="K484" s="167"/>
      <c r="L484" s="167"/>
      <c r="M484" s="167"/>
      <c r="N484" s="168"/>
      <c r="P484" s="8"/>
    </row>
    <row r="485" spans="1:16" s="1193" customFormat="1" ht="18" customHeight="1" x14ac:dyDescent="0.3">
      <c r="A485" s="583">
        <v>476</v>
      </c>
      <c r="B485" s="1188"/>
      <c r="C485" s="1189"/>
      <c r="D485" s="1190" t="s">
        <v>308</v>
      </c>
      <c r="E485" s="1191"/>
      <c r="F485" s="1191"/>
      <c r="G485" s="1748"/>
      <c r="H485" s="1192"/>
      <c r="I485" s="1183">
        <f>SUM(J485:N485)</f>
        <v>29500</v>
      </c>
      <c r="J485" s="1184"/>
      <c r="K485" s="1184"/>
      <c r="L485" s="1184"/>
      <c r="M485" s="1184"/>
      <c r="N485" s="1185">
        <v>29500</v>
      </c>
    </row>
    <row r="486" spans="1:16" s="1193" customFormat="1" ht="18" customHeight="1" x14ac:dyDescent="0.3">
      <c r="A486" s="583">
        <v>477</v>
      </c>
      <c r="B486" s="1188"/>
      <c r="C486" s="1189"/>
      <c r="D486" s="576" t="s">
        <v>1158</v>
      </c>
      <c r="E486" s="1191"/>
      <c r="F486" s="1191"/>
      <c r="G486" s="1748"/>
      <c r="H486" s="1192"/>
      <c r="I486" s="566">
        <f t="shared" ref="I486:I488" si="122">SUM(J486:N486)</f>
        <v>58150</v>
      </c>
      <c r="J486" s="1184"/>
      <c r="K486" s="1184"/>
      <c r="L486" s="1184"/>
      <c r="M486" s="1184"/>
      <c r="N486" s="439">
        <v>58150</v>
      </c>
    </row>
    <row r="487" spans="1:16" s="1193" customFormat="1" ht="18" customHeight="1" x14ac:dyDescent="0.3">
      <c r="A487" s="583">
        <v>478</v>
      </c>
      <c r="B487" s="1188"/>
      <c r="C487" s="1189"/>
      <c r="D487" s="1318" t="s">
        <v>969</v>
      </c>
      <c r="E487" s="1191"/>
      <c r="F487" s="1191"/>
      <c r="G487" s="1748"/>
      <c r="H487" s="1192"/>
      <c r="I487" s="1321">
        <f t="shared" si="122"/>
        <v>0</v>
      </c>
      <c r="J487" s="443"/>
      <c r="K487" s="443"/>
      <c r="L487" s="443"/>
      <c r="M487" s="443"/>
      <c r="N487" s="1323"/>
    </row>
    <row r="488" spans="1:16" s="1193" customFormat="1" ht="18" customHeight="1" x14ac:dyDescent="0.3">
      <c r="A488" s="583">
        <v>479</v>
      </c>
      <c r="B488" s="1188"/>
      <c r="C488" s="1189"/>
      <c r="D488" s="576" t="s">
        <v>1250</v>
      </c>
      <c r="E488" s="1191"/>
      <c r="F488" s="1191"/>
      <c r="G488" s="1748"/>
      <c r="H488" s="1192"/>
      <c r="I488" s="566">
        <f t="shared" si="122"/>
        <v>58150</v>
      </c>
      <c r="J488" s="443"/>
      <c r="K488" s="443"/>
      <c r="L488" s="443"/>
      <c r="M488" s="443"/>
      <c r="N488" s="439">
        <f>SUM(N486:N487)</f>
        <v>58150</v>
      </c>
    </row>
    <row r="489" spans="1:16" s="3" customFormat="1" ht="22.5" customHeight="1" x14ac:dyDescent="0.3">
      <c r="A489" s="583">
        <v>480</v>
      </c>
      <c r="B489" s="160"/>
      <c r="C489" s="161">
        <v>75</v>
      </c>
      <c r="D489" s="577" t="s">
        <v>94</v>
      </c>
      <c r="E489" s="163">
        <v>100000</v>
      </c>
      <c r="F489" s="163">
        <v>128000</v>
      </c>
      <c r="G489" s="1746">
        <v>128000</v>
      </c>
      <c r="H489" s="598" t="s">
        <v>24</v>
      </c>
      <c r="I489" s="566"/>
      <c r="J489" s="167"/>
      <c r="K489" s="167"/>
      <c r="L489" s="167"/>
      <c r="M489" s="167"/>
      <c r="N489" s="168"/>
      <c r="P489" s="8"/>
    </row>
    <row r="490" spans="1:16" s="1193" customFormat="1" ht="18" customHeight="1" x14ac:dyDescent="0.3">
      <c r="A490" s="583">
        <v>481</v>
      </c>
      <c r="B490" s="1188"/>
      <c r="C490" s="1189"/>
      <c r="D490" s="1190" t="s">
        <v>308</v>
      </c>
      <c r="E490" s="1191"/>
      <c r="F490" s="1191"/>
      <c r="G490" s="1748"/>
      <c r="H490" s="1192"/>
      <c r="I490" s="1183">
        <f>SUM(J490:N490)</f>
        <v>103000</v>
      </c>
      <c r="J490" s="1184"/>
      <c r="K490" s="1184"/>
      <c r="L490" s="1184"/>
      <c r="M490" s="1184"/>
      <c r="N490" s="1185">
        <v>103000</v>
      </c>
    </row>
    <row r="491" spans="1:16" s="1193" customFormat="1" ht="18" customHeight="1" x14ac:dyDescent="0.3">
      <c r="A491" s="583">
        <v>482</v>
      </c>
      <c r="B491" s="1188"/>
      <c r="C491" s="1189"/>
      <c r="D491" s="576" t="s">
        <v>1158</v>
      </c>
      <c r="E491" s="1191"/>
      <c r="F491" s="1191"/>
      <c r="G491" s="1748"/>
      <c r="H491" s="1192"/>
      <c r="I491" s="566">
        <f t="shared" ref="I491:I493" si="123">SUM(J491:N491)</f>
        <v>103000</v>
      </c>
      <c r="J491" s="1184"/>
      <c r="K491" s="1184"/>
      <c r="L491" s="1184"/>
      <c r="M491" s="1184"/>
      <c r="N491" s="439">
        <v>103000</v>
      </c>
    </row>
    <row r="492" spans="1:16" s="1193" customFormat="1" ht="18" customHeight="1" x14ac:dyDescent="0.3">
      <c r="A492" s="583">
        <v>483</v>
      </c>
      <c r="B492" s="1188"/>
      <c r="C492" s="1189"/>
      <c r="D492" s="1318" t="s">
        <v>947</v>
      </c>
      <c r="E492" s="1191"/>
      <c r="F492" s="1191"/>
      <c r="G492" s="1748"/>
      <c r="H492" s="1192"/>
      <c r="I492" s="1321">
        <f t="shared" si="123"/>
        <v>0</v>
      </c>
      <c r="J492" s="443"/>
      <c r="K492" s="443"/>
      <c r="L492" s="443"/>
      <c r="M492" s="443"/>
      <c r="N492" s="439"/>
    </row>
    <row r="493" spans="1:16" s="1193" customFormat="1" ht="18" customHeight="1" x14ac:dyDescent="0.3">
      <c r="A493" s="583">
        <v>484</v>
      </c>
      <c r="B493" s="1188"/>
      <c r="C493" s="1189"/>
      <c r="D493" s="576" t="s">
        <v>1250</v>
      </c>
      <c r="E493" s="1191"/>
      <c r="F493" s="1191"/>
      <c r="G493" s="1748"/>
      <c r="H493" s="1192"/>
      <c r="I493" s="566">
        <f t="shared" si="123"/>
        <v>103000</v>
      </c>
      <c r="J493" s="443"/>
      <c r="K493" s="443"/>
      <c r="L493" s="443"/>
      <c r="M493" s="443"/>
      <c r="N493" s="439">
        <f>SUM(N491:N492)</f>
        <v>103000</v>
      </c>
    </row>
    <row r="494" spans="1:16" s="3" customFormat="1" ht="22.5" customHeight="1" x14ac:dyDescent="0.3">
      <c r="A494" s="583">
        <v>485</v>
      </c>
      <c r="B494" s="160"/>
      <c r="C494" s="161">
        <v>76</v>
      </c>
      <c r="D494" s="577" t="s">
        <v>95</v>
      </c>
      <c r="E494" s="163"/>
      <c r="F494" s="163"/>
      <c r="G494" s="1746"/>
      <c r="H494" s="598" t="s">
        <v>24</v>
      </c>
      <c r="I494" s="566"/>
      <c r="J494" s="167"/>
      <c r="K494" s="167"/>
      <c r="L494" s="167"/>
      <c r="M494" s="167"/>
      <c r="N494" s="168"/>
      <c r="P494" s="8"/>
    </row>
    <row r="495" spans="1:16" s="1193" customFormat="1" ht="18" customHeight="1" x14ac:dyDescent="0.3">
      <c r="A495" s="583">
        <v>486</v>
      </c>
      <c r="B495" s="1188"/>
      <c r="C495" s="1189"/>
      <c r="D495" s="1190" t="s">
        <v>308</v>
      </c>
      <c r="E495" s="1191"/>
      <c r="F495" s="1191"/>
      <c r="G495" s="1748"/>
      <c r="H495" s="1192"/>
      <c r="I495" s="1183">
        <f>SUM(J495:N495)</f>
        <v>174944</v>
      </c>
      <c r="J495" s="1184"/>
      <c r="K495" s="1184"/>
      <c r="L495" s="1184">
        <f>224944-32172-17828</f>
        <v>174944</v>
      </c>
      <c r="M495" s="1184"/>
      <c r="N495" s="1185"/>
    </row>
    <row r="496" spans="1:16" s="1193" customFormat="1" ht="18" customHeight="1" x14ac:dyDescent="0.3">
      <c r="A496" s="583">
        <v>487</v>
      </c>
      <c r="B496" s="1188"/>
      <c r="C496" s="1189"/>
      <c r="D496" s="576" t="s">
        <v>1158</v>
      </c>
      <c r="E496" s="1191"/>
      <c r="F496" s="1191"/>
      <c r="G496" s="1748"/>
      <c r="H496" s="1192"/>
      <c r="I496" s="566">
        <f t="shared" ref="I496:I498" si="124">SUM(J496:N496)</f>
        <v>0</v>
      </c>
      <c r="J496" s="1184"/>
      <c r="K496" s="1184"/>
      <c r="L496" s="1184">
        <v>0</v>
      </c>
      <c r="M496" s="1184"/>
      <c r="N496" s="1185"/>
    </row>
    <row r="497" spans="1:16" s="1193" customFormat="1" ht="18" customHeight="1" x14ac:dyDescent="0.3">
      <c r="A497" s="583">
        <v>488</v>
      </c>
      <c r="B497" s="1188"/>
      <c r="C497" s="1189"/>
      <c r="D497" s="1318" t="s">
        <v>947</v>
      </c>
      <c r="E497" s="1191"/>
      <c r="F497" s="1191"/>
      <c r="G497" s="1748"/>
      <c r="H497" s="1192"/>
      <c r="I497" s="1321">
        <f t="shared" si="124"/>
        <v>0</v>
      </c>
      <c r="J497" s="443"/>
      <c r="K497" s="443"/>
      <c r="L497" s="184"/>
      <c r="M497" s="443"/>
      <c r="N497" s="439"/>
    </row>
    <row r="498" spans="1:16" s="1193" customFormat="1" ht="18" customHeight="1" x14ac:dyDescent="0.3">
      <c r="A498" s="583">
        <v>489</v>
      </c>
      <c r="B498" s="1188"/>
      <c r="C498" s="1189"/>
      <c r="D498" s="576" t="s">
        <v>1250</v>
      </c>
      <c r="E498" s="1191"/>
      <c r="F498" s="1191"/>
      <c r="G498" s="1748"/>
      <c r="H498" s="1192"/>
      <c r="I498" s="566">
        <f t="shared" si="124"/>
        <v>0</v>
      </c>
      <c r="J498" s="443"/>
      <c r="K498" s="443"/>
      <c r="L498" s="443">
        <f>SUM(L496:L497)</f>
        <v>0</v>
      </c>
      <c r="M498" s="443"/>
      <c r="N498" s="439"/>
    </row>
    <row r="499" spans="1:16" s="3" customFormat="1" ht="22.5" customHeight="1" x14ac:dyDescent="0.3">
      <c r="A499" s="583">
        <v>490</v>
      </c>
      <c r="B499" s="160"/>
      <c r="C499" s="161">
        <v>77</v>
      </c>
      <c r="D499" s="577" t="s">
        <v>96</v>
      </c>
      <c r="E499" s="163">
        <v>22339</v>
      </c>
      <c r="F499" s="163">
        <v>22000</v>
      </c>
      <c r="G499" s="1746">
        <v>22000</v>
      </c>
      <c r="H499" s="598" t="s">
        <v>24</v>
      </c>
      <c r="I499" s="566"/>
      <c r="J499" s="167"/>
      <c r="K499" s="167"/>
      <c r="L499" s="167"/>
      <c r="M499" s="167"/>
      <c r="N499" s="168"/>
      <c r="P499" s="8"/>
    </row>
    <row r="500" spans="1:16" s="1193" customFormat="1" ht="18" customHeight="1" x14ac:dyDescent="0.3">
      <c r="A500" s="583">
        <v>491</v>
      </c>
      <c r="B500" s="1188"/>
      <c r="C500" s="1189"/>
      <c r="D500" s="1190" t="s">
        <v>308</v>
      </c>
      <c r="E500" s="1191"/>
      <c r="F500" s="1191"/>
      <c r="G500" s="1748"/>
      <c r="H500" s="1192"/>
      <c r="I500" s="1183">
        <f>SUM(J500:N500)</f>
        <v>22000</v>
      </c>
      <c r="J500" s="1184"/>
      <c r="K500" s="1184"/>
      <c r="L500" s="1184">
        <v>22000</v>
      </c>
      <c r="M500" s="1184"/>
      <c r="N500" s="1185"/>
    </row>
    <row r="501" spans="1:16" s="1193" customFormat="1" ht="18" customHeight="1" x14ac:dyDescent="0.3">
      <c r="A501" s="583">
        <v>492</v>
      </c>
      <c r="B501" s="1188"/>
      <c r="C501" s="1189"/>
      <c r="D501" s="576" t="s">
        <v>1158</v>
      </c>
      <c r="E501" s="1191"/>
      <c r="F501" s="1191"/>
      <c r="G501" s="1748"/>
      <c r="H501" s="1192"/>
      <c r="I501" s="566">
        <f t="shared" ref="I501:I503" si="125">SUM(J501:N501)</f>
        <v>22000</v>
      </c>
      <c r="J501" s="1184"/>
      <c r="K501" s="1184"/>
      <c r="L501" s="443">
        <v>22000</v>
      </c>
      <c r="M501" s="1184"/>
      <c r="N501" s="1185"/>
    </row>
    <row r="502" spans="1:16" s="1193" customFormat="1" ht="18" customHeight="1" x14ac:dyDescent="0.3">
      <c r="A502" s="583">
        <v>493</v>
      </c>
      <c r="B502" s="1188"/>
      <c r="C502" s="1189"/>
      <c r="D502" s="1318" t="s">
        <v>947</v>
      </c>
      <c r="E502" s="1191"/>
      <c r="F502" s="1191"/>
      <c r="G502" s="1748"/>
      <c r="H502" s="1192"/>
      <c r="I502" s="1321">
        <f t="shared" si="125"/>
        <v>0</v>
      </c>
      <c r="J502" s="443"/>
      <c r="K502" s="443"/>
      <c r="L502" s="443"/>
      <c r="M502" s="1184"/>
      <c r="N502" s="1185"/>
    </row>
    <row r="503" spans="1:16" s="1193" customFormat="1" ht="18" customHeight="1" x14ac:dyDescent="0.3">
      <c r="A503" s="583">
        <v>494</v>
      </c>
      <c r="B503" s="1188"/>
      <c r="C503" s="1189"/>
      <c r="D503" s="576" t="s">
        <v>1250</v>
      </c>
      <c r="E503" s="1191"/>
      <c r="F503" s="1191"/>
      <c r="G503" s="1748"/>
      <c r="H503" s="1192"/>
      <c r="I503" s="566">
        <f t="shared" si="125"/>
        <v>22000</v>
      </c>
      <c r="J503" s="443"/>
      <c r="K503" s="443"/>
      <c r="L503" s="443">
        <f>SUM(L501:L502)</f>
        <v>22000</v>
      </c>
      <c r="M503" s="1184"/>
      <c r="N503" s="1185"/>
    </row>
    <row r="504" spans="1:16" s="3" customFormat="1" ht="22.5" customHeight="1" x14ac:dyDescent="0.3">
      <c r="A504" s="583">
        <v>495</v>
      </c>
      <c r="B504" s="160"/>
      <c r="C504" s="161">
        <v>78</v>
      </c>
      <c r="D504" s="577" t="s">
        <v>97</v>
      </c>
      <c r="E504" s="163">
        <v>38110</v>
      </c>
      <c r="F504" s="163">
        <v>19000</v>
      </c>
      <c r="G504" s="1746">
        <v>21950</v>
      </c>
      <c r="H504" s="598" t="s">
        <v>24</v>
      </c>
      <c r="I504" s="566"/>
      <c r="J504" s="167"/>
      <c r="K504" s="167"/>
      <c r="L504" s="167"/>
      <c r="M504" s="167"/>
      <c r="N504" s="168"/>
      <c r="P504" s="8"/>
    </row>
    <row r="505" spans="1:16" s="8" customFormat="1" ht="22.5" customHeight="1" x14ac:dyDescent="0.3">
      <c r="A505" s="583">
        <v>496</v>
      </c>
      <c r="B505" s="164"/>
      <c r="C505" s="161">
        <v>79</v>
      </c>
      <c r="D505" s="576" t="s">
        <v>478</v>
      </c>
      <c r="E505" s="163"/>
      <c r="F505" s="163"/>
      <c r="G505" s="1746"/>
      <c r="H505" s="598" t="s">
        <v>24</v>
      </c>
      <c r="I505" s="566"/>
      <c r="J505" s="167"/>
      <c r="K505" s="167"/>
      <c r="L505" s="167"/>
      <c r="M505" s="167"/>
      <c r="N505" s="168"/>
    </row>
    <row r="506" spans="1:16" s="3" customFormat="1" ht="22.5" customHeight="1" x14ac:dyDescent="0.3">
      <c r="A506" s="583">
        <v>497</v>
      </c>
      <c r="B506" s="160"/>
      <c r="C506" s="161">
        <v>80</v>
      </c>
      <c r="D506" s="577" t="s">
        <v>256</v>
      </c>
      <c r="E506" s="163">
        <v>38100</v>
      </c>
      <c r="F506" s="163">
        <v>38100</v>
      </c>
      <c r="G506" s="1746">
        <v>38100</v>
      </c>
      <c r="H506" s="598" t="s">
        <v>24</v>
      </c>
      <c r="I506" s="566"/>
      <c r="J506" s="167"/>
      <c r="K506" s="167"/>
      <c r="L506" s="167"/>
      <c r="M506" s="167"/>
      <c r="N506" s="168"/>
      <c r="P506" s="8"/>
    </row>
    <row r="507" spans="1:16" s="1193" customFormat="1" ht="18" customHeight="1" x14ac:dyDescent="0.3">
      <c r="A507" s="583">
        <v>498</v>
      </c>
      <c r="B507" s="1188"/>
      <c r="C507" s="1189"/>
      <c r="D507" s="1190" t="s">
        <v>308</v>
      </c>
      <c r="E507" s="1191"/>
      <c r="F507" s="1191"/>
      <c r="G507" s="1748"/>
      <c r="H507" s="1192"/>
      <c r="I507" s="1183">
        <f>SUM(J507:N507)</f>
        <v>38100</v>
      </c>
      <c r="J507" s="1184"/>
      <c r="K507" s="1184"/>
      <c r="L507" s="1184">
        <v>38100</v>
      </c>
      <c r="M507" s="1184"/>
      <c r="N507" s="1185"/>
    </row>
    <row r="508" spans="1:16" s="1193" customFormat="1" ht="18" customHeight="1" x14ac:dyDescent="0.3">
      <c r="A508" s="583">
        <v>499</v>
      </c>
      <c r="B508" s="1188"/>
      <c r="C508" s="1189"/>
      <c r="D508" s="576" t="s">
        <v>1158</v>
      </c>
      <c r="E508" s="1191"/>
      <c r="F508" s="1191"/>
      <c r="G508" s="1748"/>
      <c r="H508" s="1192"/>
      <c r="I508" s="566">
        <f t="shared" ref="I508:I510" si="126">SUM(J508:N508)</f>
        <v>38100</v>
      </c>
      <c r="J508" s="1184"/>
      <c r="K508" s="1184"/>
      <c r="L508" s="443">
        <v>38100</v>
      </c>
      <c r="M508" s="1184"/>
      <c r="N508" s="1185"/>
    </row>
    <row r="509" spans="1:16" s="1193" customFormat="1" ht="18" customHeight="1" x14ac:dyDescent="0.3">
      <c r="A509" s="583">
        <v>500</v>
      </c>
      <c r="B509" s="1188"/>
      <c r="C509" s="1189"/>
      <c r="D509" s="1318" t="s">
        <v>947</v>
      </c>
      <c r="E509" s="1191"/>
      <c r="F509" s="1191"/>
      <c r="G509" s="1748"/>
      <c r="H509" s="1192"/>
      <c r="I509" s="1321">
        <f t="shared" si="126"/>
        <v>0</v>
      </c>
      <c r="J509" s="443"/>
      <c r="K509" s="443"/>
      <c r="L509" s="443"/>
      <c r="M509" s="1184"/>
      <c r="N509" s="1185"/>
    </row>
    <row r="510" spans="1:16" s="1193" customFormat="1" ht="18" customHeight="1" x14ac:dyDescent="0.3">
      <c r="A510" s="583">
        <v>501</v>
      </c>
      <c r="B510" s="1188"/>
      <c r="C510" s="1189"/>
      <c r="D510" s="576" t="s">
        <v>1250</v>
      </c>
      <c r="E510" s="1191"/>
      <c r="F510" s="1191"/>
      <c r="G510" s="1748"/>
      <c r="H510" s="1192"/>
      <c r="I510" s="566">
        <f t="shared" si="126"/>
        <v>38100</v>
      </c>
      <c r="J510" s="443"/>
      <c r="K510" s="443"/>
      <c r="L510" s="443">
        <f>SUM(L508:L509)</f>
        <v>38100</v>
      </c>
      <c r="M510" s="1184"/>
      <c r="N510" s="1185"/>
    </row>
    <row r="511" spans="1:16" s="3" customFormat="1" ht="22.5" customHeight="1" x14ac:dyDescent="0.3">
      <c r="A511" s="583">
        <v>502</v>
      </c>
      <c r="B511" s="160"/>
      <c r="C511" s="161">
        <v>81</v>
      </c>
      <c r="D511" s="577" t="s">
        <v>98</v>
      </c>
      <c r="E511" s="163">
        <v>61200</v>
      </c>
      <c r="F511" s="163">
        <v>78055</v>
      </c>
      <c r="G511" s="1746">
        <v>38000</v>
      </c>
      <c r="H511" s="598" t="s">
        <v>24</v>
      </c>
      <c r="I511" s="566"/>
      <c r="J511" s="167"/>
      <c r="K511" s="167"/>
      <c r="L511" s="167"/>
      <c r="M511" s="167"/>
      <c r="N511" s="168"/>
      <c r="P511" s="8"/>
    </row>
    <row r="512" spans="1:16" s="3" customFormat="1" ht="22.5" customHeight="1" x14ac:dyDescent="0.3">
      <c r="A512" s="583">
        <v>503</v>
      </c>
      <c r="B512" s="160"/>
      <c r="C512" s="161"/>
      <c r="D512" s="576" t="s">
        <v>1158</v>
      </c>
      <c r="E512" s="163"/>
      <c r="F512" s="163"/>
      <c r="G512" s="1746"/>
      <c r="H512" s="598"/>
      <c r="I512" s="566">
        <f t="shared" ref="I512:I514" si="127">SUM(J512:N512)</f>
        <v>0</v>
      </c>
      <c r="J512" s="167"/>
      <c r="K512" s="167"/>
      <c r="L512" s="443">
        <v>0</v>
      </c>
      <c r="M512" s="167"/>
      <c r="N512" s="168"/>
      <c r="P512" s="8"/>
    </row>
    <row r="513" spans="1:16" s="8" customFormat="1" ht="18" customHeight="1" x14ac:dyDescent="0.3">
      <c r="A513" s="583">
        <v>504</v>
      </c>
      <c r="B513" s="164"/>
      <c r="C513" s="165"/>
      <c r="D513" s="1318" t="s">
        <v>970</v>
      </c>
      <c r="E513" s="163"/>
      <c r="F513" s="163"/>
      <c r="G513" s="1746"/>
      <c r="H513" s="598"/>
      <c r="I513" s="1321">
        <f t="shared" si="127"/>
        <v>2503</v>
      </c>
      <c r="J513" s="167"/>
      <c r="K513" s="167"/>
      <c r="L513" s="184">
        <v>2503</v>
      </c>
      <c r="M513" s="167"/>
      <c r="N513" s="168"/>
    </row>
    <row r="514" spans="1:16" s="8" customFormat="1" ht="18" customHeight="1" x14ac:dyDescent="0.3">
      <c r="A514" s="583">
        <v>505</v>
      </c>
      <c r="B514" s="164"/>
      <c r="C514" s="165"/>
      <c r="D514" s="576" t="s">
        <v>1250</v>
      </c>
      <c r="E514" s="163"/>
      <c r="F514" s="163"/>
      <c r="G514" s="1746"/>
      <c r="H514" s="598"/>
      <c r="I514" s="566">
        <f t="shared" si="127"/>
        <v>2503</v>
      </c>
      <c r="J514" s="167"/>
      <c r="K514" s="167"/>
      <c r="L514" s="443">
        <f>SUM(L512:L513)</f>
        <v>2503</v>
      </c>
      <c r="M514" s="167"/>
      <c r="N514" s="168"/>
    </row>
    <row r="515" spans="1:16" s="3" customFormat="1" ht="22.5" customHeight="1" x14ac:dyDescent="0.3">
      <c r="A515" s="583">
        <v>506</v>
      </c>
      <c r="B515" s="160"/>
      <c r="C515" s="161">
        <v>82</v>
      </c>
      <c r="D515" s="577" t="s">
        <v>99</v>
      </c>
      <c r="E515" s="163">
        <v>34150</v>
      </c>
      <c r="F515" s="163">
        <v>38847</v>
      </c>
      <c r="G515" s="1746">
        <v>45874</v>
      </c>
      <c r="H515" s="598" t="s">
        <v>24</v>
      </c>
      <c r="I515" s="566"/>
      <c r="J515" s="167"/>
      <c r="K515" s="167"/>
      <c r="L515" s="167"/>
      <c r="M515" s="167"/>
      <c r="N515" s="168"/>
      <c r="P515" s="8"/>
    </row>
    <row r="516" spans="1:16" s="1193" customFormat="1" ht="18" customHeight="1" x14ac:dyDescent="0.3">
      <c r="A516" s="583">
        <v>507</v>
      </c>
      <c r="B516" s="1188"/>
      <c r="C516" s="1189"/>
      <c r="D516" s="1190" t="s">
        <v>308</v>
      </c>
      <c r="E516" s="1191"/>
      <c r="F516" s="1191"/>
      <c r="G516" s="1748"/>
      <c r="H516" s="1192"/>
      <c r="I516" s="1183">
        <f>SUM(J516:N516)</f>
        <v>34150</v>
      </c>
      <c r="J516" s="1184"/>
      <c r="K516" s="1184"/>
      <c r="L516" s="1184">
        <v>34150</v>
      </c>
      <c r="M516" s="1184"/>
      <c r="N516" s="1185"/>
    </row>
    <row r="517" spans="1:16" s="1193" customFormat="1" ht="18" customHeight="1" x14ac:dyDescent="0.3">
      <c r="A517" s="583">
        <v>508</v>
      </c>
      <c r="B517" s="1188"/>
      <c r="C517" s="1189"/>
      <c r="D517" s="576" t="s">
        <v>1158</v>
      </c>
      <c r="E517" s="1191"/>
      <c r="F517" s="1191"/>
      <c r="G517" s="1748"/>
      <c r="H517" s="1192"/>
      <c r="I517" s="566">
        <f t="shared" ref="I517:I519" si="128">SUM(J517:N517)</f>
        <v>29882</v>
      </c>
      <c r="J517" s="1184"/>
      <c r="K517" s="1184"/>
      <c r="L517" s="443">
        <v>29882</v>
      </c>
      <c r="M517" s="1184"/>
      <c r="N517" s="1185"/>
    </row>
    <row r="518" spans="1:16" s="1193" customFormat="1" ht="18" customHeight="1" x14ac:dyDescent="0.3">
      <c r="A518" s="583">
        <v>509</v>
      </c>
      <c r="B518" s="1188"/>
      <c r="C518" s="1189"/>
      <c r="D518" s="1318" t="s">
        <v>969</v>
      </c>
      <c r="E518" s="1191"/>
      <c r="F518" s="1191"/>
      <c r="G518" s="1748"/>
      <c r="H518" s="1192"/>
      <c r="I518" s="1321">
        <f t="shared" si="128"/>
        <v>0</v>
      </c>
      <c r="J518" s="1184"/>
      <c r="K518" s="1184"/>
      <c r="L518" s="184"/>
      <c r="M518" s="1184"/>
      <c r="N518" s="1185"/>
    </row>
    <row r="519" spans="1:16" s="1193" customFormat="1" ht="18" customHeight="1" x14ac:dyDescent="0.3">
      <c r="A519" s="583">
        <v>510</v>
      </c>
      <c r="B519" s="1188"/>
      <c r="C519" s="1189"/>
      <c r="D519" s="576" t="s">
        <v>1250</v>
      </c>
      <c r="E519" s="1191"/>
      <c r="F519" s="1191"/>
      <c r="G519" s="1748"/>
      <c r="H519" s="1192"/>
      <c r="I519" s="566">
        <f t="shared" si="128"/>
        <v>29882</v>
      </c>
      <c r="J519" s="1184"/>
      <c r="K519" s="1184"/>
      <c r="L519" s="443">
        <f>SUM(L517:L518)</f>
        <v>29882</v>
      </c>
      <c r="M519" s="1184"/>
      <c r="N519" s="1185"/>
    </row>
    <row r="520" spans="1:16" s="3" customFormat="1" ht="22.5" customHeight="1" x14ac:dyDescent="0.3">
      <c r="A520" s="583">
        <v>511</v>
      </c>
      <c r="B520" s="160"/>
      <c r="C520" s="161">
        <v>83</v>
      </c>
      <c r="D520" s="1782" t="s">
        <v>320</v>
      </c>
      <c r="E520" s="163">
        <v>2139</v>
      </c>
      <c r="F520" s="163">
        <v>7500</v>
      </c>
      <c r="G520" s="1746">
        <v>3738</v>
      </c>
      <c r="H520" s="598" t="s">
        <v>24</v>
      </c>
      <c r="I520" s="566"/>
      <c r="J520" s="167"/>
      <c r="K520" s="167"/>
      <c r="L520" s="167"/>
      <c r="M520" s="167"/>
      <c r="N520" s="168"/>
      <c r="P520" s="8"/>
    </row>
    <row r="521" spans="1:16" s="1193" customFormat="1" ht="18" customHeight="1" x14ac:dyDescent="0.3">
      <c r="A521" s="583">
        <v>512</v>
      </c>
      <c r="B521" s="1188"/>
      <c r="C521" s="1189"/>
      <c r="D521" s="1190" t="s">
        <v>308</v>
      </c>
      <c r="E521" s="1191"/>
      <c r="F521" s="1191"/>
      <c r="G521" s="1748"/>
      <c r="H521" s="1192"/>
      <c r="I521" s="1183">
        <f>SUM(J521:N521)</f>
        <v>5100</v>
      </c>
      <c r="J521" s="1184"/>
      <c r="K521" s="1184"/>
      <c r="L521" s="1184">
        <v>5100</v>
      </c>
      <c r="M521" s="1184"/>
      <c r="N521" s="1185"/>
    </row>
    <row r="522" spans="1:16" s="1193" customFormat="1" ht="18" customHeight="1" x14ac:dyDescent="0.3">
      <c r="A522" s="583">
        <v>513</v>
      </c>
      <c r="B522" s="1188"/>
      <c r="C522" s="1189"/>
      <c r="D522" s="576" t="s">
        <v>1158</v>
      </c>
      <c r="E522" s="1191"/>
      <c r="F522" s="1191"/>
      <c r="G522" s="1748"/>
      <c r="H522" s="1192"/>
      <c r="I522" s="566">
        <f t="shared" ref="I522:I524" si="129">SUM(J522:N522)</f>
        <v>5100</v>
      </c>
      <c r="J522" s="1184"/>
      <c r="K522" s="1184"/>
      <c r="L522" s="443">
        <v>5100</v>
      </c>
      <c r="M522" s="1184"/>
      <c r="N522" s="1185"/>
    </row>
    <row r="523" spans="1:16" s="1193" customFormat="1" ht="18" customHeight="1" x14ac:dyDescent="0.3">
      <c r="A523" s="583">
        <v>514</v>
      </c>
      <c r="B523" s="1188"/>
      <c r="C523" s="1189"/>
      <c r="D523" s="1318" t="s">
        <v>969</v>
      </c>
      <c r="E523" s="1191"/>
      <c r="F523" s="1191"/>
      <c r="G523" s="1748"/>
      <c r="H523" s="1192"/>
      <c r="I523" s="1321">
        <f t="shared" si="129"/>
        <v>0</v>
      </c>
      <c r="J523" s="443"/>
      <c r="K523" s="443"/>
      <c r="L523" s="184"/>
      <c r="M523" s="443"/>
      <c r="N523" s="439"/>
    </row>
    <row r="524" spans="1:16" s="1193" customFormat="1" ht="18" customHeight="1" x14ac:dyDescent="0.3">
      <c r="A524" s="583">
        <v>515</v>
      </c>
      <c r="B524" s="1188"/>
      <c r="C524" s="1189"/>
      <c r="D524" s="576" t="s">
        <v>1250</v>
      </c>
      <c r="E524" s="1191"/>
      <c r="F524" s="1191"/>
      <c r="G524" s="1748"/>
      <c r="H524" s="1192"/>
      <c r="I524" s="566">
        <f t="shared" si="129"/>
        <v>5100</v>
      </c>
      <c r="J524" s="443"/>
      <c r="K524" s="443"/>
      <c r="L524" s="443">
        <f>SUM(L522:L523)</f>
        <v>5100</v>
      </c>
      <c r="M524" s="443"/>
      <c r="N524" s="439"/>
    </row>
    <row r="525" spans="1:16" s="8" customFormat="1" ht="22.5" customHeight="1" x14ac:dyDescent="0.3">
      <c r="A525" s="583">
        <v>516</v>
      </c>
      <c r="B525" s="164"/>
      <c r="C525" s="161">
        <v>84</v>
      </c>
      <c r="D525" s="576" t="s">
        <v>481</v>
      </c>
      <c r="E525" s="163">
        <v>2555</v>
      </c>
      <c r="F525" s="163"/>
      <c r="G525" s="1746"/>
      <c r="H525" s="598" t="s">
        <v>24</v>
      </c>
      <c r="I525" s="566"/>
      <c r="J525" s="167"/>
      <c r="K525" s="167"/>
      <c r="L525" s="167"/>
      <c r="M525" s="167"/>
      <c r="N525" s="168"/>
    </row>
    <row r="526" spans="1:16" s="1193" customFormat="1" ht="18" customHeight="1" x14ac:dyDescent="0.3">
      <c r="A526" s="583">
        <v>517</v>
      </c>
      <c r="B526" s="1188"/>
      <c r="C526" s="1189"/>
      <c r="D526" s="1190" t="s">
        <v>308</v>
      </c>
      <c r="E526" s="1191"/>
      <c r="F526" s="1191"/>
      <c r="G526" s="1748"/>
      <c r="H526" s="1192"/>
      <c r="I526" s="1183">
        <f>SUM(J526:N526)</f>
        <v>3000</v>
      </c>
      <c r="J526" s="1184"/>
      <c r="K526" s="1184"/>
      <c r="L526" s="1184"/>
      <c r="M526" s="1184"/>
      <c r="N526" s="1185">
        <v>3000</v>
      </c>
    </row>
    <row r="527" spans="1:16" s="1193" customFormat="1" ht="18" customHeight="1" x14ac:dyDescent="0.3">
      <c r="A527" s="583">
        <v>518</v>
      </c>
      <c r="B527" s="1188"/>
      <c r="C527" s="1189"/>
      <c r="D527" s="576" t="s">
        <v>1158</v>
      </c>
      <c r="E527" s="1191"/>
      <c r="F527" s="1191"/>
      <c r="G527" s="1748"/>
      <c r="H527" s="1196"/>
      <c r="I527" s="1183">
        <v>0</v>
      </c>
      <c r="J527" s="1184"/>
      <c r="K527" s="1184"/>
      <c r="L527" s="1184"/>
      <c r="M527" s="1184"/>
      <c r="N527" s="1185">
        <v>0</v>
      </c>
    </row>
    <row r="528" spans="1:16" s="1193" customFormat="1" ht="18" customHeight="1" x14ac:dyDescent="0.3">
      <c r="A528" s="583">
        <v>519</v>
      </c>
      <c r="B528" s="1188"/>
      <c r="C528" s="1189"/>
      <c r="D528" s="1318" t="s">
        <v>969</v>
      </c>
      <c r="E528" s="1191"/>
      <c r="F528" s="1191"/>
      <c r="G528" s="1748"/>
      <c r="H528" s="1196"/>
      <c r="I528" s="1321">
        <f t="shared" ref="I528:I529" si="130">SUM(J528:N528)</f>
        <v>0</v>
      </c>
      <c r="J528" s="443"/>
      <c r="K528" s="443"/>
      <c r="L528" s="443"/>
      <c r="M528" s="443"/>
      <c r="N528" s="185"/>
    </row>
    <row r="529" spans="1:16" s="1193" customFormat="1" ht="18" customHeight="1" x14ac:dyDescent="0.3">
      <c r="A529" s="583">
        <v>520</v>
      </c>
      <c r="B529" s="1188"/>
      <c r="C529" s="1189"/>
      <c r="D529" s="576" t="s">
        <v>1250</v>
      </c>
      <c r="E529" s="1191"/>
      <c r="F529" s="1191"/>
      <c r="G529" s="1748"/>
      <c r="H529" s="1196"/>
      <c r="I529" s="566">
        <f t="shared" si="130"/>
        <v>0</v>
      </c>
      <c r="J529" s="443"/>
      <c r="K529" s="443"/>
      <c r="L529" s="443"/>
      <c r="M529" s="443"/>
      <c r="N529" s="439">
        <f>SUM(N527:N528)</f>
        <v>0</v>
      </c>
    </row>
    <row r="530" spans="1:16" s="8" customFormat="1" ht="22.5" customHeight="1" x14ac:dyDescent="0.3">
      <c r="A530" s="583">
        <v>521</v>
      </c>
      <c r="B530" s="164"/>
      <c r="C530" s="161">
        <v>85</v>
      </c>
      <c r="D530" s="577" t="s">
        <v>65</v>
      </c>
      <c r="E530" s="163">
        <v>1785</v>
      </c>
      <c r="F530" s="163">
        <v>4000</v>
      </c>
      <c r="G530" s="1746">
        <v>4249</v>
      </c>
      <c r="H530" s="600" t="s">
        <v>24</v>
      </c>
      <c r="I530" s="567"/>
      <c r="J530" s="170"/>
      <c r="K530" s="170"/>
      <c r="L530" s="170"/>
      <c r="M530" s="170"/>
      <c r="N530" s="171"/>
    </row>
    <row r="531" spans="1:16" s="1193" customFormat="1" ht="18" customHeight="1" x14ac:dyDescent="0.3">
      <c r="A531" s="583">
        <v>522</v>
      </c>
      <c r="B531" s="1188"/>
      <c r="C531" s="1189"/>
      <c r="D531" s="1190" t="s">
        <v>308</v>
      </c>
      <c r="E531" s="1191"/>
      <c r="F531" s="1191"/>
      <c r="G531" s="1748"/>
      <c r="H531" s="1192"/>
      <c r="I531" s="1183">
        <f>SUM(J531:N531)</f>
        <v>4000</v>
      </c>
      <c r="J531" s="1184"/>
      <c r="K531" s="1184"/>
      <c r="L531" s="1184"/>
      <c r="M531" s="1184"/>
      <c r="N531" s="1185">
        <v>4000</v>
      </c>
    </row>
    <row r="532" spans="1:16" s="1193" customFormat="1" ht="18" customHeight="1" x14ac:dyDescent="0.3">
      <c r="A532" s="583">
        <v>523</v>
      </c>
      <c r="B532" s="1188"/>
      <c r="C532" s="1189"/>
      <c r="D532" s="576" t="s">
        <v>1158</v>
      </c>
      <c r="E532" s="1191"/>
      <c r="F532" s="1191"/>
      <c r="G532" s="1748"/>
      <c r="H532" s="1192"/>
      <c r="I532" s="566">
        <f t="shared" ref="I532:I534" si="131">SUM(J532:N532)</f>
        <v>0</v>
      </c>
      <c r="J532" s="1184"/>
      <c r="K532" s="1184"/>
      <c r="L532" s="1184"/>
      <c r="M532" s="1184"/>
      <c r="N532" s="439">
        <v>0</v>
      </c>
    </row>
    <row r="533" spans="1:16" s="1193" customFormat="1" ht="18" customHeight="1" x14ac:dyDescent="0.3">
      <c r="A533" s="583">
        <v>524</v>
      </c>
      <c r="B533" s="1188"/>
      <c r="C533" s="1189"/>
      <c r="D533" s="1318" t="s">
        <v>969</v>
      </c>
      <c r="E533" s="1191"/>
      <c r="F533" s="1191"/>
      <c r="G533" s="1748"/>
      <c r="H533" s="1192"/>
      <c r="I533" s="1321">
        <f t="shared" si="131"/>
        <v>0</v>
      </c>
      <c r="J533" s="443"/>
      <c r="K533" s="443"/>
      <c r="L533" s="443"/>
      <c r="M533" s="443"/>
      <c r="N533" s="185"/>
    </row>
    <row r="534" spans="1:16" s="1193" customFormat="1" ht="18" customHeight="1" x14ac:dyDescent="0.3">
      <c r="A534" s="583">
        <v>525</v>
      </c>
      <c r="B534" s="1188"/>
      <c r="C534" s="1189"/>
      <c r="D534" s="576" t="s">
        <v>1250</v>
      </c>
      <c r="E534" s="1191"/>
      <c r="F534" s="1191"/>
      <c r="G534" s="1748"/>
      <c r="H534" s="1192"/>
      <c r="I534" s="566">
        <f t="shared" si="131"/>
        <v>0</v>
      </c>
      <c r="J534" s="443"/>
      <c r="K534" s="443"/>
      <c r="L534" s="443"/>
      <c r="M534" s="443"/>
      <c r="N534" s="439">
        <f>SUM(N532:N533)</f>
        <v>0</v>
      </c>
    </row>
    <row r="535" spans="1:16" s="3" customFormat="1" ht="22.5" customHeight="1" x14ac:dyDescent="0.3">
      <c r="A535" s="583">
        <v>526</v>
      </c>
      <c r="B535" s="160"/>
      <c r="C535" s="161">
        <v>86</v>
      </c>
      <c r="D535" s="577" t="s">
        <v>101</v>
      </c>
      <c r="E535" s="163"/>
      <c r="F535" s="163">
        <v>500</v>
      </c>
      <c r="G535" s="1746"/>
      <c r="H535" s="598" t="s">
        <v>23</v>
      </c>
      <c r="I535" s="566"/>
      <c r="J535" s="167"/>
      <c r="K535" s="167"/>
      <c r="L535" s="167"/>
      <c r="M535" s="167"/>
      <c r="N535" s="168"/>
      <c r="P535" s="8"/>
    </row>
    <row r="536" spans="1:16" s="3" customFormat="1" ht="22.5" customHeight="1" x14ac:dyDescent="0.3">
      <c r="A536" s="583">
        <v>527</v>
      </c>
      <c r="B536" s="160"/>
      <c r="C536" s="161">
        <v>87</v>
      </c>
      <c r="D536" s="577" t="s">
        <v>102</v>
      </c>
      <c r="E536" s="163">
        <v>1461</v>
      </c>
      <c r="F536" s="163">
        <v>2100</v>
      </c>
      <c r="G536" s="1746">
        <v>989</v>
      </c>
      <c r="H536" s="598" t="s">
        <v>23</v>
      </c>
      <c r="I536" s="566"/>
      <c r="J536" s="167"/>
      <c r="K536" s="167"/>
      <c r="L536" s="167"/>
      <c r="M536" s="167"/>
      <c r="N536" s="168"/>
      <c r="P536" s="8"/>
    </row>
    <row r="537" spans="1:16" s="1193" customFormat="1" ht="18" customHeight="1" x14ac:dyDescent="0.3">
      <c r="A537" s="583">
        <v>528</v>
      </c>
      <c r="B537" s="1188"/>
      <c r="C537" s="1189"/>
      <c r="D537" s="1190" t="s">
        <v>308</v>
      </c>
      <c r="E537" s="1191"/>
      <c r="F537" s="1191"/>
      <c r="G537" s="1748"/>
      <c r="H537" s="1192"/>
      <c r="I537" s="1183">
        <f>SUM(J537:N537)</f>
        <v>1785</v>
      </c>
      <c r="J537" s="1184"/>
      <c r="K537" s="1184"/>
      <c r="L537" s="1184">
        <v>1785</v>
      </c>
      <c r="M537" s="1184"/>
      <c r="N537" s="1185"/>
    </row>
    <row r="538" spans="1:16" s="1193" customFormat="1" ht="18" customHeight="1" x14ac:dyDescent="0.3">
      <c r="A538" s="583">
        <v>529</v>
      </c>
      <c r="B538" s="1188"/>
      <c r="C538" s="1189"/>
      <c r="D538" s="576" t="s">
        <v>1158</v>
      </c>
      <c r="E538" s="1191"/>
      <c r="F538" s="1191"/>
      <c r="G538" s="1748"/>
      <c r="H538" s="1192"/>
      <c r="I538" s="566">
        <f t="shared" ref="I538:I540" si="132">SUM(J538:N538)</f>
        <v>1520</v>
      </c>
      <c r="J538" s="443">
        <v>20</v>
      </c>
      <c r="K538" s="443">
        <v>120</v>
      </c>
      <c r="L538" s="443">
        <v>1380</v>
      </c>
      <c r="M538" s="1184"/>
      <c r="N538" s="1185"/>
    </row>
    <row r="539" spans="1:16" s="1193" customFormat="1" ht="18" customHeight="1" x14ac:dyDescent="0.3">
      <c r="A539" s="583">
        <v>530</v>
      </c>
      <c r="B539" s="1188"/>
      <c r="C539" s="1189"/>
      <c r="D539" s="1318" t="s">
        <v>969</v>
      </c>
      <c r="E539" s="1191"/>
      <c r="F539" s="1191"/>
      <c r="G539" s="1748"/>
      <c r="H539" s="1192"/>
      <c r="I539" s="1321">
        <f t="shared" si="132"/>
        <v>0</v>
      </c>
      <c r="J539" s="443"/>
      <c r="K539" s="184"/>
      <c r="L539" s="184"/>
      <c r="M539" s="443"/>
      <c r="N539" s="439"/>
    </row>
    <row r="540" spans="1:16" s="1193" customFormat="1" ht="18" customHeight="1" x14ac:dyDescent="0.3">
      <c r="A540" s="583">
        <v>531</v>
      </c>
      <c r="B540" s="1188"/>
      <c r="C540" s="1189"/>
      <c r="D540" s="576" t="s">
        <v>1250</v>
      </c>
      <c r="E540" s="1191"/>
      <c r="F540" s="1191"/>
      <c r="G540" s="1748"/>
      <c r="H540" s="1192"/>
      <c r="I540" s="566">
        <f t="shared" si="132"/>
        <v>1520</v>
      </c>
      <c r="J540" s="443">
        <f>SUM(J538:J539)</f>
        <v>20</v>
      </c>
      <c r="K540" s="443">
        <f>SUM(K538:K539)</f>
        <v>120</v>
      </c>
      <c r="L540" s="443">
        <f>SUM(L538:L539)</f>
        <v>1380</v>
      </c>
      <c r="M540" s="443"/>
      <c r="N540" s="439"/>
    </row>
    <row r="541" spans="1:16" s="8" customFormat="1" ht="22.5" customHeight="1" x14ac:dyDescent="0.3">
      <c r="A541" s="583">
        <v>532</v>
      </c>
      <c r="B541" s="164"/>
      <c r="C541" s="161">
        <v>88</v>
      </c>
      <c r="D541" s="576" t="s">
        <v>482</v>
      </c>
      <c r="E541" s="163">
        <v>54</v>
      </c>
      <c r="F541" s="163"/>
      <c r="G541" s="1746">
        <v>156</v>
      </c>
      <c r="H541" s="598" t="s">
        <v>24</v>
      </c>
      <c r="I541" s="566"/>
      <c r="J541" s="167"/>
      <c r="K541" s="167"/>
      <c r="L541" s="167"/>
      <c r="M541" s="167"/>
      <c r="N541" s="168"/>
    </row>
    <row r="542" spans="1:16" s="1193" customFormat="1" ht="18" customHeight="1" x14ac:dyDescent="0.3">
      <c r="A542" s="583">
        <v>533</v>
      </c>
      <c r="B542" s="1188"/>
      <c r="C542" s="1189"/>
      <c r="D542" s="1190" t="s">
        <v>308</v>
      </c>
      <c r="E542" s="1191"/>
      <c r="F542" s="1191"/>
      <c r="G542" s="1748"/>
      <c r="H542" s="1192"/>
      <c r="I542" s="1183">
        <f>SUM(J542:N542)</f>
        <v>840</v>
      </c>
      <c r="J542" s="1184"/>
      <c r="K542" s="1184"/>
      <c r="L542" s="1184">
        <v>840</v>
      </c>
      <c r="M542" s="1184"/>
      <c r="N542" s="1185"/>
    </row>
    <row r="543" spans="1:16" s="1193" customFormat="1" ht="18" customHeight="1" x14ac:dyDescent="0.3">
      <c r="A543" s="583">
        <v>534</v>
      </c>
      <c r="B543" s="1188"/>
      <c r="C543" s="1189"/>
      <c r="D543" s="576" t="s">
        <v>1158</v>
      </c>
      <c r="E543" s="1191"/>
      <c r="F543" s="1191"/>
      <c r="G543" s="1748"/>
      <c r="H543" s="1192"/>
      <c r="I543" s="566">
        <f t="shared" ref="I543:I545" si="133">SUM(J543:N543)</f>
        <v>840</v>
      </c>
      <c r="J543" s="1184"/>
      <c r="K543" s="1184"/>
      <c r="L543" s="443">
        <v>840</v>
      </c>
      <c r="M543" s="1184"/>
      <c r="N543" s="1185"/>
    </row>
    <row r="544" spans="1:16" s="1193" customFormat="1" ht="18" customHeight="1" x14ac:dyDescent="0.3">
      <c r="A544" s="583">
        <v>535</v>
      </c>
      <c r="B544" s="1188"/>
      <c r="C544" s="1189"/>
      <c r="D544" s="1318" t="s">
        <v>947</v>
      </c>
      <c r="E544" s="1191"/>
      <c r="F544" s="1191"/>
      <c r="G544" s="1748"/>
      <c r="H544" s="1192"/>
      <c r="I544" s="1321">
        <f t="shared" si="133"/>
        <v>0</v>
      </c>
      <c r="J544" s="443"/>
      <c r="K544" s="443"/>
      <c r="L544" s="443"/>
      <c r="M544" s="443"/>
      <c r="N544" s="439"/>
    </row>
    <row r="545" spans="1:16" s="1193" customFormat="1" ht="18" customHeight="1" x14ac:dyDescent="0.3">
      <c r="A545" s="583">
        <v>536</v>
      </c>
      <c r="B545" s="1188"/>
      <c r="C545" s="1189"/>
      <c r="D545" s="576" t="s">
        <v>1250</v>
      </c>
      <c r="E545" s="1191"/>
      <c r="F545" s="1191"/>
      <c r="G545" s="1748"/>
      <c r="H545" s="1192"/>
      <c r="I545" s="566">
        <f t="shared" si="133"/>
        <v>840</v>
      </c>
      <c r="J545" s="443"/>
      <c r="K545" s="443"/>
      <c r="L545" s="443">
        <f>SUM(L543:L544)</f>
        <v>840</v>
      </c>
      <c r="M545" s="443"/>
      <c r="N545" s="439"/>
    </row>
    <row r="546" spans="1:16" s="3" customFormat="1" ht="22.5" customHeight="1" x14ac:dyDescent="0.3">
      <c r="A546" s="583">
        <v>537</v>
      </c>
      <c r="B546" s="160"/>
      <c r="C546" s="161">
        <v>89</v>
      </c>
      <c r="D546" s="577" t="s">
        <v>522</v>
      </c>
      <c r="E546" s="163">
        <v>140310</v>
      </c>
      <c r="F546" s="163">
        <v>160000</v>
      </c>
      <c r="G546" s="1746">
        <v>146828</v>
      </c>
      <c r="H546" s="598" t="s">
        <v>23</v>
      </c>
      <c r="I546" s="566"/>
      <c r="J546" s="167"/>
      <c r="K546" s="167"/>
      <c r="L546" s="167"/>
      <c r="M546" s="167"/>
      <c r="N546" s="168"/>
      <c r="P546" s="8"/>
    </row>
    <row r="547" spans="1:16" s="1193" customFormat="1" ht="18" customHeight="1" x14ac:dyDescent="0.3">
      <c r="A547" s="583">
        <v>538</v>
      </c>
      <c r="B547" s="1188"/>
      <c r="C547" s="1189"/>
      <c r="D547" s="1190" t="s">
        <v>308</v>
      </c>
      <c r="E547" s="1191"/>
      <c r="F547" s="1191"/>
      <c r="G547" s="1748"/>
      <c r="H547" s="1192"/>
      <c r="I547" s="1183">
        <f>SUM(J547:N547)</f>
        <v>136000</v>
      </c>
      <c r="J547" s="1184"/>
      <c r="K547" s="1184"/>
      <c r="L547" s="1184">
        <v>136000</v>
      </c>
      <c r="M547" s="1184"/>
      <c r="N547" s="1185"/>
    </row>
    <row r="548" spans="1:16" s="1193" customFormat="1" ht="18" customHeight="1" x14ac:dyDescent="0.3">
      <c r="A548" s="583">
        <v>539</v>
      </c>
      <c r="B548" s="1188"/>
      <c r="C548" s="1189"/>
      <c r="D548" s="576" t="s">
        <v>1158</v>
      </c>
      <c r="E548" s="1191"/>
      <c r="F548" s="1191"/>
      <c r="G548" s="1748"/>
      <c r="H548" s="1192"/>
      <c r="I548" s="566">
        <f t="shared" ref="I548:I550" si="134">SUM(J548:N548)</f>
        <v>181910</v>
      </c>
      <c r="J548" s="1184"/>
      <c r="K548" s="1184"/>
      <c r="L548" s="443">
        <v>181910</v>
      </c>
      <c r="M548" s="1184"/>
      <c r="N548" s="1185"/>
    </row>
    <row r="549" spans="1:16" s="1193" customFormat="1" ht="18" customHeight="1" x14ac:dyDescent="0.3">
      <c r="A549" s="583">
        <v>540</v>
      </c>
      <c r="B549" s="1188"/>
      <c r="C549" s="1189"/>
      <c r="D549" s="1318" t="s">
        <v>969</v>
      </c>
      <c r="E549" s="1191"/>
      <c r="F549" s="1191"/>
      <c r="G549" s="1748"/>
      <c r="H549" s="1192"/>
      <c r="I549" s="1321">
        <f t="shared" si="134"/>
        <v>0</v>
      </c>
      <c r="J549" s="443"/>
      <c r="K549" s="443"/>
      <c r="L549" s="184"/>
      <c r="M549" s="443"/>
      <c r="N549" s="439"/>
    </row>
    <row r="550" spans="1:16" s="1193" customFormat="1" ht="18" customHeight="1" x14ac:dyDescent="0.3">
      <c r="A550" s="583">
        <v>541</v>
      </c>
      <c r="B550" s="1188"/>
      <c r="C550" s="1189"/>
      <c r="D550" s="576" t="s">
        <v>1250</v>
      </c>
      <c r="E550" s="1191"/>
      <c r="F550" s="1191"/>
      <c r="G550" s="1748"/>
      <c r="H550" s="1192"/>
      <c r="I550" s="566">
        <f t="shared" si="134"/>
        <v>181910</v>
      </c>
      <c r="J550" s="443"/>
      <c r="K550" s="443"/>
      <c r="L550" s="443">
        <f>SUM(L548:L549)</f>
        <v>181910</v>
      </c>
      <c r="M550" s="443"/>
      <c r="N550" s="439"/>
    </row>
    <row r="551" spans="1:16" s="3" customFormat="1" ht="22.5" customHeight="1" x14ac:dyDescent="0.3">
      <c r="A551" s="583">
        <v>542</v>
      </c>
      <c r="B551" s="160"/>
      <c r="C551" s="161">
        <v>90</v>
      </c>
      <c r="D551" s="577" t="s">
        <v>91</v>
      </c>
      <c r="E551" s="177">
        <v>53306</v>
      </c>
      <c r="F551" s="177">
        <v>49000</v>
      </c>
      <c r="G551" s="1754">
        <v>41642</v>
      </c>
      <c r="H551" s="598" t="s">
        <v>23</v>
      </c>
      <c r="I551" s="566"/>
      <c r="J551" s="167"/>
      <c r="K551" s="167"/>
      <c r="L551" s="167"/>
      <c r="M551" s="167"/>
      <c r="N551" s="168"/>
      <c r="P551" s="8"/>
    </row>
    <row r="552" spans="1:16" s="1193" customFormat="1" ht="18" customHeight="1" x14ac:dyDescent="0.3">
      <c r="A552" s="583">
        <v>543</v>
      </c>
      <c r="B552" s="1188"/>
      <c r="C552" s="1189"/>
      <c r="D552" s="1190" t="s">
        <v>308</v>
      </c>
      <c r="E552" s="1191"/>
      <c r="F552" s="1191"/>
      <c r="G552" s="1748"/>
      <c r="H552" s="1192"/>
      <c r="I552" s="1183">
        <f>SUM(J552:N552)</f>
        <v>54230</v>
      </c>
      <c r="J552" s="1184"/>
      <c r="K552" s="1184"/>
      <c r="L552" s="1184">
        <v>54230</v>
      </c>
      <c r="M552" s="1184"/>
      <c r="N552" s="1185"/>
    </row>
    <row r="553" spans="1:16" s="1193" customFormat="1" ht="18" customHeight="1" x14ac:dyDescent="0.3">
      <c r="A553" s="583">
        <v>544</v>
      </c>
      <c r="B553" s="1188"/>
      <c r="C553" s="1189"/>
      <c r="D553" s="576" t="s">
        <v>1158</v>
      </c>
      <c r="E553" s="1191"/>
      <c r="F553" s="1191"/>
      <c r="G553" s="1748"/>
      <c r="H553" s="1192"/>
      <c r="I553" s="566">
        <f t="shared" ref="I553:I555" si="135">SUM(J553:N553)</f>
        <v>64649</v>
      </c>
      <c r="J553" s="1184"/>
      <c r="K553" s="1184"/>
      <c r="L553" s="443">
        <v>64649</v>
      </c>
      <c r="M553" s="1184"/>
      <c r="N553" s="1185"/>
    </row>
    <row r="554" spans="1:16" s="1193" customFormat="1" ht="18" customHeight="1" x14ac:dyDescent="0.3">
      <c r="A554" s="583">
        <v>545</v>
      </c>
      <c r="B554" s="1188"/>
      <c r="C554" s="1189"/>
      <c r="D554" s="1318" t="s">
        <v>969</v>
      </c>
      <c r="E554" s="1191"/>
      <c r="F554" s="1191"/>
      <c r="G554" s="1748"/>
      <c r="H554" s="1192"/>
      <c r="I554" s="1321">
        <f t="shared" si="135"/>
        <v>0</v>
      </c>
      <c r="J554" s="443"/>
      <c r="K554" s="443"/>
      <c r="L554" s="184"/>
      <c r="M554" s="443"/>
      <c r="N554" s="439"/>
    </row>
    <row r="555" spans="1:16" s="1193" customFormat="1" ht="18" customHeight="1" x14ac:dyDescent="0.3">
      <c r="A555" s="583">
        <v>546</v>
      </c>
      <c r="B555" s="1188"/>
      <c r="C555" s="1189"/>
      <c r="D555" s="576" t="s">
        <v>1250</v>
      </c>
      <c r="E555" s="1191"/>
      <c r="F555" s="1191"/>
      <c r="G555" s="1748"/>
      <c r="H555" s="1192"/>
      <c r="I555" s="566">
        <f t="shared" si="135"/>
        <v>64649</v>
      </c>
      <c r="J555" s="443"/>
      <c r="K555" s="443"/>
      <c r="L555" s="443">
        <f>SUM(L553:L554)</f>
        <v>64649</v>
      </c>
      <c r="M555" s="443"/>
      <c r="N555" s="439"/>
    </row>
    <row r="556" spans="1:16" s="3" customFormat="1" ht="22.5" customHeight="1" x14ac:dyDescent="0.3">
      <c r="A556" s="583">
        <v>547</v>
      </c>
      <c r="B556" s="160"/>
      <c r="C556" s="161">
        <v>91</v>
      </c>
      <c r="D556" s="577" t="s">
        <v>92</v>
      </c>
      <c r="E556" s="163">
        <v>3851</v>
      </c>
      <c r="F556" s="163">
        <v>2000</v>
      </c>
      <c r="G556" s="1746">
        <v>13153</v>
      </c>
      <c r="H556" s="598" t="s">
        <v>23</v>
      </c>
      <c r="I556" s="566"/>
      <c r="J556" s="167"/>
      <c r="K556" s="167"/>
      <c r="L556" s="167"/>
      <c r="M556" s="167"/>
      <c r="N556" s="168"/>
      <c r="P556" s="8"/>
    </row>
    <row r="557" spans="1:16" s="1193" customFormat="1" ht="18" customHeight="1" x14ac:dyDescent="0.3">
      <c r="A557" s="583">
        <v>548</v>
      </c>
      <c r="B557" s="1188"/>
      <c r="C557" s="1189"/>
      <c r="D557" s="1190" t="s">
        <v>308</v>
      </c>
      <c r="E557" s="1191"/>
      <c r="F557" s="1191"/>
      <c r="G557" s="1748"/>
      <c r="H557" s="1192"/>
      <c r="I557" s="1183">
        <f>SUM(J557:N557)</f>
        <v>1700</v>
      </c>
      <c r="J557" s="1184"/>
      <c r="K557" s="1184"/>
      <c r="L557" s="1184">
        <v>1700</v>
      </c>
      <c r="M557" s="1184"/>
      <c r="N557" s="1185"/>
    </row>
    <row r="558" spans="1:16" s="1193" customFormat="1" ht="18" customHeight="1" x14ac:dyDescent="0.3">
      <c r="A558" s="583">
        <v>549</v>
      </c>
      <c r="B558" s="1188"/>
      <c r="C558" s="1189"/>
      <c r="D558" s="576" t="s">
        <v>1158</v>
      </c>
      <c r="E558" s="1191"/>
      <c r="F558" s="1191"/>
      <c r="G558" s="1748"/>
      <c r="H558" s="1192"/>
      <c r="I558" s="566">
        <f t="shared" ref="I558:I560" si="136">SUM(J558:N558)</f>
        <v>5477</v>
      </c>
      <c r="J558" s="1184"/>
      <c r="K558" s="1184"/>
      <c r="L558" s="443">
        <f>7977-2500</f>
        <v>5477</v>
      </c>
      <c r="M558" s="1184"/>
      <c r="N558" s="1185"/>
    </row>
    <row r="559" spans="1:16" s="1193" customFormat="1" ht="18" customHeight="1" x14ac:dyDescent="0.3">
      <c r="A559" s="583">
        <v>550</v>
      </c>
      <c r="B559" s="1188"/>
      <c r="C559" s="1189"/>
      <c r="D559" s="1318" t="s">
        <v>969</v>
      </c>
      <c r="E559" s="1191"/>
      <c r="F559" s="1191"/>
      <c r="G559" s="1748"/>
      <c r="H559" s="1192"/>
      <c r="I559" s="1321">
        <f t="shared" si="136"/>
        <v>0</v>
      </c>
      <c r="J559" s="443"/>
      <c r="K559" s="443"/>
      <c r="L559" s="184"/>
      <c r="M559" s="443"/>
      <c r="N559" s="439"/>
    </row>
    <row r="560" spans="1:16" s="1193" customFormat="1" ht="18" customHeight="1" x14ac:dyDescent="0.3">
      <c r="A560" s="583">
        <v>551</v>
      </c>
      <c r="B560" s="1188"/>
      <c r="C560" s="1189"/>
      <c r="D560" s="576" t="s">
        <v>1250</v>
      </c>
      <c r="E560" s="1191"/>
      <c r="F560" s="1191"/>
      <c r="G560" s="1748"/>
      <c r="H560" s="1192"/>
      <c r="I560" s="566">
        <f t="shared" si="136"/>
        <v>5477</v>
      </c>
      <c r="J560" s="443"/>
      <c r="K560" s="443"/>
      <c r="L560" s="443">
        <f>SUM(L558:L559)</f>
        <v>5477</v>
      </c>
      <c r="M560" s="443"/>
      <c r="N560" s="439"/>
    </row>
    <row r="561" spans="1:16" s="3" customFormat="1" ht="22.5" customHeight="1" x14ac:dyDescent="0.3">
      <c r="A561" s="583">
        <v>552</v>
      </c>
      <c r="B561" s="160"/>
      <c r="C561" s="161">
        <v>92</v>
      </c>
      <c r="D561" s="577" t="s">
        <v>942</v>
      </c>
      <c r="E561" s="163"/>
      <c r="F561" s="163">
        <v>835195</v>
      </c>
      <c r="G561" s="1746">
        <v>1443096</v>
      </c>
      <c r="H561" s="598" t="s">
        <v>23</v>
      </c>
      <c r="I561" s="566"/>
      <c r="J561" s="167"/>
      <c r="K561" s="167"/>
      <c r="L561" s="167"/>
      <c r="M561" s="167"/>
      <c r="N561" s="168"/>
    </row>
    <row r="562" spans="1:16" s="1193" customFormat="1" ht="18" customHeight="1" x14ac:dyDescent="0.3">
      <c r="A562" s="583">
        <v>553</v>
      </c>
      <c r="B562" s="1188"/>
      <c r="C562" s="1189"/>
      <c r="D562" s="1190" t="s">
        <v>308</v>
      </c>
      <c r="E562" s="1191"/>
      <c r="F562" s="1191"/>
      <c r="G562" s="1748"/>
      <c r="H562" s="1192"/>
      <c r="I562" s="1183">
        <f>SUM(J562:N562)</f>
        <v>881516</v>
      </c>
      <c r="J562" s="1184"/>
      <c r="K562" s="1184"/>
      <c r="L562" s="1184"/>
      <c r="M562" s="1184"/>
      <c r="N562" s="1185">
        <v>881516</v>
      </c>
    </row>
    <row r="563" spans="1:16" s="1193" customFormat="1" ht="18" customHeight="1" x14ac:dyDescent="0.3">
      <c r="A563" s="583">
        <v>554</v>
      </c>
      <c r="B563" s="1188"/>
      <c r="C563" s="1189"/>
      <c r="D563" s="576" t="s">
        <v>1158</v>
      </c>
      <c r="E563" s="1191"/>
      <c r="F563" s="1191"/>
      <c r="G563" s="1748"/>
      <c r="H563" s="1192"/>
      <c r="I563" s="566">
        <f t="shared" ref="I563:I565" si="137">SUM(J563:N563)</f>
        <v>881516</v>
      </c>
      <c r="J563" s="1184"/>
      <c r="K563" s="1184"/>
      <c r="L563" s="1184"/>
      <c r="M563" s="1184"/>
      <c r="N563" s="439">
        <v>881516</v>
      </c>
    </row>
    <row r="564" spans="1:16" s="1193" customFormat="1" ht="18" customHeight="1" x14ac:dyDescent="0.3">
      <c r="A564" s="583">
        <v>555</v>
      </c>
      <c r="B564" s="1188"/>
      <c r="C564" s="1189"/>
      <c r="D564" s="1318" t="s">
        <v>947</v>
      </c>
      <c r="E564" s="1191"/>
      <c r="F564" s="1191"/>
      <c r="G564" s="1748"/>
      <c r="H564" s="1192"/>
      <c r="I564" s="1321">
        <f t="shared" si="137"/>
        <v>0</v>
      </c>
      <c r="J564" s="443"/>
      <c r="K564" s="443"/>
      <c r="L564" s="443"/>
      <c r="M564" s="443"/>
      <c r="N564" s="439"/>
    </row>
    <row r="565" spans="1:16" s="1193" customFormat="1" ht="18" customHeight="1" x14ac:dyDescent="0.3">
      <c r="A565" s="583">
        <v>556</v>
      </c>
      <c r="B565" s="1188"/>
      <c r="C565" s="1189"/>
      <c r="D565" s="576" t="s">
        <v>1250</v>
      </c>
      <c r="E565" s="1191"/>
      <c r="F565" s="1191"/>
      <c r="G565" s="1748"/>
      <c r="H565" s="1192"/>
      <c r="I565" s="566">
        <f t="shared" si="137"/>
        <v>881516</v>
      </c>
      <c r="J565" s="443"/>
      <c r="K565" s="443"/>
      <c r="L565" s="443"/>
      <c r="M565" s="443"/>
      <c r="N565" s="439">
        <f>SUM(N563:N564)</f>
        <v>881516</v>
      </c>
    </row>
    <row r="566" spans="1:16" s="8" customFormat="1" ht="22.5" customHeight="1" x14ac:dyDescent="0.3">
      <c r="A566" s="583">
        <v>557</v>
      </c>
      <c r="B566" s="164"/>
      <c r="C566" s="165">
        <v>93</v>
      </c>
      <c r="D566" s="577" t="s">
        <v>815</v>
      </c>
      <c r="E566" s="163"/>
      <c r="F566" s="163"/>
      <c r="G566" s="1746"/>
      <c r="H566" s="598" t="s">
        <v>23</v>
      </c>
      <c r="I566" s="566"/>
      <c r="J566" s="167"/>
      <c r="K566" s="167"/>
      <c r="L566" s="167"/>
      <c r="M566" s="167"/>
      <c r="N566" s="168"/>
    </row>
    <row r="567" spans="1:16" s="1193" customFormat="1" ht="18" customHeight="1" x14ac:dyDescent="0.3">
      <c r="A567" s="583">
        <v>558</v>
      </c>
      <c r="B567" s="1188"/>
      <c r="C567" s="1189"/>
      <c r="D567" s="1190" t="s">
        <v>308</v>
      </c>
      <c r="E567" s="1191"/>
      <c r="F567" s="1191"/>
      <c r="G567" s="1748"/>
      <c r="H567" s="1192"/>
      <c r="I567" s="1183">
        <f>SUM(J567:N567)</f>
        <v>153947</v>
      </c>
      <c r="J567" s="1184"/>
      <c r="K567" s="1184"/>
      <c r="L567" s="1184"/>
      <c r="M567" s="1184"/>
      <c r="N567" s="1185">
        <v>153947</v>
      </c>
    </row>
    <row r="568" spans="1:16" s="1193" customFormat="1" ht="18" customHeight="1" x14ac:dyDescent="0.3">
      <c r="A568" s="583">
        <v>559</v>
      </c>
      <c r="B568" s="1188"/>
      <c r="C568" s="1189"/>
      <c r="D568" s="576" t="s">
        <v>1158</v>
      </c>
      <c r="E568" s="1191"/>
      <c r="F568" s="1191"/>
      <c r="G568" s="1748"/>
      <c r="H568" s="1192"/>
      <c r="I568" s="566">
        <f t="shared" ref="I568:I570" si="138">SUM(J568:N568)</f>
        <v>153947</v>
      </c>
      <c r="J568" s="1184"/>
      <c r="K568" s="1184"/>
      <c r="L568" s="1184"/>
      <c r="M568" s="1184"/>
      <c r="N568" s="439">
        <v>153947</v>
      </c>
    </row>
    <row r="569" spans="1:16" s="1193" customFormat="1" ht="18" customHeight="1" x14ac:dyDescent="0.3">
      <c r="A569" s="583">
        <v>560</v>
      </c>
      <c r="B569" s="1188"/>
      <c r="C569" s="1189"/>
      <c r="D569" s="1318" t="s">
        <v>947</v>
      </c>
      <c r="E569" s="1191"/>
      <c r="F569" s="1191"/>
      <c r="G569" s="1748"/>
      <c r="H569" s="1192"/>
      <c r="I569" s="1321">
        <f t="shared" si="138"/>
        <v>0</v>
      </c>
      <c r="J569" s="443"/>
      <c r="K569" s="443"/>
      <c r="L569" s="443"/>
      <c r="M569" s="443"/>
      <c r="N569" s="439"/>
    </row>
    <row r="570" spans="1:16" s="1193" customFormat="1" ht="18" customHeight="1" x14ac:dyDescent="0.3">
      <c r="A570" s="583">
        <v>561</v>
      </c>
      <c r="B570" s="1188"/>
      <c r="C570" s="1189"/>
      <c r="D570" s="576" t="s">
        <v>1250</v>
      </c>
      <c r="E570" s="1191"/>
      <c r="F570" s="1191"/>
      <c r="G570" s="1748"/>
      <c r="H570" s="1192"/>
      <c r="I570" s="566">
        <f t="shared" si="138"/>
        <v>153947</v>
      </c>
      <c r="J570" s="443"/>
      <c r="K570" s="443"/>
      <c r="L570" s="443"/>
      <c r="M570" s="443"/>
      <c r="N570" s="439">
        <f>SUM(N568:N569)</f>
        <v>153947</v>
      </c>
    </row>
    <row r="571" spans="1:16" s="3" customFormat="1" ht="22.5" customHeight="1" x14ac:dyDescent="0.3">
      <c r="A571" s="583">
        <v>562</v>
      </c>
      <c r="B571" s="160"/>
      <c r="C571" s="161">
        <v>94</v>
      </c>
      <c r="D571" s="577" t="s">
        <v>556</v>
      </c>
      <c r="E571" s="163"/>
      <c r="F571" s="163">
        <v>56013</v>
      </c>
      <c r="G571" s="1746">
        <v>24770</v>
      </c>
      <c r="H571" s="598" t="s">
        <v>24</v>
      </c>
      <c r="I571" s="566"/>
      <c r="J571" s="167"/>
      <c r="K571" s="167"/>
      <c r="L571" s="167"/>
      <c r="M571" s="167"/>
      <c r="N571" s="168"/>
    </row>
    <row r="572" spans="1:16" s="1193" customFormat="1" ht="18" customHeight="1" x14ac:dyDescent="0.3">
      <c r="A572" s="583">
        <v>563</v>
      </c>
      <c r="B572" s="1188"/>
      <c r="C572" s="1189"/>
      <c r="D572" s="1190" t="s">
        <v>308</v>
      </c>
      <c r="E572" s="1191"/>
      <c r="F572" s="1191"/>
      <c r="G572" s="1748"/>
      <c r="H572" s="1192"/>
      <c r="I572" s="1183">
        <f>SUM(J572:N572)</f>
        <v>56914</v>
      </c>
      <c r="J572" s="1184"/>
      <c r="K572" s="1184"/>
      <c r="L572" s="1184">
        <v>56914</v>
      </c>
      <c r="M572" s="1184"/>
      <c r="N572" s="1185"/>
    </row>
    <row r="573" spans="1:16" s="1193" customFormat="1" ht="18" customHeight="1" x14ac:dyDescent="0.3">
      <c r="A573" s="583">
        <v>564</v>
      </c>
      <c r="B573" s="1188"/>
      <c r="C573" s="1189"/>
      <c r="D573" s="576" t="s">
        <v>1158</v>
      </c>
      <c r="E573" s="1191"/>
      <c r="F573" s="1191"/>
      <c r="G573" s="1748"/>
      <c r="H573" s="1192"/>
      <c r="I573" s="566">
        <f t="shared" ref="I573:I575" si="139">SUM(J573:N573)</f>
        <v>56814</v>
      </c>
      <c r="J573" s="1184"/>
      <c r="K573" s="1184"/>
      <c r="L573" s="443">
        <v>56814</v>
      </c>
      <c r="M573" s="1184"/>
      <c r="N573" s="1185"/>
    </row>
    <row r="574" spans="1:16" s="1193" customFormat="1" ht="18" customHeight="1" x14ac:dyDescent="0.3">
      <c r="A574" s="583">
        <v>565</v>
      </c>
      <c r="B574" s="1188"/>
      <c r="C574" s="1189"/>
      <c r="D574" s="1318" t="s">
        <v>969</v>
      </c>
      <c r="E574" s="1191"/>
      <c r="F574" s="1191"/>
      <c r="G574" s="1748"/>
      <c r="H574" s="1192"/>
      <c r="I574" s="1321">
        <f t="shared" si="139"/>
        <v>0</v>
      </c>
      <c r="J574" s="443"/>
      <c r="K574" s="443"/>
      <c r="L574" s="184"/>
      <c r="M574" s="443"/>
      <c r="N574" s="439"/>
    </row>
    <row r="575" spans="1:16" s="1193" customFormat="1" ht="18" customHeight="1" x14ac:dyDescent="0.3">
      <c r="A575" s="583">
        <v>566</v>
      </c>
      <c r="B575" s="1188"/>
      <c r="C575" s="1189"/>
      <c r="D575" s="576" t="s">
        <v>1250</v>
      </c>
      <c r="E575" s="1191"/>
      <c r="F575" s="1191"/>
      <c r="G575" s="1748"/>
      <c r="H575" s="1192"/>
      <c r="I575" s="566">
        <f t="shared" si="139"/>
        <v>56814</v>
      </c>
      <c r="J575" s="443"/>
      <c r="K575" s="443"/>
      <c r="L575" s="443">
        <f>SUM(L573:L574)</f>
        <v>56814</v>
      </c>
      <c r="M575" s="443"/>
      <c r="N575" s="439"/>
    </row>
    <row r="576" spans="1:16" s="3" customFormat="1" ht="22.5" customHeight="1" x14ac:dyDescent="0.3">
      <c r="A576" s="583">
        <v>567</v>
      </c>
      <c r="B576" s="160"/>
      <c r="C576" s="161"/>
      <c r="D576" s="375" t="s">
        <v>303</v>
      </c>
      <c r="E576" s="163"/>
      <c r="F576" s="163"/>
      <c r="G576" s="1746"/>
      <c r="H576" s="598"/>
      <c r="I576" s="567"/>
      <c r="J576" s="170"/>
      <c r="K576" s="170"/>
      <c r="L576" s="170"/>
      <c r="M576" s="170"/>
      <c r="N576" s="171"/>
      <c r="O576" s="8"/>
      <c r="P576" s="8"/>
    </row>
    <row r="577" spans="1:16" s="3" customFormat="1" ht="22.5" customHeight="1" x14ac:dyDescent="0.3">
      <c r="A577" s="583">
        <v>568</v>
      </c>
      <c r="B577" s="160"/>
      <c r="C577" s="161">
        <v>95</v>
      </c>
      <c r="D577" s="186" t="s">
        <v>8</v>
      </c>
      <c r="E577" s="163">
        <v>277661</v>
      </c>
      <c r="F577" s="163">
        <v>280000</v>
      </c>
      <c r="G577" s="1746">
        <v>285738</v>
      </c>
      <c r="H577" s="598" t="s">
        <v>23</v>
      </c>
      <c r="I577" s="566"/>
      <c r="J577" s="167"/>
      <c r="K577" s="167"/>
      <c r="L577" s="167"/>
      <c r="M577" s="167"/>
      <c r="N577" s="168"/>
      <c r="P577" s="8"/>
    </row>
    <row r="578" spans="1:16" s="1193" customFormat="1" ht="18" customHeight="1" x14ac:dyDescent="0.3">
      <c r="A578" s="583">
        <v>569</v>
      </c>
      <c r="B578" s="1188"/>
      <c r="C578" s="1189"/>
      <c r="D578" s="1213" t="s">
        <v>308</v>
      </c>
      <c r="E578" s="1191"/>
      <c r="F578" s="1191"/>
      <c r="G578" s="1748"/>
      <c r="H578" s="1192"/>
      <c r="I578" s="1183">
        <f>SUM(J578:N578)</f>
        <v>277100</v>
      </c>
      <c r="J578" s="1184"/>
      <c r="K578" s="1184"/>
      <c r="L578" s="1184">
        <v>5000</v>
      </c>
      <c r="M578" s="1184"/>
      <c r="N578" s="1185">
        <f>277100-5000</f>
        <v>272100</v>
      </c>
    </row>
    <row r="579" spans="1:16" s="1193" customFormat="1" ht="18" customHeight="1" x14ac:dyDescent="0.3">
      <c r="A579" s="583">
        <v>570</v>
      </c>
      <c r="B579" s="1188"/>
      <c r="C579" s="1189"/>
      <c r="D579" s="1329" t="s">
        <v>1158</v>
      </c>
      <c r="E579" s="1191"/>
      <c r="F579" s="1191"/>
      <c r="G579" s="1748"/>
      <c r="H579" s="1192"/>
      <c r="I579" s="566">
        <f t="shared" ref="I579:I581" si="140">SUM(J579:N579)</f>
        <v>280548</v>
      </c>
      <c r="J579" s="1184"/>
      <c r="K579" s="1184"/>
      <c r="L579" s="443">
        <v>8448</v>
      </c>
      <c r="M579" s="443"/>
      <c r="N579" s="439">
        <v>272100</v>
      </c>
    </row>
    <row r="580" spans="1:16" s="1193" customFormat="1" ht="18" customHeight="1" x14ac:dyDescent="0.3">
      <c r="A580" s="583">
        <v>571</v>
      </c>
      <c r="B580" s="1188"/>
      <c r="C580" s="1189"/>
      <c r="D580" s="1328" t="s">
        <v>969</v>
      </c>
      <c r="E580" s="1191"/>
      <c r="F580" s="1191"/>
      <c r="G580" s="1748"/>
      <c r="H580" s="1192"/>
      <c r="I580" s="1321">
        <f t="shared" si="140"/>
        <v>0</v>
      </c>
      <c r="J580" s="443"/>
      <c r="K580" s="443"/>
      <c r="L580" s="184"/>
      <c r="M580" s="443"/>
      <c r="N580" s="439"/>
    </row>
    <row r="581" spans="1:16" s="1193" customFormat="1" ht="18" customHeight="1" x14ac:dyDescent="0.3">
      <c r="A581" s="583">
        <v>572</v>
      </c>
      <c r="B581" s="1188"/>
      <c r="C581" s="1189"/>
      <c r="D581" s="1329" t="s">
        <v>1250</v>
      </c>
      <c r="E581" s="1191"/>
      <c r="F581" s="1191"/>
      <c r="G581" s="1748"/>
      <c r="H581" s="1192"/>
      <c r="I581" s="566">
        <f t="shared" si="140"/>
        <v>280548</v>
      </c>
      <c r="J581" s="443"/>
      <c r="K581" s="443"/>
      <c r="L581" s="443">
        <f>SUM(L579:L580)</f>
        <v>8448</v>
      </c>
      <c r="M581" s="443"/>
      <c r="N581" s="439">
        <f>SUM(N579:N580)</f>
        <v>272100</v>
      </c>
    </row>
    <row r="582" spans="1:16" s="3" customFormat="1" ht="22.5" customHeight="1" x14ac:dyDescent="0.3">
      <c r="A582" s="583">
        <v>573</v>
      </c>
      <c r="B582" s="160"/>
      <c r="C582" s="161">
        <v>96</v>
      </c>
      <c r="D582" s="186" t="s">
        <v>302</v>
      </c>
      <c r="E582" s="163">
        <v>50000</v>
      </c>
      <c r="F582" s="163">
        <v>54053</v>
      </c>
      <c r="G582" s="1746">
        <v>54053</v>
      </c>
      <c r="H582" s="598" t="s">
        <v>23</v>
      </c>
      <c r="I582" s="566"/>
      <c r="J582" s="167"/>
      <c r="K582" s="167"/>
      <c r="L582" s="167"/>
      <c r="M582" s="167"/>
      <c r="N582" s="168"/>
      <c r="P582" s="8"/>
    </row>
    <row r="583" spans="1:16" s="1193" customFormat="1" ht="18" customHeight="1" x14ac:dyDescent="0.3">
      <c r="A583" s="583">
        <v>574</v>
      </c>
      <c r="B583" s="1188"/>
      <c r="C583" s="1189"/>
      <c r="D583" s="1213" t="s">
        <v>308</v>
      </c>
      <c r="E583" s="1191"/>
      <c r="F583" s="1191"/>
      <c r="G583" s="1748"/>
      <c r="H583" s="1192"/>
      <c r="I583" s="1183">
        <f>SUM(J583:N583)</f>
        <v>45900</v>
      </c>
      <c r="J583" s="1184"/>
      <c r="K583" s="1184"/>
      <c r="L583" s="1184"/>
      <c r="M583" s="1184"/>
      <c r="N583" s="1185">
        <v>45900</v>
      </c>
    </row>
    <row r="584" spans="1:16" s="1193" customFormat="1" ht="18" customHeight="1" x14ac:dyDescent="0.3">
      <c r="A584" s="583">
        <v>575</v>
      </c>
      <c r="B584" s="1188"/>
      <c r="C584" s="1189"/>
      <c r="D584" s="1329" t="s">
        <v>1158</v>
      </c>
      <c r="E584" s="1191"/>
      <c r="F584" s="1191"/>
      <c r="G584" s="1748"/>
      <c r="H584" s="1192"/>
      <c r="I584" s="566">
        <f t="shared" ref="I584:I586" si="141">SUM(J584:N584)</f>
        <v>45900</v>
      </c>
      <c r="J584" s="1184"/>
      <c r="K584" s="1184"/>
      <c r="L584" s="1184"/>
      <c r="M584" s="1184"/>
      <c r="N584" s="439">
        <v>45900</v>
      </c>
    </row>
    <row r="585" spans="1:16" s="1193" customFormat="1" ht="18" customHeight="1" x14ac:dyDescent="0.3">
      <c r="A585" s="583">
        <v>576</v>
      </c>
      <c r="B585" s="1188"/>
      <c r="C585" s="1189"/>
      <c r="D585" s="1328" t="s">
        <v>947</v>
      </c>
      <c r="E585" s="1191"/>
      <c r="F585" s="1191"/>
      <c r="G585" s="1748"/>
      <c r="H585" s="1192"/>
      <c r="I585" s="1321">
        <f t="shared" si="141"/>
        <v>0</v>
      </c>
      <c r="J585" s="443"/>
      <c r="K585" s="443"/>
      <c r="L585" s="443"/>
      <c r="M585" s="443"/>
      <c r="N585" s="439"/>
    </row>
    <row r="586" spans="1:16" s="1193" customFormat="1" ht="18" customHeight="1" x14ac:dyDescent="0.3">
      <c r="A586" s="583">
        <v>577</v>
      </c>
      <c r="B586" s="1188"/>
      <c r="C586" s="1189"/>
      <c r="D586" s="1329" t="s">
        <v>1250</v>
      </c>
      <c r="E586" s="1191"/>
      <c r="F586" s="1191"/>
      <c r="G586" s="1748"/>
      <c r="H586" s="1192"/>
      <c r="I586" s="566">
        <f t="shared" si="141"/>
        <v>45900</v>
      </c>
      <c r="J586" s="443"/>
      <c r="K586" s="443"/>
      <c r="L586" s="443"/>
      <c r="M586" s="443"/>
      <c r="N586" s="439">
        <f>SUM(N584:N585)</f>
        <v>45900</v>
      </c>
    </row>
    <row r="587" spans="1:16" s="3" customFormat="1" ht="22.5" customHeight="1" x14ac:dyDescent="0.3">
      <c r="A587" s="583">
        <v>578</v>
      </c>
      <c r="B587" s="160"/>
      <c r="C587" s="161">
        <v>97</v>
      </c>
      <c r="D587" s="186" t="s">
        <v>9</v>
      </c>
      <c r="E587" s="163">
        <v>289144</v>
      </c>
      <c r="F587" s="163">
        <v>298908</v>
      </c>
      <c r="G587" s="1746">
        <v>298908</v>
      </c>
      <c r="H587" s="598" t="s">
        <v>23</v>
      </c>
      <c r="I587" s="566"/>
      <c r="J587" s="167"/>
      <c r="K587" s="167"/>
      <c r="L587" s="167"/>
      <c r="M587" s="167"/>
      <c r="N587" s="168"/>
      <c r="P587" s="8"/>
    </row>
    <row r="588" spans="1:16" s="1193" customFormat="1" ht="18" customHeight="1" x14ac:dyDescent="0.3">
      <c r="A588" s="583">
        <v>579</v>
      </c>
      <c r="B588" s="1188"/>
      <c r="C588" s="1189"/>
      <c r="D588" s="1213" t="s">
        <v>308</v>
      </c>
      <c r="E588" s="1191"/>
      <c r="F588" s="1191"/>
      <c r="G588" s="1748"/>
      <c r="H588" s="1192"/>
      <c r="I588" s="1183">
        <f>SUM(J588:N588)</f>
        <v>259250</v>
      </c>
      <c r="J588" s="1184"/>
      <c r="K588" s="1184"/>
      <c r="L588" s="1184"/>
      <c r="M588" s="1184"/>
      <c r="N588" s="1185">
        <v>259250</v>
      </c>
    </row>
    <row r="589" spans="1:16" s="1193" customFormat="1" ht="18" customHeight="1" x14ac:dyDescent="0.3">
      <c r="A589" s="583">
        <v>580</v>
      </c>
      <c r="B589" s="1188"/>
      <c r="C589" s="1189"/>
      <c r="D589" s="1329" t="s">
        <v>1158</v>
      </c>
      <c r="E589" s="1191"/>
      <c r="F589" s="1191"/>
      <c r="G589" s="1748"/>
      <c r="H589" s="1192"/>
      <c r="I589" s="566">
        <f t="shared" ref="I589" si="142">SUM(J589:N589)</f>
        <v>259250</v>
      </c>
      <c r="J589" s="1184"/>
      <c r="K589" s="1184"/>
      <c r="L589" s="1184"/>
      <c r="M589" s="1184"/>
      <c r="N589" s="439">
        <v>259250</v>
      </c>
    </row>
    <row r="590" spans="1:16" s="1193" customFormat="1" ht="18" customHeight="1" x14ac:dyDescent="0.3">
      <c r="A590" s="583">
        <v>581</v>
      </c>
      <c r="B590" s="1188"/>
      <c r="C590" s="1189"/>
      <c r="D590" s="1328" t="s">
        <v>947</v>
      </c>
      <c r="E590" s="1191"/>
      <c r="F590" s="1191"/>
      <c r="G590" s="1748"/>
      <c r="H590" s="1192"/>
      <c r="I590" s="1321">
        <f t="shared" ref="I590:I591" si="143">SUM(J590:N590)</f>
        <v>0</v>
      </c>
      <c r="J590" s="443"/>
      <c r="K590" s="443"/>
      <c r="L590" s="443"/>
      <c r="M590" s="443"/>
      <c r="N590" s="439"/>
    </row>
    <row r="591" spans="1:16" s="1193" customFormat="1" ht="18" customHeight="1" x14ac:dyDescent="0.3">
      <c r="A591" s="583">
        <v>582</v>
      </c>
      <c r="B591" s="1188"/>
      <c r="C591" s="1189"/>
      <c r="D591" s="1329" t="s">
        <v>1250</v>
      </c>
      <c r="E591" s="1191"/>
      <c r="F591" s="1191"/>
      <c r="G591" s="1748"/>
      <c r="H591" s="1192"/>
      <c r="I591" s="566">
        <f t="shared" si="143"/>
        <v>259250</v>
      </c>
      <c r="J591" s="443"/>
      <c r="K591" s="443"/>
      <c r="L591" s="443"/>
      <c r="M591" s="443"/>
      <c r="N591" s="439">
        <f>SUM(N589:N590)</f>
        <v>259250</v>
      </c>
    </row>
    <row r="592" spans="1:16" s="3" customFormat="1" ht="22.5" customHeight="1" x14ac:dyDescent="0.3">
      <c r="A592" s="583">
        <v>583</v>
      </c>
      <c r="B592" s="160"/>
      <c r="C592" s="161">
        <v>98</v>
      </c>
      <c r="D592" s="186" t="s">
        <v>7</v>
      </c>
      <c r="E592" s="163">
        <v>21700</v>
      </c>
      <c r="F592" s="163">
        <v>43000</v>
      </c>
      <c r="G592" s="1746">
        <v>43000</v>
      </c>
      <c r="H592" s="598" t="s">
        <v>23</v>
      </c>
      <c r="I592" s="566"/>
      <c r="J592" s="167"/>
      <c r="K592" s="167"/>
      <c r="L592" s="167"/>
      <c r="M592" s="167"/>
      <c r="N592" s="168"/>
      <c r="P592" s="8"/>
    </row>
    <row r="593" spans="1:16" s="1193" customFormat="1" ht="18" customHeight="1" x14ac:dyDescent="0.3">
      <c r="A593" s="583">
        <v>584</v>
      </c>
      <c r="B593" s="1188"/>
      <c r="C593" s="1189"/>
      <c r="D593" s="1213" t="s">
        <v>308</v>
      </c>
      <c r="E593" s="1191"/>
      <c r="F593" s="1191"/>
      <c r="G593" s="1748"/>
      <c r="H593" s="1192"/>
      <c r="I593" s="1183">
        <f>SUM(J593:N593)</f>
        <v>36550</v>
      </c>
      <c r="J593" s="1184"/>
      <c r="K593" s="1184"/>
      <c r="L593" s="1184"/>
      <c r="M593" s="1184"/>
      <c r="N593" s="1185">
        <v>36550</v>
      </c>
    </row>
    <row r="594" spans="1:16" s="1193" customFormat="1" ht="18" customHeight="1" x14ac:dyDescent="0.3">
      <c r="A594" s="583">
        <v>585</v>
      </c>
      <c r="B594" s="1188"/>
      <c r="C594" s="1189"/>
      <c r="D594" s="1329" t="s">
        <v>1158</v>
      </c>
      <c r="E594" s="1191"/>
      <c r="F594" s="1191"/>
      <c r="G594" s="1748"/>
      <c r="H594" s="1192"/>
      <c r="I594" s="566">
        <f t="shared" ref="I594" si="144">SUM(J594:N594)</f>
        <v>36550</v>
      </c>
      <c r="J594" s="1184"/>
      <c r="K594" s="1184"/>
      <c r="L594" s="1184"/>
      <c r="M594" s="1184"/>
      <c r="N594" s="439">
        <v>36550</v>
      </c>
    </row>
    <row r="595" spans="1:16" s="1193" customFormat="1" ht="18" customHeight="1" x14ac:dyDescent="0.3">
      <c r="A595" s="583">
        <v>586</v>
      </c>
      <c r="B595" s="1188"/>
      <c r="C595" s="1189"/>
      <c r="D595" s="1328" t="s">
        <v>947</v>
      </c>
      <c r="E595" s="1191"/>
      <c r="F595" s="1191"/>
      <c r="G595" s="1748"/>
      <c r="H595" s="1192"/>
      <c r="I595" s="1321">
        <f t="shared" ref="I595:I596" si="145">SUM(J595:N595)</f>
        <v>0</v>
      </c>
      <c r="J595" s="443"/>
      <c r="K595" s="443"/>
      <c r="L595" s="443"/>
      <c r="M595" s="443"/>
      <c r="N595" s="439"/>
    </row>
    <row r="596" spans="1:16" s="1193" customFormat="1" ht="18" customHeight="1" x14ac:dyDescent="0.3">
      <c r="A596" s="583">
        <v>587</v>
      </c>
      <c r="B596" s="1188"/>
      <c r="C596" s="1189"/>
      <c r="D596" s="1329" t="s">
        <v>1250</v>
      </c>
      <c r="E596" s="1191"/>
      <c r="F596" s="1191"/>
      <c r="G596" s="1748"/>
      <c r="H596" s="1192"/>
      <c r="I596" s="566">
        <f t="shared" si="145"/>
        <v>36550</v>
      </c>
      <c r="J596" s="443"/>
      <c r="K596" s="443"/>
      <c r="L596" s="443"/>
      <c r="M596" s="443"/>
      <c r="N596" s="439">
        <f>SUM(N594:N595)</f>
        <v>36550</v>
      </c>
    </row>
    <row r="597" spans="1:16" s="3" customFormat="1" ht="22.5" customHeight="1" x14ac:dyDescent="0.3">
      <c r="A597" s="583">
        <v>588</v>
      </c>
      <c r="B597" s="160"/>
      <c r="C597" s="161"/>
      <c r="D597" s="375" t="s">
        <v>304</v>
      </c>
      <c r="E597" s="163"/>
      <c r="F597" s="163"/>
      <c r="G597" s="1746"/>
      <c r="H597" s="598"/>
      <c r="I597" s="567"/>
      <c r="J597" s="170"/>
      <c r="K597" s="170"/>
      <c r="L597" s="170"/>
      <c r="M597" s="170"/>
      <c r="N597" s="171"/>
      <c r="O597" s="8"/>
      <c r="P597" s="8"/>
    </row>
    <row r="598" spans="1:16" s="3" customFormat="1" ht="22.5" customHeight="1" x14ac:dyDescent="0.3">
      <c r="A598" s="583">
        <v>589</v>
      </c>
      <c r="B598" s="160"/>
      <c r="C598" s="161">
        <v>99</v>
      </c>
      <c r="D598" s="186" t="s">
        <v>816</v>
      </c>
      <c r="E598" s="163">
        <v>157789</v>
      </c>
      <c r="F598" s="163">
        <f>171000-121000</f>
        <v>50000</v>
      </c>
      <c r="G598" s="1746">
        <v>35000</v>
      </c>
      <c r="H598" s="598" t="s">
        <v>23</v>
      </c>
      <c r="I598" s="566"/>
      <c r="J598" s="167"/>
      <c r="K598" s="167"/>
      <c r="L598" s="167"/>
      <c r="M598" s="167"/>
      <c r="N598" s="168"/>
      <c r="P598" s="8"/>
    </row>
    <row r="599" spans="1:16" s="1193" customFormat="1" ht="18" customHeight="1" x14ac:dyDescent="0.3">
      <c r="A599" s="583">
        <v>590</v>
      </c>
      <c r="B599" s="1188"/>
      <c r="C599" s="1189"/>
      <c r="D599" s="1213" t="s">
        <v>308</v>
      </c>
      <c r="E599" s="1191"/>
      <c r="F599" s="1191"/>
      <c r="G599" s="1748"/>
      <c r="H599" s="1192"/>
      <c r="I599" s="1183">
        <f>SUM(J599:N599)</f>
        <v>42500</v>
      </c>
      <c r="J599" s="1184"/>
      <c r="K599" s="1184"/>
      <c r="L599" s="1184"/>
      <c r="M599" s="1184"/>
      <c r="N599" s="1185">
        <f>35000+7500</f>
        <v>42500</v>
      </c>
    </row>
    <row r="600" spans="1:16" s="1193" customFormat="1" ht="18" customHeight="1" x14ac:dyDescent="0.3">
      <c r="A600" s="583">
        <v>591</v>
      </c>
      <c r="B600" s="1188"/>
      <c r="C600" s="1189"/>
      <c r="D600" s="1329" t="s">
        <v>1158</v>
      </c>
      <c r="E600" s="1191"/>
      <c r="F600" s="1191"/>
      <c r="G600" s="1748"/>
      <c r="H600" s="1192"/>
      <c r="I600" s="566">
        <f t="shared" ref="I600" si="146">SUM(J600:N600)</f>
        <v>42500</v>
      </c>
      <c r="J600" s="1184"/>
      <c r="K600" s="1184"/>
      <c r="L600" s="1184"/>
      <c r="M600" s="1184"/>
      <c r="N600" s="439">
        <v>42500</v>
      </c>
    </row>
    <row r="601" spans="1:16" s="1193" customFormat="1" ht="18" customHeight="1" x14ac:dyDescent="0.3">
      <c r="A601" s="583">
        <v>592</v>
      </c>
      <c r="B601" s="1188"/>
      <c r="C601" s="1189"/>
      <c r="D601" s="1328" t="s">
        <v>969</v>
      </c>
      <c r="E601" s="1191"/>
      <c r="F601" s="1191"/>
      <c r="G601" s="1748"/>
      <c r="H601" s="1192"/>
      <c r="I601" s="1321">
        <f t="shared" ref="I601:I602" si="147">SUM(J601:N601)</f>
        <v>0</v>
      </c>
      <c r="J601" s="443"/>
      <c r="K601" s="443"/>
      <c r="L601" s="443"/>
      <c r="M601" s="443"/>
      <c r="N601" s="439"/>
    </row>
    <row r="602" spans="1:16" s="1193" customFormat="1" ht="18" customHeight="1" x14ac:dyDescent="0.3">
      <c r="A602" s="583">
        <v>593</v>
      </c>
      <c r="B602" s="1188"/>
      <c r="C602" s="1189"/>
      <c r="D602" s="1329" t="s">
        <v>1250</v>
      </c>
      <c r="E602" s="1191"/>
      <c r="F602" s="1191"/>
      <c r="G602" s="1748"/>
      <c r="H602" s="1192"/>
      <c r="I602" s="566">
        <f t="shared" si="147"/>
        <v>42500</v>
      </c>
      <c r="J602" s="443"/>
      <c r="K602" s="443"/>
      <c r="L602" s="443"/>
      <c r="M602" s="443"/>
      <c r="N602" s="439">
        <f>SUM(N600:N601)</f>
        <v>42500</v>
      </c>
    </row>
    <row r="603" spans="1:16" s="3" customFormat="1" ht="22.5" customHeight="1" x14ac:dyDescent="0.3">
      <c r="A603" s="583">
        <v>594</v>
      </c>
      <c r="B603" s="160"/>
      <c r="C603" s="161">
        <v>100</v>
      </c>
      <c r="D603" s="186" t="s">
        <v>305</v>
      </c>
      <c r="E603" s="163">
        <v>180000</v>
      </c>
      <c r="F603" s="163">
        <v>180000</v>
      </c>
      <c r="G603" s="1746">
        <v>180000</v>
      </c>
      <c r="H603" s="598" t="s">
        <v>23</v>
      </c>
      <c r="I603" s="566"/>
      <c r="J603" s="167"/>
      <c r="K603" s="167"/>
      <c r="L603" s="167"/>
      <c r="M603" s="167"/>
      <c r="N603" s="168"/>
      <c r="P603" s="8"/>
    </row>
    <row r="604" spans="1:16" s="1193" customFormat="1" ht="18" customHeight="1" x14ac:dyDescent="0.3">
      <c r="A604" s="583">
        <v>595</v>
      </c>
      <c r="B604" s="1188"/>
      <c r="C604" s="1189"/>
      <c r="D604" s="1213" t="s">
        <v>308</v>
      </c>
      <c r="E604" s="1191"/>
      <c r="F604" s="1191"/>
      <c r="G604" s="1748"/>
      <c r="H604" s="1192"/>
      <c r="I604" s="1183">
        <f>SUM(J604:N604)</f>
        <v>169738</v>
      </c>
      <c r="J604" s="1184"/>
      <c r="K604" s="1184"/>
      <c r="L604" s="1184"/>
      <c r="M604" s="1184"/>
      <c r="N604" s="1185">
        <v>169738</v>
      </c>
    </row>
    <row r="605" spans="1:16" s="1193" customFormat="1" ht="18" customHeight="1" x14ac:dyDescent="0.3">
      <c r="A605" s="583">
        <v>596</v>
      </c>
      <c r="B605" s="1188"/>
      <c r="C605" s="1189"/>
      <c r="D605" s="1329" t="s">
        <v>1158</v>
      </c>
      <c r="E605" s="1191"/>
      <c r="F605" s="1191"/>
      <c r="G605" s="1748"/>
      <c r="H605" s="1192"/>
      <c r="I605" s="566">
        <f t="shared" ref="I605" si="148">SUM(J605:N605)</f>
        <v>169738</v>
      </c>
      <c r="J605" s="1184"/>
      <c r="K605" s="1184"/>
      <c r="L605" s="1184"/>
      <c r="M605" s="1184"/>
      <c r="N605" s="439">
        <v>169738</v>
      </c>
    </row>
    <row r="606" spans="1:16" s="1193" customFormat="1" ht="18" customHeight="1" x14ac:dyDescent="0.3">
      <c r="A606" s="583">
        <v>597</v>
      </c>
      <c r="B606" s="1188"/>
      <c r="C606" s="1189"/>
      <c r="D606" s="1328" t="s">
        <v>947</v>
      </c>
      <c r="E606" s="1191"/>
      <c r="F606" s="1191"/>
      <c r="G606" s="1748"/>
      <c r="H606" s="1192"/>
      <c r="I606" s="1321">
        <f t="shared" ref="I606:I607" si="149">SUM(J606:N606)</f>
        <v>0</v>
      </c>
      <c r="J606" s="443"/>
      <c r="K606" s="443"/>
      <c r="L606" s="443"/>
      <c r="M606" s="443"/>
      <c r="N606" s="439"/>
    </row>
    <row r="607" spans="1:16" s="1193" customFormat="1" ht="18" customHeight="1" x14ac:dyDescent="0.3">
      <c r="A607" s="583">
        <v>598</v>
      </c>
      <c r="B607" s="1188"/>
      <c r="C607" s="1189"/>
      <c r="D607" s="1329" t="s">
        <v>1250</v>
      </c>
      <c r="E607" s="1191"/>
      <c r="F607" s="1191"/>
      <c r="G607" s="1748"/>
      <c r="H607" s="1192"/>
      <c r="I607" s="566">
        <f t="shared" si="149"/>
        <v>169738</v>
      </c>
      <c r="J607" s="443"/>
      <c r="K607" s="443"/>
      <c r="L607" s="443"/>
      <c r="M607" s="443"/>
      <c r="N607" s="439">
        <f>SUM(N605:N606)</f>
        <v>169738</v>
      </c>
    </row>
    <row r="608" spans="1:16" s="8" customFormat="1" ht="22.5" customHeight="1" x14ac:dyDescent="0.3">
      <c r="A608" s="583">
        <v>599</v>
      </c>
      <c r="B608" s="164"/>
      <c r="C608" s="161">
        <v>101</v>
      </c>
      <c r="D608" s="186" t="s">
        <v>817</v>
      </c>
      <c r="E608" s="163"/>
      <c r="F608" s="163">
        <v>121000</v>
      </c>
      <c r="G608" s="1746">
        <v>123387</v>
      </c>
      <c r="H608" s="598" t="s">
        <v>23</v>
      </c>
      <c r="I608" s="566"/>
      <c r="J608" s="167"/>
      <c r="K608" s="167"/>
      <c r="L608" s="167"/>
      <c r="M608" s="167"/>
      <c r="N608" s="168"/>
    </row>
    <row r="609" spans="1:16" s="1193" customFormat="1" ht="18" customHeight="1" x14ac:dyDescent="0.3">
      <c r="A609" s="583">
        <v>600</v>
      </c>
      <c r="B609" s="1188"/>
      <c r="C609" s="1189"/>
      <c r="D609" s="1213" t="s">
        <v>308</v>
      </c>
      <c r="E609" s="1191"/>
      <c r="F609" s="1191"/>
      <c r="G609" s="1748"/>
      <c r="H609" s="1192"/>
      <c r="I609" s="1183">
        <f>SUM(J609:N609)</f>
        <v>130000</v>
      </c>
      <c r="J609" s="1184"/>
      <c r="K609" s="1184"/>
      <c r="L609" s="1184">
        <v>130000</v>
      </c>
      <c r="M609" s="1184"/>
      <c r="N609" s="1185"/>
    </row>
    <row r="610" spans="1:16" s="1193" customFormat="1" ht="18" customHeight="1" x14ac:dyDescent="0.3">
      <c r="A610" s="583">
        <v>601</v>
      </c>
      <c r="B610" s="1188"/>
      <c r="C610" s="1189"/>
      <c r="D610" s="1329" t="s">
        <v>1158</v>
      </c>
      <c r="E610" s="1191"/>
      <c r="F610" s="1191"/>
      <c r="G610" s="1748"/>
      <c r="H610" s="1192"/>
      <c r="I610" s="566">
        <f t="shared" ref="I610" si="150">SUM(J610:N610)</f>
        <v>149113</v>
      </c>
      <c r="J610" s="1184"/>
      <c r="K610" s="1184"/>
      <c r="L610" s="443">
        <v>149113</v>
      </c>
      <c r="M610" s="1184"/>
      <c r="N610" s="1185"/>
    </row>
    <row r="611" spans="1:16" s="1193" customFormat="1" ht="18" customHeight="1" x14ac:dyDescent="0.3">
      <c r="A611" s="583">
        <v>602</v>
      </c>
      <c r="B611" s="1188"/>
      <c r="C611" s="1189"/>
      <c r="D611" s="1328" t="s">
        <v>969</v>
      </c>
      <c r="E611" s="1191"/>
      <c r="F611" s="1191"/>
      <c r="G611" s="1748"/>
      <c r="H611" s="1192"/>
      <c r="I611" s="1321">
        <f t="shared" ref="I611:I612" si="151">SUM(J611:N611)</f>
        <v>0</v>
      </c>
      <c r="J611" s="443"/>
      <c r="K611" s="443"/>
      <c r="L611" s="184"/>
      <c r="M611" s="443"/>
      <c r="N611" s="439"/>
    </row>
    <row r="612" spans="1:16" s="1193" customFormat="1" ht="18" customHeight="1" x14ac:dyDescent="0.3">
      <c r="A612" s="583">
        <v>603</v>
      </c>
      <c r="B612" s="1188"/>
      <c r="C612" s="1189"/>
      <c r="D612" s="1329" t="s">
        <v>1250</v>
      </c>
      <c r="E612" s="1191"/>
      <c r="F612" s="1191"/>
      <c r="G612" s="1748"/>
      <c r="H612" s="1192"/>
      <c r="I612" s="566">
        <f t="shared" si="151"/>
        <v>149113</v>
      </c>
      <c r="J612" s="443"/>
      <c r="K612" s="443"/>
      <c r="L612" s="443">
        <f>SUM(L610:L611)</f>
        <v>149113</v>
      </c>
      <c r="M612" s="443"/>
      <c r="N612" s="439"/>
    </row>
    <row r="613" spans="1:16" s="3" customFormat="1" ht="22.5" customHeight="1" x14ac:dyDescent="0.3">
      <c r="A613" s="583">
        <v>604</v>
      </c>
      <c r="B613" s="160"/>
      <c r="C613" s="161">
        <v>102</v>
      </c>
      <c r="D613" s="577" t="s">
        <v>103</v>
      </c>
      <c r="E613" s="163">
        <v>20000</v>
      </c>
      <c r="F613" s="163">
        <v>20000</v>
      </c>
      <c r="G613" s="1746">
        <v>20000</v>
      </c>
      <c r="H613" s="598" t="s">
        <v>23</v>
      </c>
      <c r="I613" s="566"/>
      <c r="J613" s="167"/>
      <c r="K613" s="167"/>
      <c r="L613" s="167"/>
      <c r="M613" s="167"/>
      <c r="N613" s="168"/>
      <c r="P613" s="8"/>
    </row>
    <row r="614" spans="1:16" s="1193" customFormat="1" ht="18" customHeight="1" x14ac:dyDescent="0.3">
      <c r="A614" s="583">
        <v>605</v>
      </c>
      <c r="B614" s="1188"/>
      <c r="C614" s="1189"/>
      <c r="D614" s="1190" t="s">
        <v>308</v>
      </c>
      <c r="E614" s="1191"/>
      <c r="F614" s="1191"/>
      <c r="G614" s="1748"/>
      <c r="H614" s="1192"/>
      <c r="I614" s="1183">
        <f>SUM(J614:N614)</f>
        <v>17000</v>
      </c>
      <c r="J614" s="1184"/>
      <c r="K614" s="1184"/>
      <c r="L614" s="1184">
        <v>17000</v>
      </c>
      <c r="M614" s="1184"/>
      <c r="N614" s="1185"/>
    </row>
    <row r="615" spans="1:16" s="1193" customFormat="1" ht="18" customHeight="1" x14ac:dyDescent="0.3">
      <c r="A615" s="583">
        <v>606</v>
      </c>
      <c r="B615" s="1188"/>
      <c r="C615" s="1189"/>
      <c r="D615" s="576" t="s">
        <v>1158</v>
      </c>
      <c r="E615" s="1191"/>
      <c r="F615" s="1191"/>
      <c r="G615" s="1748"/>
      <c r="H615" s="1192"/>
      <c r="I615" s="566">
        <f t="shared" ref="I615:I617" si="152">SUM(J615:N615)</f>
        <v>24000</v>
      </c>
      <c r="J615" s="1184"/>
      <c r="K615" s="1184"/>
      <c r="L615" s="443">
        <v>24000</v>
      </c>
      <c r="M615" s="1184"/>
      <c r="N615" s="1185"/>
    </row>
    <row r="616" spans="1:16" s="1193" customFormat="1" ht="18" customHeight="1" x14ac:dyDescent="0.3">
      <c r="A616" s="583">
        <v>607</v>
      </c>
      <c r="B616" s="1188"/>
      <c r="C616" s="1189"/>
      <c r="D616" s="1318" t="s">
        <v>969</v>
      </c>
      <c r="E616" s="1191"/>
      <c r="F616" s="1191"/>
      <c r="G616" s="1748"/>
      <c r="H616" s="1192"/>
      <c r="I616" s="1321">
        <f t="shared" si="152"/>
        <v>0</v>
      </c>
      <c r="J616" s="443"/>
      <c r="K616" s="443"/>
      <c r="L616" s="184"/>
      <c r="M616" s="1184"/>
      <c r="N616" s="1185"/>
    </row>
    <row r="617" spans="1:16" s="1193" customFormat="1" ht="18" customHeight="1" x14ac:dyDescent="0.3">
      <c r="A617" s="583">
        <v>608</v>
      </c>
      <c r="B617" s="1188"/>
      <c r="C617" s="1189"/>
      <c r="D617" s="576" t="s">
        <v>1250</v>
      </c>
      <c r="E617" s="1191"/>
      <c r="F617" s="1191"/>
      <c r="G617" s="1748"/>
      <c r="H617" s="1192"/>
      <c r="I617" s="566">
        <f t="shared" si="152"/>
        <v>24000</v>
      </c>
      <c r="J617" s="443"/>
      <c r="K617" s="443"/>
      <c r="L617" s="443">
        <f>SUM(L615:L616)</f>
        <v>24000</v>
      </c>
      <c r="M617" s="1184"/>
      <c r="N617" s="1185"/>
    </row>
    <row r="618" spans="1:16" s="3" customFormat="1" ht="22.5" customHeight="1" x14ac:dyDescent="0.3">
      <c r="A618" s="583">
        <v>609</v>
      </c>
      <c r="B618" s="160"/>
      <c r="C618" s="161">
        <v>103</v>
      </c>
      <c r="D618" s="577" t="s">
        <v>104</v>
      </c>
      <c r="E618" s="163">
        <v>1000</v>
      </c>
      <c r="F618" s="163">
        <v>1000</v>
      </c>
      <c r="G618" s="1746">
        <v>1000</v>
      </c>
      <c r="H618" s="598" t="s">
        <v>23</v>
      </c>
      <c r="I618" s="566"/>
      <c r="J618" s="167"/>
      <c r="K618" s="167"/>
      <c r="L618" s="167"/>
      <c r="M618" s="167"/>
      <c r="N618" s="168"/>
      <c r="P618" s="8"/>
    </row>
    <row r="619" spans="1:16" s="1193" customFormat="1" ht="18" customHeight="1" x14ac:dyDescent="0.3">
      <c r="A619" s="583">
        <v>610</v>
      </c>
      <c r="B619" s="1188"/>
      <c r="C619" s="1189"/>
      <c r="D619" s="1190" t="s">
        <v>308</v>
      </c>
      <c r="E619" s="1191"/>
      <c r="F619" s="1191"/>
      <c r="G619" s="1748"/>
      <c r="H619" s="1192"/>
      <c r="I619" s="1183">
        <f>SUM(J619:N619)</f>
        <v>1020</v>
      </c>
      <c r="J619" s="1184"/>
      <c r="K619" s="1184"/>
      <c r="L619" s="1184">
        <v>1020</v>
      </c>
      <c r="M619" s="1184"/>
      <c r="N619" s="1185"/>
    </row>
    <row r="620" spans="1:16" s="1193" customFormat="1" ht="18" customHeight="1" x14ac:dyDescent="0.3">
      <c r="A620" s="583">
        <v>611</v>
      </c>
      <c r="B620" s="1188"/>
      <c r="C620" s="1189"/>
      <c r="D620" s="576" t="s">
        <v>1158</v>
      </c>
      <c r="E620" s="1191"/>
      <c r="F620" s="1191"/>
      <c r="G620" s="1748"/>
      <c r="H620" s="1192"/>
      <c r="I620" s="566">
        <f t="shared" ref="I620:I622" si="153">SUM(J620:N620)</f>
        <v>1020</v>
      </c>
      <c r="J620" s="1184"/>
      <c r="K620" s="1184"/>
      <c r="L620" s="443">
        <v>1020</v>
      </c>
      <c r="M620" s="1184"/>
      <c r="N620" s="1185"/>
    </row>
    <row r="621" spans="1:16" s="1193" customFormat="1" ht="18" customHeight="1" x14ac:dyDescent="0.3">
      <c r="A621" s="583">
        <v>612</v>
      </c>
      <c r="B621" s="1188"/>
      <c r="C621" s="1189"/>
      <c r="D621" s="1318" t="s">
        <v>947</v>
      </c>
      <c r="E621" s="1191"/>
      <c r="F621" s="1191"/>
      <c r="G621" s="1748"/>
      <c r="H621" s="1192"/>
      <c r="I621" s="1321">
        <f t="shared" si="153"/>
        <v>0</v>
      </c>
      <c r="J621" s="443"/>
      <c r="K621" s="443"/>
      <c r="L621" s="443"/>
      <c r="M621" s="1184"/>
      <c r="N621" s="1185"/>
    </row>
    <row r="622" spans="1:16" s="1193" customFormat="1" ht="18" customHeight="1" x14ac:dyDescent="0.3">
      <c r="A622" s="583">
        <v>613</v>
      </c>
      <c r="B622" s="1188"/>
      <c r="C622" s="1189"/>
      <c r="D622" s="576" t="s">
        <v>1250</v>
      </c>
      <c r="E622" s="1191"/>
      <c r="F622" s="1191"/>
      <c r="G622" s="1748"/>
      <c r="H622" s="1192"/>
      <c r="I622" s="566">
        <f t="shared" si="153"/>
        <v>1020</v>
      </c>
      <c r="J622" s="443"/>
      <c r="K622" s="443"/>
      <c r="L622" s="443">
        <f>SUM(L620:L621)</f>
        <v>1020</v>
      </c>
      <c r="M622" s="1184"/>
      <c r="N622" s="1185"/>
    </row>
    <row r="623" spans="1:16" s="3" customFormat="1" ht="22.5" customHeight="1" x14ac:dyDescent="0.3">
      <c r="A623" s="583">
        <v>614</v>
      </c>
      <c r="B623" s="160"/>
      <c r="C623" s="161">
        <v>104</v>
      </c>
      <c r="D623" s="577" t="s">
        <v>105</v>
      </c>
      <c r="E623" s="163">
        <v>1851</v>
      </c>
      <c r="F623" s="163">
        <v>5000</v>
      </c>
      <c r="G623" s="1746">
        <v>2889</v>
      </c>
      <c r="H623" s="598" t="s">
        <v>23</v>
      </c>
      <c r="I623" s="566"/>
      <c r="J623" s="167"/>
      <c r="K623" s="167"/>
      <c r="L623" s="167"/>
      <c r="M623" s="167"/>
      <c r="N623" s="168"/>
      <c r="P623" s="8"/>
    </row>
    <row r="624" spans="1:16" s="1193" customFormat="1" ht="18" customHeight="1" x14ac:dyDescent="0.3">
      <c r="A624" s="583">
        <v>615</v>
      </c>
      <c r="B624" s="1188"/>
      <c r="C624" s="1189"/>
      <c r="D624" s="1190" t="s">
        <v>308</v>
      </c>
      <c r="E624" s="1191"/>
      <c r="F624" s="1191"/>
      <c r="G624" s="1748"/>
      <c r="H624" s="1192"/>
      <c r="I624" s="1183">
        <f>SUM(J624:N624)</f>
        <v>4250</v>
      </c>
      <c r="J624" s="1184"/>
      <c r="K624" s="1184"/>
      <c r="L624" s="1184">
        <v>4250</v>
      </c>
      <c r="M624" s="1184"/>
      <c r="N624" s="1185"/>
    </row>
    <row r="625" spans="1:16" s="1193" customFormat="1" ht="18" customHeight="1" x14ac:dyDescent="0.3">
      <c r="A625" s="583">
        <v>616</v>
      </c>
      <c r="B625" s="1188"/>
      <c r="C625" s="1189"/>
      <c r="D625" s="576" t="s">
        <v>1158</v>
      </c>
      <c r="E625" s="1191"/>
      <c r="F625" s="1191"/>
      <c r="G625" s="1748"/>
      <c r="H625" s="1192"/>
      <c r="I625" s="566">
        <f t="shared" ref="I625:I627" si="154">SUM(J625:N625)</f>
        <v>4361</v>
      </c>
      <c r="J625" s="1184"/>
      <c r="K625" s="1184"/>
      <c r="L625" s="443">
        <v>4361</v>
      </c>
      <c r="M625" s="1184"/>
      <c r="N625" s="1185"/>
    </row>
    <row r="626" spans="1:16" s="1193" customFormat="1" ht="18" customHeight="1" x14ac:dyDescent="0.3">
      <c r="A626" s="583">
        <v>617</v>
      </c>
      <c r="B626" s="1188"/>
      <c r="C626" s="1189"/>
      <c r="D626" s="1318" t="s">
        <v>947</v>
      </c>
      <c r="E626" s="1191"/>
      <c r="F626" s="1191"/>
      <c r="G626" s="1748"/>
      <c r="H626" s="1192"/>
      <c r="I626" s="1321">
        <f t="shared" si="154"/>
        <v>0</v>
      </c>
      <c r="J626" s="443"/>
      <c r="K626" s="443"/>
      <c r="L626" s="184"/>
      <c r="M626" s="1184"/>
      <c r="N626" s="1185"/>
    </row>
    <row r="627" spans="1:16" s="1193" customFormat="1" ht="18" customHeight="1" x14ac:dyDescent="0.3">
      <c r="A627" s="583">
        <v>618</v>
      </c>
      <c r="B627" s="1188"/>
      <c r="C627" s="1189"/>
      <c r="D627" s="576" t="s">
        <v>1250</v>
      </c>
      <c r="E627" s="1191"/>
      <c r="F627" s="1191"/>
      <c r="G627" s="1748"/>
      <c r="H627" s="1192"/>
      <c r="I627" s="566">
        <f t="shared" si="154"/>
        <v>4361</v>
      </c>
      <c r="J627" s="443"/>
      <c r="K627" s="443"/>
      <c r="L627" s="443">
        <f>SUM(L625:L626)</f>
        <v>4361</v>
      </c>
      <c r="M627" s="1184"/>
      <c r="N627" s="1185"/>
    </row>
    <row r="628" spans="1:16" s="3" customFormat="1" ht="22.5" customHeight="1" x14ac:dyDescent="0.3">
      <c r="A628" s="583">
        <v>619</v>
      </c>
      <c r="B628" s="160"/>
      <c r="C628" s="161">
        <v>105</v>
      </c>
      <c r="D628" s="577" t="s">
        <v>106</v>
      </c>
      <c r="E628" s="163">
        <v>13221</v>
      </c>
      <c r="F628" s="163">
        <v>20000</v>
      </c>
      <c r="G628" s="1746">
        <v>13710</v>
      </c>
      <c r="H628" s="598" t="s">
        <v>23</v>
      </c>
      <c r="I628" s="566"/>
      <c r="J628" s="167"/>
      <c r="K628" s="167"/>
      <c r="L628" s="167"/>
      <c r="M628" s="167"/>
      <c r="N628" s="168"/>
      <c r="P628" s="8"/>
    </row>
    <row r="629" spans="1:16" s="1193" customFormat="1" ht="18" customHeight="1" x14ac:dyDescent="0.3">
      <c r="A629" s="583">
        <v>620</v>
      </c>
      <c r="B629" s="1188"/>
      <c r="C629" s="1189"/>
      <c r="D629" s="1190" t="s">
        <v>308</v>
      </c>
      <c r="E629" s="1191"/>
      <c r="F629" s="1191"/>
      <c r="G629" s="1748"/>
      <c r="H629" s="1192"/>
      <c r="I629" s="1183">
        <f>SUM(J629:N629)</f>
        <v>17000</v>
      </c>
      <c r="J629" s="1184"/>
      <c r="K629" s="1184"/>
      <c r="L629" s="1184">
        <v>17000</v>
      </c>
      <c r="M629" s="1184"/>
      <c r="N629" s="1185"/>
    </row>
    <row r="630" spans="1:16" s="1193" customFormat="1" ht="18" customHeight="1" x14ac:dyDescent="0.3">
      <c r="A630" s="583">
        <v>621</v>
      </c>
      <c r="B630" s="1188"/>
      <c r="C630" s="1189"/>
      <c r="D630" s="576" t="s">
        <v>1158</v>
      </c>
      <c r="E630" s="1191"/>
      <c r="F630" s="1191"/>
      <c r="G630" s="1748"/>
      <c r="H630" s="1192"/>
      <c r="I630" s="566">
        <f t="shared" ref="I630:I632" si="155">SUM(J630:N630)</f>
        <v>31669</v>
      </c>
      <c r="J630" s="1184"/>
      <c r="K630" s="1184"/>
      <c r="L630" s="443">
        <v>31669</v>
      </c>
      <c r="M630" s="1184"/>
      <c r="N630" s="1185"/>
    </row>
    <row r="631" spans="1:16" s="1193" customFormat="1" ht="18" customHeight="1" x14ac:dyDescent="0.3">
      <c r="A631" s="583">
        <v>622</v>
      </c>
      <c r="B631" s="1188"/>
      <c r="C631" s="1189"/>
      <c r="D631" s="1318" t="s">
        <v>970</v>
      </c>
      <c r="E631" s="1191"/>
      <c r="F631" s="1191"/>
      <c r="G631" s="1748"/>
      <c r="H631" s="1192"/>
      <c r="I631" s="1321">
        <f t="shared" si="155"/>
        <v>-665</v>
      </c>
      <c r="J631" s="443"/>
      <c r="K631" s="443"/>
      <c r="L631" s="184">
        <v>-665</v>
      </c>
      <c r="M631" s="1184"/>
      <c r="N631" s="1185"/>
    </row>
    <row r="632" spans="1:16" s="1193" customFormat="1" ht="18" customHeight="1" x14ac:dyDescent="0.3">
      <c r="A632" s="583">
        <v>623</v>
      </c>
      <c r="B632" s="1188"/>
      <c r="C632" s="1189"/>
      <c r="D632" s="576" t="s">
        <v>1250</v>
      </c>
      <c r="E632" s="1191"/>
      <c r="F632" s="1191"/>
      <c r="G632" s="1748"/>
      <c r="H632" s="1192"/>
      <c r="I632" s="566">
        <f t="shared" si="155"/>
        <v>31004</v>
      </c>
      <c r="J632" s="443"/>
      <c r="K632" s="443"/>
      <c r="L632" s="443">
        <f>SUM(L630:L631)</f>
        <v>31004</v>
      </c>
      <c r="M632" s="1184"/>
      <c r="N632" s="1185"/>
    </row>
    <row r="633" spans="1:16" s="3" customFormat="1" ht="22.5" customHeight="1" x14ac:dyDescent="0.3">
      <c r="A633" s="583">
        <v>624</v>
      </c>
      <c r="B633" s="160"/>
      <c r="C633" s="161">
        <v>106</v>
      </c>
      <c r="D633" s="577" t="s">
        <v>107</v>
      </c>
      <c r="E633" s="163">
        <v>160341</v>
      </c>
      <c r="F633" s="163">
        <v>170000</v>
      </c>
      <c r="G633" s="1746">
        <v>189414</v>
      </c>
      <c r="H633" s="598" t="s">
        <v>23</v>
      </c>
      <c r="I633" s="566"/>
      <c r="J633" s="167"/>
      <c r="K633" s="167"/>
      <c r="L633" s="167"/>
      <c r="M633" s="167"/>
      <c r="N633" s="168"/>
      <c r="P633" s="8"/>
    </row>
    <row r="634" spans="1:16" s="1193" customFormat="1" ht="18" customHeight="1" x14ac:dyDescent="0.3">
      <c r="A634" s="583">
        <v>625</v>
      </c>
      <c r="B634" s="1188"/>
      <c r="C634" s="1189"/>
      <c r="D634" s="1190" t="s">
        <v>308</v>
      </c>
      <c r="E634" s="1191"/>
      <c r="F634" s="1191"/>
      <c r="G634" s="1748"/>
      <c r="H634" s="1192"/>
      <c r="I634" s="1183">
        <f>SUM(J634:N634)</f>
        <v>191250</v>
      </c>
      <c r="J634" s="1184"/>
      <c r="K634" s="1184"/>
      <c r="L634" s="1184">
        <v>191250</v>
      </c>
      <c r="M634" s="1184"/>
      <c r="N634" s="1185"/>
    </row>
    <row r="635" spans="1:16" s="1193" customFormat="1" ht="18" customHeight="1" x14ac:dyDescent="0.3">
      <c r="A635" s="583">
        <v>626</v>
      </c>
      <c r="B635" s="1188"/>
      <c r="C635" s="1189"/>
      <c r="D635" s="576" t="s">
        <v>1158</v>
      </c>
      <c r="E635" s="1191"/>
      <c r="F635" s="1191"/>
      <c r="G635" s="1748"/>
      <c r="H635" s="1192"/>
      <c r="I635" s="566">
        <f t="shared" ref="I635:I637" si="156">SUM(J635:N635)</f>
        <v>225000</v>
      </c>
      <c r="J635" s="1184"/>
      <c r="K635" s="1184"/>
      <c r="L635" s="443">
        <v>225000</v>
      </c>
      <c r="M635" s="1184"/>
      <c r="N635" s="1185"/>
    </row>
    <row r="636" spans="1:16" s="1193" customFormat="1" ht="18" customHeight="1" x14ac:dyDescent="0.3">
      <c r="A636" s="583">
        <v>627</v>
      </c>
      <c r="B636" s="1188"/>
      <c r="C636" s="1189"/>
      <c r="D636" s="1318" t="s">
        <v>970</v>
      </c>
      <c r="E636" s="1191"/>
      <c r="F636" s="1191"/>
      <c r="G636" s="1748"/>
      <c r="H636" s="1192"/>
      <c r="I636" s="1321">
        <f t="shared" si="156"/>
        <v>665</v>
      </c>
      <c r="J636" s="443"/>
      <c r="K636" s="443"/>
      <c r="L636" s="184">
        <v>665</v>
      </c>
      <c r="M636" s="1184"/>
      <c r="N636" s="1185"/>
    </row>
    <row r="637" spans="1:16" s="1193" customFormat="1" ht="18" customHeight="1" x14ac:dyDescent="0.3">
      <c r="A637" s="583">
        <v>628</v>
      </c>
      <c r="B637" s="1188"/>
      <c r="C637" s="1189"/>
      <c r="D637" s="576" t="s">
        <v>1250</v>
      </c>
      <c r="E637" s="1191"/>
      <c r="F637" s="1191"/>
      <c r="G637" s="1748"/>
      <c r="H637" s="1192"/>
      <c r="I637" s="566">
        <f t="shared" si="156"/>
        <v>225665</v>
      </c>
      <c r="J637" s="443"/>
      <c r="K637" s="443"/>
      <c r="L637" s="443">
        <f>SUM(L635:L636)</f>
        <v>225665</v>
      </c>
      <c r="M637" s="1184"/>
      <c r="N637" s="1185"/>
    </row>
    <row r="638" spans="1:16" s="3" customFormat="1" ht="22.5" customHeight="1" x14ac:dyDescent="0.3">
      <c r="A638" s="583">
        <v>629</v>
      </c>
      <c r="B638" s="160"/>
      <c r="C638" s="161">
        <v>107</v>
      </c>
      <c r="D638" s="577" t="s">
        <v>108</v>
      </c>
      <c r="E638" s="163">
        <v>4681</v>
      </c>
      <c r="F638" s="163">
        <v>5000</v>
      </c>
      <c r="G638" s="1746">
        <v>3526</v>
      </c>
      <c r="H638" s="598" t="s">
        <v>23</v>
      </c>
      <c r="I638" s="566"/>
      <c r="J638" s="167"/>
      <c r="K638" s="167"/>
      <c r="L638" s="167"/>
      <c r="M638" s="167"/>
      <c r="N638" s="168"/>
      <c r="P638" s="8"/>
    </row>
    <row r="639" spans="1:16" s="1193" customFormat="1" ht="18" customHeight="1" x14ac:dyDescent="0.3">
      <c r="A639" s="583">
        <v>630</v>
      </c>
      <c r="B639" s="1188"/>
      <c r="C639" s="1189"/>
      <c r="D639" s="1190" t="s">
        <v>308</v>
      </c>
      <c r="E639" s="1191"/>
      <c r="F639" s="1191"/>
      <c r="G639" s="1748"/>
      <c r="H639" s="1192"/>
      <c r="I639" s="1183">
        <f>SUM(J639:N639)</f>
        <v>4250</v>
      </c>
      <c r="J639" s="1184"/>
      <c r="K639" s="1184"/>
      <c r="L639" s="1184">
        <v>4250</v>
      </c>
      <c r="M639" s="1184"/>
      <c r="N639" s="1185"/>
    </row>
    <row r="640" spans="1:16" s="1193" customFormat="1" ht="18" customHeight="1" x14ac:dyDescent="0.3">
      <c r="A640" s="583">
        <v>631</v>
      </c>
      <c r="B640" s="1188"/>
      <c r="C640" s="1189"/>
      <c r="D640" s="576" t="s">
        <v>1158</v>
      </c>
      <c r="E640" s="1191"/>
      <c r="F640" s="1191"/>
      <c r="G640" s="1748"/>
      <c r="H640" s="1192"/>
      <c r="I640" s="566">
        <f t="shared" ref="I640:I642" si="157">SUM(J640:N640)</f>
        <v>7883</v>
      </c>
      <c r="J640" s="1184"/>
      <c r="K640" s="1184"/>
      <c r="L640" s="443">
        <v>7883</v>
      </c>
      <c r="M640" s="1184"/>
      <c r="N640" s="1185"/>
    </row>
    <row r="641" spans="1:16" s="1193" customFormat="1" ht="18" customHeight="1" x14ac:dyDescent="0.3">
      <c r="A641" s="583">
        <v>632</v>
      </c>
      <c r="B641" s="1188"/>
      <c r="C641" s="1189"/>
      <c r="D641" s="1318" t="s">
        <v>969</v>
      </c>
      <c r="E641" s="1191"/>
      <c r="F641" s="1191"/>
      <c r="G641" s="1748"/>
      <c r="H641" s="1192"/>
      <c r="I641" s="1321">
        <f t="shared" si="157"/>
        <v>0</v>
      </c>
      <c r="J641" s="443"/>
      <c r="K641" s="443"/>
      <c r="L641" s="184"/>
      <c r="M641" s="1184"/>
      <c r="N641" s="1185"/>
    </row>
    <row r="642" spans="1:16" s="1193" customFormat="1" ht="18" customHeight="1" x14ac:dyDescent="0.3">
      <c r="A642" s="583">
        <v>633</v>
      </c>
      <c r="B642" s="1188"/>
      <c r="C642" s="1189"/>
      <c r="D642" s="576" t="s">
        <v>1250</v>
      </c>
      <c r="E642" s="1191"/>
      <c r="F642" s="1191"/>
      <c r="G642" s="1748"/>
      <c r="H642" s="1192"/>
      <c r="I642" s="566">
        <f t="shared" si="157"/>
        <v>7883</v>
      </c>
      <c r="J642" s="443"/>
      <c r="K642" s="443"/>
      <c r="L642" s="443">
        <f>SUM(L640:L641)</f>
        <v>7883</v>
      </c>
      <c r="M642" s="1184"/>
      <c r="N642" s="1185"/>
    </row>
    <row r="643" spans="1:16" s="3" customFormat="1" ht="22.5" customHeight="1" x14ac:dyDescent="0.3">
      <c r="A643" s="583">
        <v>634</v>
      </c>
      <c r="B643" s="160"/>
      <c r="C643" s="161">
        <v>108</v>
      </c>
      <c r="D643" s="577" t="s">
        <v>109</v>
      </c>
      <c r="E643" s="163">
        <v>2677</v>
      </c>
      <c r="F643" s="163">
        <v>6000</v>
      </c>
      <c r="G643" s="1746">
        <v>4382</v>
      </c>
      <c r="H643" s="598" t="s">
        <v>23</v>
      </c>
      <c r="I643" s="566"/>
      <c r="J643" s="167"/>
      <c r="K643" s="167"/>
      <c r="L643" s="167"/>
      <c r="M643" s="167"/>
      <c r="N643" s="168"/>
      <c r="P643" s="8"/>
    </row>
    <row r="644" spans="1:16" s="1193" customFormat="1" ht="18" customHeight="1" x14ac:dyDescent="0.3">
      <c r="A644" s="583">
        <v>635</v>
      </c>
      <c r="B644" s="1188"/>
      <c r="C644" s="1189"/>
      <c r="D644" s="1190" t="s">
        <v>308</v>
      </c>
      <c r="E644" s="1191"/>
      <c r="F644" s="1191"/>
      <c r="G644" s="1748"/>
      <c r="H644" s="1192"/>
      <c r="I644" s="1183">
        <f>SUM(J644:N644)</f>
        <v>5100</v>
      </c>
      <c r="J644" s="1184"/>
      <c r="K644" s="1184"/>
      <c r="L644" s="1184">
        <v>5100</v>
      </c>
      <c r="M644" s="1184"/>
      <c r="N644" s="1185"/>
    </row>
    <row r="645" spans="1:16" s="1193" customFormat="1" ht="18" customHeight="1" x14ac:dyDescent="0.3">
      <c r="A645" s="583">
        <v>636</v>
      </c>
      <c r="B645" s="1188"/>
      <c r="C645" s="1189"/>
      <c r="D645" s="576" t="s">
        <v>1158</v>
      </c>
      <c r="E645" s="1191"/>
      <c r="F645" s="1191"/>
      <c r="G645" s="1748"/>
      <c r="H645" s="1192"/>
      <c r="I645" s="566">
        <f t="shared" ref="I645:I647" si="158">SUM(J645:N645)</f>
        <v>6098</v>
      </c>
      <c r="J645" s="1184"/>
      <c r="K645" s="1184"/>
      <c r="L645" s="443">
        <v>6098</v>
      </c>
      <c r="M645" s="1184"/>
      <c r="N645" s="1185"/>
    </row>
    <row r="646" spans="1:16" s="1193" customFormat="1" ht="18" customHeight="1" x14ac:dyDescent="0.3">
      <c r="A646" s="583">
        <v>637</v>
      </c>
      <c r="B646" s="1188"/>
      <c r="C646" s="1189"/>
      <c r="D646" s="1318" t="s">
        <v>969</v>
      </c>
      <c r="E646" s="1191"/>
      <c r="F646" s="1191"/>
      <c r="G646" s="1748"/>
      <c r="H646" s="1192"/>
      <c r="I646" s="1321">
        <f t="shared" si="158"/>
        <v>0</v>
      </c>
      <c r="J646" s="443"/>
      <c r="K646" s="443"/>
      <c r="L646" s="184"/>
      <c r="M646" s="1184"/>
      <c r="N646" s="1185"/>
    </row>
    <row r="647" spans="1:16" s="1193" customFormat="1" ht="18" customHeight="1" x14ac:dyDescent="0.3">
      <c r="A647" s="583">
        <v>638</v>
      </c>
      <c r="B647" s="1188"/>
      <c r="C647" s="1189"/>
      <c r="D647" s="576" t="s">
        <v>1250</v>
      </c>
      <c r="E647" s="1191"/>
      <c r="F647" s="1191"/>
      <c r="G647" s="1748"/>
      <c r="H647" s="1192"/>
      <c r="I647" s="566">
        <f t="shared" si="158"/>
        <v>6098</v>
      </c>
      <c r="J647" s="443"/>
      <c r="K647" s="443"/>
      <c r="L647" s="443">
        <f>SUM(L645:L646)</f>
        <v>6098</v>
      </c>
      <c r="M647" s="1184"/>
      <c r="N647" s="1185"/>
    </row>
    <row r="648" spans="1:16" s="3" customFormat="1" ht="22.5" customHeight="1" x14ac:dyDescent="0.3">
      <c r="A648" s="583">
        <v>639</v>
      </c>
      <c r="B648" s="160"/>
      <c r="C648" s="161">
        <v>109</v>
      </c>
      <c r="D648" s="577" t="s">
        <v>110</v>
      </c>
      <c r="E648" s="163">
        <v>1956</v>
      </c>
      <c r="F648" s="163">
        <v>1000</v>
      </c>
      <c r="G648" s="1746">
        <v>36</v>
      </c>
      <c r="H648" s="598" t="s">
        <v>23</v>
      </c>
      <c r="I648" s="566"/>
      <c r="J648" s="167"/>
      <c r="K648" s="167"/>
      <c r="L648" s="167"/>
      <c r="M648" s="167"/>
      <c r="N648" s="168"/>
      <c r="P648" s="8"/>
    </row>
    <row r="649" spans="1:16" s="1193" customFormat="1" ht="18" customHeight="1" x14ac:dyDescent="0.3">
      <c r="A649" s="583">
        <v>640</v>
      </c>
      <c r="B649" s="1188"/>
      <c r="C649" s="1189"/>
      <c r="D649" s="1190" t="s">
        <v>308</v>
      </c>
      <c r="E649" s="1191"/>
      <c r="F649" s="1191"/>
      <c r="G649" s="1748"/>
      <c r="H649" s="1192"/>
      <c r="I649" s="1183">
        <f>SUM(J649:N649)</f>
        <v>850</v>
      </c>
      <c r="J649" s="1184"/>
      <c r="K649" s="1184"/>
      <c r="L649" s="1184">
        <v>850</v>
      </c>
      <c r="M649" s="1184"/>
      <c r="N649" s="1185"/>
    </row>
    <row r="650" spans="1:16" s="1193" customFormat="1" ht="18" customHeight="1" x14ac:dyDescent="0.3">
      <c r="A650" s="583">
        <v>641</v>
      </c>
      <c r="B650" s="1188"/>
      <c r="C650" s="1189"/>
      <c r="D650" s="576" t="s">
        <v>1158</v>
      </c>
      <c r="E650" s="1191"/>
      <c r="F650" s="1191"/>
      <c r="G650" s="1748"/>
      <c r="H650" s="1192"/>
      <c r="I650" s="566">
        <f t="shared" ref="I650:I652" si="159">SUM(J650:N650)</f>
        <v>850</v>
      </c>
      <c r="J650" s="1184"/>
      <c r="K650" s="1184"/>
      <c r="L650" s="443">
        <v>850</v>
      </c>
      <c r="M650" s="1184"/>
      <c r="N650" s="1185"/>
    </row>
    <row r="651" spans="1:16" s="1193" customFormat="1" ht="18" customHeight="1" x14ac:dyDescent="0.3">
      <c r="A651" s="583">
        <v>642</v>
      </c>
      <c r="B651" s="1188"/>
      <c r="C651" s="1189"/>
      <c r="D651" s="1318" t="s">
        <v>947</v>
      </c>
      <c r="E651" s="1191"/>
      <c r="F651" s="1191"/>
      <c r="G651" s="1748"/>
      <c r="H651" s="1192"/>
      <c r="I651" s="1321">
        <f t="shared" si="159"/>
        <v>0</v>
      </c>
      <c r="J651" s="443"/>
      <c r="K651" s="443"/>
      <c r="L651" s="443"/>
      <c r="M651" s="1184"/>
      <c r="N651" s="1185"/>
    </row>
    <row r="652" spans="1:16" s="1193" customFormat="1" ht="18" customHeight="1" x14ac:dyDescent="0.3">
      <c r="A652" s="583">
        <v>643</v>
      </c>
      <c r="B652" s="1188"/>
      <c r="C652" s="1189"/>
      <c r="D652" s="576" t="s">
        <v>1250</v>
      </c>
      <c r="E652" s="1191"/>
      <c r="F652" s="1191"/>
      <c r="G652" s="1748"/>
      <c r="H652" s="1192"/>
      <c r="I652" s="566">
        <f t="shared" si="159"/>
        <v>850</v>
      </c>
      <c r="J652" s="443"/>
      <c r="K652" s="443"/>
      <c r="L652" s="443">
        <f>SUM(L650:L651)</f>
        <v>850</v>
      </c>
      <c r="M652" s="1184"/>
      <c r="N652" s="1185"/>
    </row>
    <row r="653" spans="1:16" s="3" customFormat="1" ht="22.5" customHeight="1" x14ac:dyDescent="0.3">
      <c r="A653" s="583">
        <v>644</v>
      </c>
      <c r="B653" s="160"/>
      <c r="C653" s="161">
        <v>110</v>
      </c>
      <c r="D653" s="581" t="s">
        <v>314</v>
      </c>
      <c r="E653" s="163">
        <v>56649</v>
      </c>
      <c r="F653" s="163">
        <v>65620</v>
      </c>
      <c r="G653" s="1746">
        <v>59551</v>
      </c>
      <c r="H653" s="598" t="s">
        <v>23</v>
      </c>
      <c r="I653" s="566"/>
      <c r="J653" s="167"/>
      <c r="K653" s="167"/>
      <c r="L653" s="167"/>
      <c r="M653" s="167"/>
      <c r="N653" s="168"/>
      <c r="P653" s="8"/>
    </row>
    <row r="654" spans="1:16" s="1193" customFormat="1" ht="18" customHeight="1" x14ac:dyDescent="0.3">
      <c r="A654" s="583">
        <v>645</v>
      </c>
      <c r="B654" s="1188"/>
      <c r="C654" s="1189"/>
      <c r="D654" s="1190" t="s">
        <v>308</v>
      </c>
      <c r="E654" s="1191"/>
      <c r="F654" s="1191"/>
      <c r="G654" s="1748"/>
      <c r="H654" s="1192"/>
      <c r="I654" s="1183">
        <f>SUM(J654:N654)</f>
        <v>65195</v>
      </c>
      <c r="J654" s="1184"/>
      <c r="K654" s="1184"/>
      <c r="L654" s="1184">
        <v>65195</v>
      </c>
      <c r="M654" s="1184"/>
      <c r="N654" s="1185"/>
    </row>
    <row r="655" spans="1:16" s="1193" customFormat="1" ht="18" customHeight="1" x14ac:dyDescent="0.3">
      <c r="A655" s="583">
        <v>646</v>
      </c>
      <c r="B655" s="1188"/>
      <c r="C655" s="1189"/>
      <c r="D655" s="576" t="s">
        <v>1158</v>
      </c>
      <c r="E655" s="1191"/>
      <c r="F655" s="1191"/>
      <c r="G655" s="1748"/>
      <c r="H655" s="1192"/>
      <c r="I655" s="566">
        <f t="shared" ref="I655:I657" si="160">SUM(J655:N655)</f>
        <v>68769</v>
      </c>
      <c r="J655" s="1184"/>
      <c r="K655" s="1184"/>
      <c r="L655" s="443">
        <v>68769</v>
      </c>
      <c r="M655" s="1184"/>
      <c r="N655" s="1185"/>
    </row>
    <row r="656" spans="1:16" s="1193" customFormat="1" ht="18" customHeight="1" x14ac:dyDescent="0.3">
      <c r="A656" s="583">
        <v>647</v>
      </c>
      <c r="B656" s="1188"/>
      <c r="C656" s="1189"/>
      <c r="D656" s="1318" t="s">
        <v>969</v>
      </c>
      <c r="E656" s="1191"/>
      <c r="F656" s="1191"/>
      <c r="G656" s="1748"/>
      <c r="H656" s="1192"/>
      <c r="I656" s="1321">
        <f t="shared" si="160"/>
        <v>0</v>
      </c>
      <c r="J656" s="443"/>
      <c r="K656" s="443"/>
      <c r="L656" s="184"/>
      <c r="M656" s="1184"/>
      <c r="N656" s="1185"/>
    </row>
    <row r="657" spans="1:16" s="1193" customFormat="1" ht="18" customHeight="1" x14ac:dyDescent="0.3">
      <c r="A657" s="583">
        <v>648</v>
      </c>
      <c r="B657" s="1188"/>
      <c r="C657" s="1189"/>
      <c r="D657" s="576" t="s">
        <v>1250</v>
      </c>
      <c r="E657" s="1191"/>
      <c r="F657" s="1191"/>
      <c r="G657" s="1748"/>
      <c r="H657" s="1192"/>
      <c r="I657" s="566">
        <f t="shared" si="160"/>
        <v>68769</v>
      </c>
      <c r="J657" s="443"/>
      <c r="K657" s="443"/>
      <c r="L657" s="443">
        <f>SUM(L655:L656)</f>
        <v>68769</v>
      </c>
      <c r="M657" s="1184"/>
      <c r="N657" s="1185"/>
    </row>
    <row r="658" spans="1:16" s="3" customFormat="1" ht="22.5" customHeight="1" x14ac:dyDescent="0.3">
      <c r="A658" s="583">
        <v>649</v>
      </c>
      <c r="B658" s="160"/>
      <c r="C658" s="161">
        <v>111</v>
      </c>
      <c r="D658" s="581" t="s">
        <v>818</v>
      </c>
      <c r="E658" s="163">
        <v>56400</v>
      </c>
      <c r="F658" s="163">
        <v>61048</v>
      </c>
      <c r="G658" s="1746">
        <v>60900</v>
      </c>
      <c r="H658" s="598" t="s">
        <v>23</v>
      </c>
      <c r="I658" s="566"/>
      <c r="J658" s="167"/>
      <c r="K658" s="167"/>
      <c r="L658" s="167"/>
      <c r="M658" s="167"/>
      <c r="N658" s="168"/>
      <c r="P658" s="8"/>
    </row>
    <row r="659" spans="1:16" s="1193" customFormat="1" ht="18" customHeight="1" x14ac:dyDescent="0.3">
      <c r="A659" s="583">
        <v>650</v>
      </c>
      <c r="B659" s="1188"/>
      <c r="C659" s="1189"/>
      <c r="D659" s="1190" t="s">
        <v>308</v>
      </c>
      <c r="E659" s="1191"/>
      <c r="F659" s="1191"/>
      <c r="G659" s="1748"/>
      <c r="H659" s="1192"/>
      <c r="I659" s="1183">
        <f>SUM(J659:N659)</f>
        <v>57501</v>
      </c>
      <c r="J659" s="1184"/>
      <c r="K659" s="1184"/>
      <c r="L659" s="1184">
        <v>57501</v>
      </c>
      <c r="M659" s="1184"/>
      <c r="N659" s="1185"/>
    </row>
    <row r="660" spans="1:16" s="1193" customFormat="1" ht="18" customHeight="1" x14ac:dyDescent="0.3">
      <c r="A660" s="583">
        <v>651</v>
      </c>
      <c r="B660" s="1188"/>
      <c r="C660" s="1189"/>
      <c r="D660" s="576" t="s">
        <v>1158</v>
      </c>
      <c r="E660" s="1191"/>
      <c r="F660" s="1191"/>
      <c r="G660" s="1748"/>
      <c r="H660" s="1192"/>
      <c r="I660" s="566">
        <f t="shared" ref="I660:I662" si="161">SUM(J660:N660)</f>
        <v>60549</v>
      </c>
      <c r="J660" s="1184"/>
      <c r="K660" s="1184"/>
      <c r="L660" s="443">
        <v>60549</v>
      </c>
      <c r="M660" s="1184"/>
      <c r="N660" s="1185"/>
    </row>
    <row r="661" spans="1:16" s="1193" customFormat="1" ht="18" customHeight="1" x14ac:dyDescent="0.3">
      <c r="A661" s="583">
        <v>652</v>
      </c>
      <c r="B661" s="1188"/>
      <c r="C661" s="1189"/>
      <c r="D661" s="1318" t="s">
        <v>969</v>
      </c>
      <c r="E661" s="1191"/>
      <c r="F661" s="1191"/>
      <c r="G661" s="1748"/>
      <c r="H661" s="1192"/>
      <c r="I661" s="1321">
        <f t="shared" si="161"/>
        <v>0</v>
      </c>
      <c r="J661" s="443"/>
      <c r="K661" s="443"/>
      <c r="L661" s="184"/>
      <c r="M661" s="1184"/>
      <c r="N661" s="1185"/>
    </row>
    <row r="662" spans="1:16" s="1193" customFormat="1" ht="18" customHeight="1" x14ac:dyDescent="0.3">
      <c r="A662" s="583">
        <v>653</v>
      </c>
      <c r="B662" s="1188"/>
      <c r="C662" s="1189"/>
      <c r="D662" s="576" t="s">
        <v>1250</v>
      </c>
      <c r="E662" s="1191"/>
      <c r="F662" s="1191"/>
      <c r="G662" s="1748"/>
      <c r="H662" s="1192"/>
      <c r="I662" s="566">
        <f t="shared" si="161"/>
        <v>60549</v>
      </c>
      <c r="J662" s="443"/>
      <c r="K662" s="443"/>
      <c r="L662" s="443">
        <f>SUM(L660:L661)</f>
        <v>60549</v>
      </c>
      <c r="M662" s="1184"/>
      <c r="N662" s="1185"/>
    </row>
    <row r="663" spans="1:16" s="3" customFormat="1" ht="22.5" customHeight="1" x14ac:dyDescent="0.3">
      <c r="A663" s="583">
        <v>654</v>
      </c>
      <c r="B663" s="160"/>
      <c r="C663" s="161">
        <v>112</v>
      </c>
      <c r="D663" s="581" t="s">
        <v>258</v>
      </c>
      <c r="E663" s="163">
        <v>19000</v>
      </c>
      <c r="F663" s="163">
        <v>19000</v>
      </c>
      <c r="G663" s="1746">
        <v>18999</v>
      </c>
      <c r="H663" s="598" t="s">
        <v>23</v>
      </c>
      <c r="I663" s="566"/>
      <c r="J663" s="167"/>
      <c r="K663" s="167"/>
      <c r="L663" s="167"/>
      <c r="M663" s="167"/>
      <c r="N663" s="168"/>
      <c r="P663" s="8"/>
    </row>
    <row r="664" spans="1:16" s="1193" customFormat="1" ht="18" customHeight="1" x14ac:dyDescent="0.3">
      <c r="A664" s="583">
        <v>655</v>
      </c>
      <c r="B664" s="1188"/>
      <c r="C664" s="1189"/>
      <c r="D664" s="1190" t="s">
        <v>308</v>
      </c>
      <c r="E664" s="1191"/>
      <c r="F664" s="1191"/>
      <c r="G664" s="1748"/>
      <c r="H664" s="1192"/>
      <c r="I664" s="1183">
        <f>SUM(J664:N664)</f>
        <v>17000</v>
      </c>
      <c r="J664" s="1184"/>
      <c r="K664" s="1184"/>
      <c r="L664" s="1184">
        <v>17000</v>
      </c>
      <c r="M664" s="1184"/>
      <c r="N664" s="1185"/>
    </row>
    <row r="665" spans="1:16" s="1193" customFormat="1" ht="18" customHeight="1" x14ac:dyDescent="0.3">
      <c r="A665" s="583">
        <v>656</v>
      </c>
      <c r="B665" s="1188"/>
      <c r="C665" s="1189"/>
      <c r="D665" s="576" t="s">
        <v>1158</v>
      </c>
      <c r="E665" s="1191"/>
      <c r="F665" s="1191"/>
      <c r="G665" s="1748"/>
      <c r="H665" s="1196"/>
      <c r="I665" s="566">
        <f t="shared" ref="I665:I667" si="162">SUM(J665:N665)</f>
        <v>17000</v>
      </c>
      <c r="J665" s="1184"/>
      <c r="K665" s="1184"/>
      <c r="L665" s="443">
        <v>17000</v>
      </c>
      <c r="M665" s="1184"/>
      <c r="N665" s="1185"/>
    </row>
    <row r="666" spans="1:16" s="1193" customFormat="1" ht="18" customHeight="1" x14ac:dyDescent="0.3">
      <c r="A666" s="583">
        <v>657</v>
      </c>
      <c r="B666" s="1188"/>
      <c r="C666" s="1189"/>
      <c r="D666" s="1318" t="s">
        <v>947</v>
      </c>
      <c r="E666" s="1191"/>
      <c r="F666" s="1191"/>
      <c r="G666" s="1748"/>
      <c r="H666" s="1196"/>
      <c r="I666" s="1321">
        <f t="shared" si="162"/>
        <v>0</v>
      </c>
      <c r="J666" s="443"/>
      <c r="K666" s="443"/>
      <c r="L666" s="443"/>
      <c r="M666" s="1184"/>
      <c r="N666" s="1185"/>
    </row>
    <row r="667" spans="1:16" s="1193" customFormat="1" ht="18" customHeight="1" x14ac:dyDescent="0.3">
      <c r="A667" s="583">
        <v>658</v>
      </c>
      <c r="B667" s="1188"/>
      <c r="C667" s="1189"/>
      <c r="D667" s="576" t="s">
        <v>1250</v>
      </c>
      <c r="E667" s="1191"/>
      <c r="F667" s="1191"/>
      <c r="G667" s="1748"/>
      <c r="H667" s="1196"/>
      <c r="I667" s="566">
        <f t="shared" si="162"/>
        <v>17000</v>
      </c>
      <c r="J667" s="443"/>
      <c r="K667" s="443"/>
      <c r="L667" s="443">
        <f>SUM(L665:L666)</f>
        <v>17000</v>
      </c>
      <c r="M667" s="1184"/>
      <c r="N667" s="1185"/>
    </row>
    <row r="668" spans="1:16" s="3" customFormat="1" ht="22.5" customHeight="1" x14ac:dyDescent="0.3">
      <c r="A668" s="583">
        <v>659</v>
      </c>
      <c r="B668" s="160"/>
      <c r="C668" s="161">
        <v>113</v>
      </c>
      <c r="D668" s="577" t="s">
        <v>257</v>
      </c>
      <c r="E668" s="163"/>
      <c r="F668" s="163">
        <v>1500</v>
      </c>
      <c r="G668" s="1746">
        <v>1601</v>
      </c>
      <c r="H668" s="600" t="s">
        <v>23</v>
      </c>
      <c r="I668" s="566"/>
      <c r="J668" s="167"/>
      <c r="K668" s="167"/>
      <c r="L668" s="167"/>
      <c r="M668" s="167"/>
      <c r="N668" s="168"/>
      <c r="P668" s="8"/>
    </row>
    <row r="669" spans="1:16" s="1193" customFormat="1" ht="18" customHeight="1" x14ac:dyDescent="0.3">
      <c r="A669" s="583">
        <v>660</v>
      </c>
      <c r="B669" s="1210"/>
      <c r="C669" s="1189"/>
      <c r="D669" s="1190" t="s">
        <v>308</v>
      </c>
      <c r="E669" s="1195"/>
      <c r="F669" s="1195"/>
      <c r="G669" s="1751"/>
      <c r="H669" s="1196"/>
      <c r="I669" s="1183">
        <f>SUM(J669:N669)</f>
        <v>1275</v>
      </c>
      <c r="J669" s="1197"/>
      <c r="K669" s="1197"/>
      <c r="L669" s="1197">
        <v>1275</v>
      </c>
      <c r="M669" s="1197"/>
      <c r="N669" s="1198"/>
    </row>
    <row r="670" spans="1:16" s="1193" customFormat="1" ht="18" customHeight="1" x14ac:dyDescent="0.3">
      <c r="A670" s="583">
        <v>661</v>
      </c>
      <c r="B670" s="1210"/>
      <c r="C670" s="1189"/>
      <c r="D670" s="576" t="s">
        <v>1158</v>
      </c>
      <c r="E670" s="1195"/>
      <c r="F670" s="1195"/>
      <c r="G670" s="1751"/>
      <c r="H670" s="1196"/>
      <c r="I670" s="566">
        <f t="shared" ref="I670:I672" si="163">SUM(J670:N670)</f>
        <v>1275</v>
      </c>
      <c r="J670" s="1197"/>
      <c r="K670" s="1197"/>
      <c r="L670" s="1319">
        <v>1275</v>
      </c>
      <c r="M670" s="1197"/>
      <c r="N670" s="1198"/>
    </row>
    <row r="671" spans="1:16" s="1193" customFormat="1" ht="18" customHeight="1" x14ac:dyDescent="0.3">
      <c r="A671" s="583">
        <v>662</v>
      </c>
      <c r="B671" s="1210"/>
      <c r="C671" s="1189"/>
      <c r="D671" s="1318" t="s">
        <v>947</v>
      </c>
      <c r="E671" s="1195"/>
      <c r="F671" s="1195"/>
      <c r="G671" s="1751"/>
      <c r="H671" s="1196"/>
      <c r="I671" s="1321">
        <f t="shared" si="163"/>
        <v>0</v>
      </c>
      <c r="J671" s="1319"/>
      <c r="K671" s="1319"/>
      <c r="L671" s="1319"/>
      <c r="M671" s="1197"/>
      <c r="N671" s="1198"/>
    </row>
    <row r="672" spans="1:16" s="1193" customFormat="1" ht="18" customHeight="1" x14ac:dyDescent="0.3">
      <c r="A672" s="583">
        <v>663</v>
      </c>
      <c r="B672" s="1210"/>
      <c r="C672" s="1189"/>
      <c r="D672" s="576" t="s">
        <v>1250</v>
      </c>
      <c r="E672" s="1195"/>
      <c r="F672" s="1195"/>
      <c r="G672" s="1751"/>
      <c r="H672" s="1196"/>
      <c r="I672" s="566">
        <f t="shared" si="163"/>
        <v>1275</v>
      </c>
      <c r="J672" s="1319"/>
      <c r="K672" s="1319"/>
      <c r="L672" s="1319">
        <f>SUM(L670:L671)</f>
        <v>1275</v>
      </c>
      <c r="M672" s="1197"/>
      <c r="N672" s="1198"/>
    </row>
    <row r="673" spans="1:16" s="3" customFormat="1" ht="22.5" customHeight="1" x14ac:dyDescent="0.3">
      <c r="A673" s="583">
        <v>664</v>
      </c>
      <c r="B673" s="160"/>
      <c r="C673" s="161">
        <v>114</v>
      </c>
      <c r="D673" s="577" t="s">
        <v>459</v>
      </c>
      <c r="E673" s="163">
        <v>1047</v>
      </c>
      <c r="F673" s="163">
        <v>4570</v>
      </c>
      <c r="G673" s="1746">
        <v>2971</v>
      </c>
      <c r="H673" s="598" t="s">
        <v>24</v>
      </c>
      <c r="I673" s="566"/>
      <c r="J673" s="167"/>
      <c r="K673" s="167"/>
      <c r="L673" s="167"/>
      <c r="M673" s="167"/>
      <c r="N673" s="168"/>
      <c r="P673" s="8"/>
    </row>
    <row r="674" spans="1:16" s="1193" customFormat="1" ht="18" customHeight="1" x14ac:dyDescent="0.3">
      <c r="A674" s="583">
        <v>665</v>
      </c>
      <c r="B674" s="1188"/>
      <c r="C674" s="1189"/>
      <c r="D674" s="1190" t="s">
        <v>308</v>
      </c>
      <c r="E674" s="1191"/>
      <c r="F674" s="1191"/>
      <c r="G674" s="1748"/>
      <c r="H674" s="1192"/>
      <c r="I674" s="1183">
        <f>SUM(J674:N674)</f>
        <v>6350</v>
      </c>
      <c r="J674" s="1184"/>
      <c r="K674" s="1184"/>
      <c r="L674" s="1184">
        <v>6350</v>
      </c>
      <c r="M674" s="1184"/>
      <c r="N674" s="1185"/>
    </row>
    <row r="675" spans="1:16" s="1193" customFormat="1" ht="18" customHeight="1" x14ac:dyDescent="0.3">
      <c r="A675" s="583">
        <v>666</v>
      </c>
      <c r="B675" s="1188"/>
      <c r="C675" s="1189"/>
      <c r="D675" s="576" t="s">
        <v>1158</v>
      </c>
      <c r="E675" s="1191"/>
      <c r="F675" s="1191"/>
      <c r="G675" s="1748"/>
      <c r="H675" s="1192"/>
      <c r="I675" s="566">
        <f t="shared" ref="I675:I677" si="164">SUM(J675:N675)</f>
        <v>6145</v>
      </c>
      <c r="J675" s="1184"/>
      <c r="K675" s="1184"/>
      <c r="L675" s="443">
        <v>6145</v>
      </c>
      <c r="M675" s="1184"/>
      <c r="N675" s="1185"/>
    </row>
    <row r="676" spans="1:16" s="1193" customFormat="1" ht="18" customHeight="1" x14ac:dyDescent="0.3">
      <c r="A676" s="583">
        <v>667</v>
      </c>
      <c r="B676" s="1188"/>
      <c r="C676" s="1189"/>
      <c r="D676" s="1318" t="s">
        <v>969</v>
      </c>
      <c r="E676" s="1191"/>
      <c r="F676" s="1191"/>
      <c r="G676" s="1748"/>
      <c r="H676" s="1192"/>
      <c r="I676" s="1321">
        <f t="shared" si="164"/>
        <v>0</v>
      </c>
      <c r="J676" s="443"/>
      <c r="K676" s="443"/>
      <c r="L676" s="184"/>
      <c r="M676" s="1184"/>
      <c r="N676" s="1185"/>
    </row>
    <row r="677" spans="1:16" s="1193" customFormat="1" ht="18" customHeight="1" x14ac:dyDescent="0.3">
      <c r="A677" s="583">
        <v>668</v>
      </c>
      <c r="B677" s="1188"/>
      <c r="C677" s="1189"/>
      <c r="D677" s="576" t="s">
        <v>1250</v>
      </c>
      <c r="E677" s="1191"/>
      <c r="F677" s="1191"/>
      <c r="G677" s="1748"/>
      <c r="H677" s="1192"/>
      <c r="I677" s="566">
        <f t="shared" si="164"/>
        <v>6145</v>
      </c>
      <c r="J677" s="443"/>
      <c r="K677" s="443"/>
      <c r="L677" s="443">
        <f>SUM(L675:L676)</f>
        <v>6145</v>
      </c>
      <c r="M677" s="1184"/>
      <c r="N677" s="1185"/>
    </row>
    <row r="678" spans="1:16" s="8" customFormat="1" ht="22.5" customHeight="1" x14ac:dyDescent="0.3">
      <c r="A678" s="583">
        <v>669</v>
      </c>
      <c r="B678" s="164"/>
      <c r="C678" s="161">
        <v>115</v>
      </c>
      <c r="D678" s="577" t="s">
        <v>555</v>
      </c>
      <c r="E678" s="163"/>
      <c r="F678" s="163"/>
      <c r="G678" s="1746"/>
      <c r="H678" s="598" t="s">
        <v>24</v>
      </c>
      <c r="I678" s="566"/>
      <c r="J678" s="167"/>
      <c r="K678" s="167"/>
      <c r="L678" s="167"/>
      <c r="M678" s="167"/>
      <c r="N678" s="168"/>
    </row>
    <row r="679" spans="1:16" s="1193" customFormat="1" ht="18" customHeight="1" x14ac:dyDescent="0.3">
      <c r="A679" s="583">
        <v>670</v>
      </c>
      <c r="B679" s="1188"/>
      <c r="C679" s="1189"/>
      <c r="D679" s="1190" t="s">
        <v>308</v>
      </c>
      <c r="E679" s="1191"/>
      <c r="F679" s="1191"/>
      <c r="G679" s="1748"/>
      <c r="H679" s="1192"/>
      <c r="I679" s="1183">
        <f>SUM(J679:N679)</f>
        <v>2286</v>
      </c>
      <c r="J679" s="1184"/>
      <c r="K679" s="1184"/>
      <c r="L679" s="1184">
        <v>2286</v>
      </c>
      <c r="M679" s="1184"/>
      <c r="N679" s="1185"/>
    </row>
    <row r="680" spans="1:16" s="1193" customFormat="1" ht="18" customHeight="1" x14ac:dyDescent="0.3">
      <c r="A680" s="583">
        <v>671</v>
      </c>
      <c r="B680" s="1188"/>
      <c r="C680" s="1189"/>
      <c r="D680" s="576" t="s">
        <v>1158</v>
      </c>
      <c r="E680" s="1191"/>
      <c r="F680" s="1191"/>
      <c r="G680" s="1748"/>
      <c r="H680" s="1192"/>
      <c r="I680" s="566">
        <f t="shared" ref="I680:I682" si="165">SUM(J680:N680)</f>
        <v>2286</v>
      </c>
      <c r="J680" s="1184"/>
      <c r="K680" s="1184"/>
      <c r="L680" s="443">
        <v>2286</v>
      </c>
      <c r="M680" s="1184"/>
      <c r="N680" s="1185"/>
    </row>
    <row r="681" spans="1:16" s="1193" customFormat="1" ht="18" customHeight="1" x14ac:dyDescent="0.3">
      <c r="A681" s="583">
        <v>672</v>
      </c>
      <c r="B681" s="1188"/>
      <c r="C681" s="1189"/>
      <c r="D681" s="1318" t="s">
        <v>969</v>
      </c>
      <c r="E681" s="1191"/>
      <c r="F681" s="1191"/>
      <c r="G681" s="1748"/>
      <c r="H681" s="1192"/>
      <c r="I681" s="1321">
        <f t="shared" si="165"/>
        <v>0</v>
      </c>
      <c r="J681" s="443"/>
      <c r="K681" s="443"/>
      <c r="L681" s="443"/>
      <c r="M681" s="1184"/>
      <c r="N681" s="1185"/>
    </row>
    <row r="682" spans="1:16" s="1193" customFormat="1" ht="18" customHeight="1" x14ac:dyDescent="0.3">
      <c r="A682" s="583">
        <v>673</v>
      </c>
      <c r="B682" s="1188"/>
      <c r="C682" s="1189"/>
      <c r="D682" s="576" t="s">
        <v>1250</v>
      </c>
      <c r="E682" s="1191"/>
      <c r="F682" s="1191"/>
      <c r="G682" s="1748"/>
      <c r="H682" s="1192"/>
      <c r="I682" s="566">
        <f t="shared" si="165"/>
        <v>2286</v>
      </c>
      <c r="J682" s="443"/>
      <c r="K682" s="443"/>
      <c r="L682" s="443">
        <f>SUM(L680:L681)</f>
        <v>2286</v>
      </c>
      <c r="M682" s="1184"/>
      <c r="N682" s="1185"/>
    </row>
    <row r="683" spans="1:16" s="3" customFormat="1" ht="22.5" customHeight="1" x14ac:dyDescent="0.3">
      <c r="A683" s="583">
        <v>674</v>
      </c>
      <c r="B683" s="160"/>
      <c r="C683" s="161">
        <v>116</v>
      </c>
      <c r="D683" s="577" t="s">
        <v>111</v>
      </c>
      <c r="E683" s="163">
        <v>7036</v>
      </c>
      <c r="F683" s="163">
        <v>16000</v>
      </c>
      <c r="G683" s="1746">
        <v>8435</v>
      </c>
      <c r="H683" s="598" t="s">
        <v>23</v>
      </c>
      <c r="I683" s="566"/>
      <c r="J683" s="167"/>
      <c r="K683" s="167"/>
      <c r="L683" s="167"/>
      <c r="M683" s="167"/>
      <c r="N683" s="168"/>
      <c r="P683" s="8"/>
    </row>
    <row r="684" spans="1:16" s="1193" customFormat="1" ht="18" customHeight="1" x14ac:dyDescent="0.3">
      <c r="A684" s="583">
        <v>675</v>
      </c>
      <c r="B684" s="1188"/>
      <c r="C684" s="1189"/>
      <c r="D684" s="1190" t="s">
        <v>308</v>
      </c>
      <c r="E684" s="1191"/>
      <c r="F684" s="1191"/>
      <c r="G684" s="1748"/>
      <c r="H684" s="1192"/>
      <c r="I684" s="1183">
        <f>SUM(J684:N684)</f>
        <v>16000</v>
      </c>
      <c r="J684" s="1184"/>
      <c r="K684" s="1184"/>
      <c r="L684" s="1184">
        <v>16000</v>
      </c>
      <c r="M684" s="1184"/>
      <c r="N684" s="1185"/>
    </row>
    <row r="685" spans="1:16" s="1193" customFormat="1" ht="18" customHeight="1" x14ac:dyDescent="0.3">
      <c r="A685" s="583">
        <v>676</v>
      </c>
      <c r="B685" s="1188"/>
      <c r="C685" s="1189"/>
      <c r="D685" s="576" t="s">
        <v>1158</v>
      </c>
      <c r="E685" s="1191"/>
      <c r="F685" s="1191"/>
      <c r="G685" s="1748"/>
      <c r="H685" s="1192"/>
      <c r="I685" s="566">
        <f t="shared" ref="I685:I687" si="166">SUM(J685:N685)</f>
        <v>20688</v>
      </c>
      <c r="J685" s="1184"/>
      <c r="K685" s="1184"/>
      <c r="L685" s="443">
        <v>20688</v>
      </c>
      <c r="M685" s="1184"/>
      <c r="N685" s="1185"/>
    </row>
    <row r="686" spans="1:16" s="1193" customFormat="1" ht="18" customHeight="1" x14ac:dyDescent="0.3">
      <c r="A686" s="583">
        <v>677</v>
      </c>
      <c r="B686" s="1188"/>
      <c r="C686" s="1189"/>
      <c r="D686" s="1318" t="s">
        <v>1302</v>
      </c>
      <c r="E686" s="1191"/>
      <c r="F686" s="1191"/>
      <c r="G686" s="1748"/>
      <c r="H686" s="1192"/>
      <c r="I686" s="1321">
        <f t="shared" si="166"/>
        <v>1396</v>
      </c>
      <c r="J686" s="443"/>
      <c r="K686" s="443"/>
      <c r="L686" s="184">
        <v>1396</v>
      </c>
      <c r="M686" s="1184"/>
      <c r="N686" s="1185"/>
    </row>
    <row r="687" spans="1:16" s="1193" customFormat="1" ht="18" customHeight="1" x14ac:dyDescent="0.3">
      <c r="A687" s="583">
        <v>678</v>
      </c>
      <c r="B687" s="1188"/>
      <c r="C687" s="1189"/>
      <c r="D687" s="576" t="s">
        <v>1250</v>
      </c>
      <c r="E687" s="1191"/>
      <c r="F687" s="1191"/>
      <c r="G687" s="1748"/>
      <c r="H687" s="1192"/>
      <c r="I687" s="566">
        <f t="shared" si="166"/>
        <v>22084</v>
      </c>
      <c r="J687" s="443"/>
      <c r="K687" s="443"/>
      <c r="L687" s="443">
        <f>SUM(L685:L686)</f>
        <v>22084</v>
      </c>
      <c r="M687" s="1184"/>
      <c r="N687" s="1185"/>
    </row>
    <row r="688" spans="1:16" s="8" customFormat="1" ht="22.5" customHeight="1" x14ac:dyDescent="0.3">
      <c r="A688" s="583">
        <v>679</v>
      </c>
      <c r="B688" s="178"/>
      <c r="C688" s="161">
        <v>117</v>
      </c>
      <c r="D688" s="577" t="s">
        <v>286</v>
      </c>
      <c r="E688" s="163">
        <v>144202</v>
      </c>
      <c r="F688" s="163">
        <v>153222</v>
      </c>
      <c r="G688" s="1746">
        <v>156855</v>
      </c>
      <c r="H688" s="598" t="s">
        <v>23</v>
      </c>
      <c r="I688" s="567"/>
      <c r="J688" s="170"/>
      <c r="K688" s="170"/>
      <c r="L688" s="170"/>
      <c r="M688" s="170"/>
      <c r="N688" s="171"/>
    </row>
    <row r="689" spans="1:16" s="1193" customFormat="1" ht="18" customHeight="1" x14ac:dyDescent="0.3">
      <c r="A689" s="583">
        <v>680</v>
      </c>
      <c r="B689" s="1188"/>
      <c r="C689" s="1189"/>
      <c r="D689" s="1190" t="s">
        <v>308</v>
      </c>
      <c r="E689" s="1191"/>
      <c r="F689" s="1191"/>
      <c r="G689" s="1748"/>
      <c r="H689" s="1192"/>
      <c r="I689" s="1183">
        <f>SUM(J689:N689)</f>
        <v>155388</v>
      </c>
      <c r="J689" s="1184"/>
      <c r="K689" s="1184"/>
      <c r="L689" s="1184">
        <v>155388</v>
      </c>
      <c r="M689" s="1184"/>
      <c r="N689" s="1185"/>
    </row>
    <row r="690" spans="1:16" s="1193" customFormat="1" ht="18" customHeight="1" x14ac:dyDescent="0.3">
      <c r="A690" s="583">
        <v>681</v>
      </c>
      <c r="B690" s="1188"/>
      <c r="C690" s="1189"/>
      <c r="D690" s="576" t="s">
        <v>1158</v>
      </c>
      <c r="E690" s="1191"/>
      <c r="F690" s="1191"/>
      <c r="G690" s="1748"/>
      <c r="H690" s="1192"/>
      <c r="I690" s="566">
        <f t="shared" ref="I690:I692" si="167">SUM(J690:N690)</f>
        <v>155388</v>
      </c>
      <c r="J690" s="1184"/>
      <c r="K690" s="1184"/>
      <c r="L690" s="443">
        <v>155388</v>
      </c>
      <c r="M690" s="1184"/>
      <c r="N690" s="1185"/>
    </row>
    <row r="691" spans="1:16" s="1193" customFormat="1" ht="18" customHeight="1" x14ac:dyDescent="0.3">
      <c r="A691" s="583">
        <v>682</v>
      </c>
      <c r="B691" s="1188"/>
      <c r="C691" s="1189"/>
      <c r="D691" s="1318" t="s">
        <v>947</v>
      </c>
      <c r="E691" s="1191"/>
      <c r="F691" s="1191"/>
      <c r="G691" s="1748"/>
      <c r="H691" s="1192"/>
      <c r="I691" s="1321">
        <f t="shared" si="167"/>
        <v>0</v>
      </c>
      <c r="J691" s="443"/>
      <c r="K691" s="443"/>
      <c r="L691" s="443"/>
      <c r="M691" s="1184"/>
      <c r="N691" s="1185"/>
    </row>
    <row r="692" spans="1:16" s="1193" customFormat="1" ht="18" customHeight="1" x14ac:dyDescent="0.3">
      <c r="A692" s="583">
        <v>683</v>
      </c>
      <c r="B692" s="1188"/>
      <c r="C692" s="1189"/>
      <c r="D692" s="576" t="s">
        <v>1250</v>
      </c>
      <c r="E692" s="1191"/>
      <c r="F692" s="1191"/>
      <c r="G692" s="1748"/>
      <c r="H692" s="1192"/>
      <c r="I692" s="566">
        <f t="shared" si="167"/>
        <v>155388</v>
      </c>
      <c r="J692" s="443"/>
      <c r="K692" s="443"/>
      <c r="L692" s="443">
        <f>SUM(L690:L691)</f>
        <v>155388</v>
      </c>
      <c r="M692" s="1184"/>
      <c r="N692" s="1185"/>
    </row>
    <row r="693" spans="1:16" s="8" customFormat="1" ht="22.5" customHeight="1" x14ac:dyDescent="0.3">
      <c r="A693" s="583">
        <v>684</v>
      </c>
      <c r="B693" s="178"/>
      <c r="C693" s="161">
        <v>118</v>
      </c>
      <c r="D693" s="577" t="s">
        <v>454</v>
      </c>
      <c r="E693" s="163">
        <v>8000</v>
      </c>
      <c r="F693" s="163">
        <v>3000</v>
      </c>
      <c r="G693" s="1746">
        <v>4930</v>
      </c>
      <c r="H693" s="598" t="s">
        <v>24</v>
      </c>
      <c r="I693" s="567"/>
      <c r="J693" s="170"/>
      <c r="K693" s="170"/>
      <c r="L693" s="170"/>
      <c r="M693" s="170"/>
      <c r="N693" s="171"/>
    </row>
    <row r="694" spans="1:16" s="8" customFormat="1" ht="22.5" customHeight="1" x14ac:dyDescent="0.3">
      <c r="A694" s="583">
        <v>685</v>
      </c>
      <c r="B694" s="178"/>
      <c r="C694" s="161"/>
      <c r="D694" s="576" t="s">
        <v>1158</v>
      </c>
      <c r="E694" s="163"/>
      <c r="F694" s="163"/>
      <c r="G694" s="1746"/>
      <c r="H694" s="598"/>
      <c r="I694" s="566">
        <f t="shared" ref="I694:I696" si="168">SUM(J694:N694)</f>
        <v>2362</v>
      </c>
      <c r="J694" s="170"/>
      <c r="K694" s="170"/>
      <c r="L694" s="443">
        <v>2362</v>
      </c>
      <c r="M694" s="170"/>
      <c r="N694" s="171"/>
    </row>
    <row r="695" spans="1:16" s="8" customFormat="1" ht="18" customHeight="1" x14ac:dyDescent="0.3">
      <c r="A695" s="583">
        <v>686</v>
      </c>
      <c r="B695" s="164"/>
      <c r="C695" s="165"/>
      <c r="D695" s="1318" t="s">
        <v>969</v>
      </c>
      <c r="E695" s="163"/>
      <c r="F695" s="163"/>
      <c r="G695" s="1746"/>
      <c r="H695" s="598"/>
      <c r="I695" s="1321">
        <f t="shared" si="168"/>
        <v>0</v>
      </c>
      <c r="J695" s="167"/>
      <c r="K695" s="167"/>
      <c r="L695" s="184"/>
      <c r="M695" s="167"/>
      <c r="N695" s="168"/>
    </row>
    <row r="696" spans="1:16" s="8" customFormat="1" ht="18" customHeight="1" x14ac:dyDescent="0.3">
      <c r="A696" s="583">
        <v>687</v>
      </c>
      <c r="B696" s="164"/>
      <c r="C696" s="165"/>
      <c r="D696" s="576" t="s">
        <v>1250</v>
      </c>
      <c r="E696" s="163"/>
      <c r="F696" s="163"/>
      <c r="G696" s="1746"/>
      <c r="H696" s="598"/>
      <c r="I696" s="566">
        <f t="shared" si="168"/>
        <v>2362</v>
      </c>
      <c r="J696" s="167"/>
      <c r="K696" s="167"/>
      <c r="L696" s="443">
        <f>SUM(L694:L695)</f>
        <v>2362</v>
      </c>
      <c r="M696" s="167"/>
      <c r="N696" s="168"/>
    </row>
    <row r="697" spans="1:16" s="3" customFormat="1" ht="22.5" customHeight="1" x14ac:dyDescent="0.3">
      <c r="A697" s="583">
        <v>688</v>
      </c>
      <c r="B697" s="160"/>
      <c r="C697" s="161">
        <v>119</v>
      </c>
      <c r="D697" s="577" t="s">
        <v>113</v>
      </c>
      <c r="E697" s="163">
        <f>E702+E707+E712+E717+E722</f>
        <v>3250</v>
      </c>
      <c r="F697" s="163">
        <f>F702+F707+F712+F717+F722</f>
        <v>3250</v>
      </c>
      <c r="G697" s="163">
        <f>G702+G707+G712+G717+G722</f>
        <v>3250</v>
      </c>
      <c r="H697" s="598" t="s">
        <v>23</v>
      </c>
      <c r="I697" s="567"/>
      <c r="J697" s="170"/>
      <c r="K697" s="170"/>
      <c r="L697" s="170"/>
      <c r="M697" s="170"/>
      <c r="N697" s="171"/>
      <c r="O697" s="8"/>
      <c r="P697" s="8"/>
    </row>
    <row r="698" spans="1:16" s="1193" customFormat="1" ht="18" customHeight="1" x14ac:dyDescent="0.3">
      <c r="A698" s="583">
        <v>689</v>
      </c>
      <c r="B698" s="1188"/>
      <c r="C698" s="1189"/>
      <c r="D698" s="1190" t="s">
        <v>308</v>
      </c>
      <c r="E698" s="1191"/>
      <c r="F698" s="1191"/>
      <c r="G698" s="1748"/>
      <c r="H698" s="1192"/>
      <c r="I698" s="1183">
        <f>SUM(J698:N698)</f>
        <v>2765</v>
      </c>
      <c r="J698" s="1204"/>
      <c r="K698" s="1204"/>
      <c r="L698" s="1204"/>
      <c r="M698" s="1204"/>
      <c r="N698" s="1185">
        <f>N703+N708+N713+N718+N723</f>
        <v>2765</v>
      </c>
    </row>
    <row r="699" spans="1:16" s="1193" customFormat="1" ht="18" customHeight="1" x14ac:dyDescent="0.3">
      <c r="A699" s="583">
        <v>690</v>
      </c>
      <c r="B699" s="1188"/>
      <c r="C699" s="1189"/>
      <c r="D699" s="576" t="s">
        <v>1158</v>
      </c>
      <c r="E699" s="1191"/>
      <c r="F699" s="1191"/>
      <c r="G699" s="1748"/>
      <c r="H699" s="1192"/>
      <c r="I699" s="566">
        <f t="shared" ref="I699:I701" si="169">SUM(J699:N699)</f>
        <v>2765</v>
      </c>
      <c r="J699" s="1204"/>
      <c r="K699" s="1204"/>
      <c r="L699" s="1204"/>
      <c r="M699" s="1204"/>
      <c r="N699" s="439">
        <f>N704+N709+N714+N719+N724</f>
        <v>2765</v>
      </c>
    </row>
    <row r="700" spans="1:16" s="1193" customFormat="1" ht="18" customHeight="1" x14ac:dyDescent="0.3">
      <c r="A700" s="583">
        <v>691</v>
      </c>
      <c r="B700" s="1188"/>
      <c r="C700" s="1189"/>
      <c r="D700" s="1318" t="s">
        <v>947</v>
      </c>
      <c r="E700" s="1191"/>
      <c r="F700" s="1191"/>
      <c r="G700" s="1748"/>
      <c r="H700" s="1192"/>
      <c r="I700" s="1321">
        <f t="shared" si="169"/>
        <v>0</v>
      </c>
      <c r="J700" s="1204"/>
      <c r="K700" s="1204"/>
      <c r="L700" s="1204"/>
      <c r="M700" s="1204"/>
      <c r="N700" s="185">
        <f>N705+N710+N715+N720+N725</f>
        <v>0</v>
      </c>
    </row>
    <row r="701" spans="1:16" s="1193" customFormat="1" ht="18" customHeight="1" x14ac:dyDescent="0.3">
      <c r="A701" s="583">
        <v>692</v>
      </c>
      <c r="B701" s="1188"/>
      <c r="C701" s="1189"/>
      <c r="D701" s="576" t="s">
        <v>1250</v>
      </c>
      <c r="E701" s="1191"/>
      <c r="F701" s="1191"/>
      <c r="G701" s="1748"/>
      <c r="H701" s="1192"/>
      <c r="I701" s="566">
        <f t="shared" si="169"/>
        <v>2765</v>
      </c>
      <c r="J701" s="1204"/>
      <c r="K701" s="1204"/>
      <c r="L701" s="1204"/>
      <c r="M701" s="1204"/>
      <c r="N701" s="439">
        <f>SUM(N699:N700)</f>
        <v>2765</v>
      </c>
    </row>
    <row r="702" spans="1:16" s="9" customFormat="1" ht="18" customHeight="1" x14ac:dyDescent="0.3">
      <c r="A702" s="583">
        <v>693</v>
      </c>
      <c r="B702" s="172"/>
      <c r="C702" s="165"/>
      <c r="D702" s="176" t="s">
        <v>114</v>
      </c>
      <c r="E702" s="163">
        <v>650</v>
      </c>
      <c r="F702" s="173">
        <v>650</v>
      </c>
      <c r="G702" s="1749">
        <v>650</v>
      </c>
      <c r="H702" s="599"/>
      <c r="I702" s="568"/>
      <c r="J702" s="184"/>
      <c r="K702" s="184"/>
      <c r="L702" s="184"/>
      <c r="M702" s="184"/>
      <c r="N702" s="185"/>
      <c r="P702" s="8"/>
    </row>
    <row r="703" spans="1:16" s="1206" customFormat="1" ht="18" customHeight="1" x14ac:dyDescent="0.3">
      <c r="A703" s="583">
        <v>694</v>
      </c>
      <c r="B703" s="1200"/>
      <c r="C703" s="1189"/>
      <c r="D703" s="1201" t="s">
        <v>308</v>
      </c>
      <c r="E703" s="1191"/>
      <c r="F703" s="1202"/>
      <c r="G703" s="1752"/>
      <c r="H703" s="1203"/>
      <c r="I703" s="1186">
        <f>SUM(J703:N703)</f>
        <v>553</v>
      </c>
      <c r="J703" s="1204"/>
      <c r="K703" s="1204"/>
      <c r="L703" s="1204"/>
      <c r="M703" s="1204"/>
      <c r="N703" s="1205">
        <v>553</v>
      </c>
      <c r="P703" s="1193"/>
    </row>
    <row r="704" spans="1:16" s="1206" customFormat="1" ht="18" customHeight="1" x14ac:dyDescent="0.3">
      <c r="A704" s="583">
        <v>695</v>
      </c>
      <c r="B704" s="1200"/>
      <c r="C704" s="1189"/>
      <c r="D704" s="1324" t="s">
        <v>1158</v>
      </c>
      <c r="E704" s="1191"/>
      <c r="F704" s="1202"/>
      <c r="G704" s="1752"/>
      <c r="H704" s="1203"/>
      <c r="I704" s="568">
        <f t="shared" ref="I704:I706" si="170">SUM(J704:N704)</f>
        <v>553</v>
      </c>
      <c r="J704" s="1204"/>
      <c r="K704" s="1204"/>
      <c r="L704" s="1204"/>
      <c r="M704" s="1204"/>
      <c r="N704" s="1323">
        <v>553</v>
      </c>
      <c r="P704" s="1193"/>
    </row>
    <row r="705" spans="1:16" s="1206" customFormat="1" ht="18" customHeight="1" x14ac:dyDescent="0.3">
      <c r="A705" s="583">
        <v>696</v>
      </c>
      <c r="B705" s="1200"/>
      <c r="C705" s="1189"/>
      <c r="D705" s="1325" t="s">
        <v>947</v>
      </c>
      <c r="E705" s="1191"/>
      <c r="F705" s="1202"/>
      <c r="G705" s="1752"/>
      <c r="H705" s="1203"/>
      <c r="I705" s="1321">
        <f t="shared" si="170"/>
        <v>0</v>
      </c>
      <c r="J705" s="1322"/>
      <c r="K705" s="1322"/>
      <c r="L705" s="1322"/>
      <c r="M705" s="1322"/>
      <c r="N705" s="1323"/>
      <c r="P705" s="1193"/>
    </row>
    <row r="706" spans="1:16" s="1206" customFormat="1" ht="18" customHeight="1" x14ac:dyDescent="0.3">
      <c r="A706" s="583">
        <v>697</v>
      </c>
      <c r="B706" s="1200"/>
      <c r="C706" s="1189"/>
      <c r="D706" s="1324" t="s">
        <v>1250</v>
      </c>
      <c r="E706" s="1191"/>
      <c r="F706" s="1202"/>
      <c r="G706" s="1752"/>
      <c r="H706" s="1203"/>
      <c r="I706" s="568">
        <f t="shared" si="170"/>
        <v>553</v>
      </c>
      <c r="J706" s="1322"/>
      <c r="K706" s="1322"/>
      <c r="L706" s="1322"/>
      <c r="M706" s="1322"/>
      <c r="N706" s="1323">
        <f>SUM(N704:N705)</f>
        <v>553</v>
      </c>
      <c r="P706" s="1193"/>
    </row>
    <row r="707" spans="1:16" s="9" customFormat="1" ht="18" customHeight="1" x14ac:dyDescent="0.3">
      <c r="A707" s="583">
        <v>698</v>
      </c>
      <c r="B707" s="172"/>
      <c r="C707" s="165"/>
      <c r="D707" s="179" t="s">
        <v>115</v>
      </c>
      <c r="E707" s="163">
        <v>650</v>
      </c>
      <c r="F707" s="173">
        <v>650</v>
      </c>
      <c r="G707" s="1749">
        <v>650</v>
      </c>
      <c r="H707" s="599"/>
      <c r="I707" s="569"/>
      <c r="J707" s="174"/>
      <c r="K707" s="174"/>
      <c r="L707" s="174"/>
      <c r="M707" s="174"/>
      <c r="N707" s="175"/>
      <c r="P707" s="8"/>
    </row>
    <row r="708" spans="1:16" s="1206" customFormat="1" ht="18" customHeight="1" x14ac:dyDescent="0.3">
      <c r="A708" s="583">
        <v>699</v>
      </c>
      <c r="B708" s="1200"/>
      <c r="C708" s="1189"/>
      <c r="D708" s="1201" t="s">
        <v>308</v>
      </c>
      <c r="E708" s="1191"/>
      <c r="F708" s="1202"/>
      <c r="G708" s="1752"/>
      <c r="H708" s="1203"/>
      <c r="I708" s="1186">
        <f>SUM(J708:N708)</f>
        <v>553</v>
      </c>
      <c r="J708" s="1204"/>
      <c r="K708" s="1204"/>
      <c r="L708" s="1204"/>
      <c r="M708" s="1204"/>
      <c r="N708" s="1205">
        <v>553</v>
      </c>
      <c r="P708" s="1193"/>
    </row>
    <row r="709" spans="1:16" s="1206" customFormat="1" ht="18" customHeight="1" x14ac:dyDescent="0.3">
      <c r="A709" s="583">
        <v>700</v>
      </c>
      <c r="B709" s="1200"/>
      <c r="C709" s="1189"/>
      <c r="D709" s="1324" t="s">
        <v>1158</v>
      </c>
      <c r="E709" s="1191"/>
      <c r="F709" s="1202"/>
      <c r="G709" s="1752"/>
      <c r="H709" s="1203"/>
      <c r="I709" s="568">
        <f t="shared" ref="I709" si="171">SUM(J709:N709)</f>
        <v>553</v>
      </c>
      <c r="J709" s="1204"/>
      <c r="K709" s="1204"/>
      <c r="L709" s="1204"/>
      <c r="M709" s="1204"/>
      <c r="N709" s="1323">
        <v>553</v>
      </c>
      <c r="P709" s="1193"/>
    </row>
    <row r="710" spans="1:16" s="1206" customFormat="1" ht="18" customHeight="1" x14ac:dyDescent="0.3">
      <c r="A710" s="583">
        <v>701</v>
      </c>
      <c r="B710" s="1200"/>
      <c r="C710" s="1189"/>
      <c r="D710" s="1325" t="s">
        <v>947</v>
      </c>
      <c r="E710" s="1191"/>
      <c r="F710" s="1202"/>
      <c r="G710" s="1752"/>
      <c r="H710" s="1203"/>
      <c r="I710" s="1321">
        <f t="shared" ref="I710:I711" si="172">SUM(J710:N710)</f>
        <v>0</v>
      </c>
      <c r="J710" s="1322"/>
      <c r="K710" s="1322"/>
      <c r="L710" s="1322"/>
      <c r="M710" s="1322"/>
      <c r="N710" s="1323"/>
      <c r="P710" s="1193"/>
    </row>
    <row r="711" spans="1:16" s="1206" customFormat="1" ht="18" customHeight="1" x14ac:dyDescent="0.3">
      <c r="A711" s="583">
        <v>702</v>
      </c>
      <c r="B711" s="1200"/>
      <c r="C711" s="1189"/>
      <c r="D711" s="1324" t="s">
        <v>1250</v>
      </c>
      <c r="E711" s="1191"/>
      <c r="F711" s="1202"/>
      <c r="G711" s="1752"/>
      <c r="H711" s="1203"/>
      <c r="I711" s="568">
        <f t="shared" si="172"/>
        <v>553</v>
      </c>
      <c r="J711" s="1322"/>
      <c r="K711" s="1322"/>
      <c r="L711" s="1322"/>
      <c r="M711" s="1322"/>
      <c r="N711" s="1323">
        <f>SUM(N709:N710)</f>
        <v>553</v>
      </c>
      <c r="P711" s="1193"/>
    </row>
    <row r="712" spans="1:16" s="9" customFormat="1" ht="18" customHeight="1" x14ac:dyDescent="0.3">
      <c r="A712" s="583">
        <v>703</v>
      </c>
      <c r="B712" s="172"/>
      <c r="C712" s="165"/>
      <c r="D712" s="179" t="s">
        <v>116</v>
      </c>
      <c r="E712" s="163">
        <v>650</v>
      </c>
      <c r="F712" s="173">
        <v>650</v>
      </c>
      <c r="G712" s="1749">
        <v>650</v>
      </c>
      <c r="H712" s="599"/>
      <c r="I712" s="569"/>
      <c r="J712" s="174"/>
      <c r="K712" s="174"/>
      <c r="L712" s="174"/>
      <c r="M712" s="174"/>
      <c r="N712" s="175"/>
      <c r="P712" s="8"/>
    </row>
    <row r="713" spans="1:16" s="1206" customFormat="1" ht="18" customHeight="1" x14ac:dyDescent="0.3">
      <c r="A713" s="583">
        <v>704</v>
      </c>
      <c r="B713" s="1200"/>
      <c r="C713" s="1189"/>
      <c r="D713" s="1201" t="s">
        <v>308</v>
      </c>
      <c r="E713" s="1191"/>
      <c r="F713" s="1202"/>
      <c r="G713" s="1752"/>
      <c r="H713" s="1203"/>
      <c r="I713" s="1186">
        <f>SUM(J713:N713)</f>
        <v>553</v>
      </c>
      <c r="J713" s="1204"/>
      <c r="K713" s="1204"/>
      <c r="L713" s="1204"/>
      <c r="M713" s="1204"/>
      <c r="N713" s="1205">
        <v>553</v>
      </c>
      <c r="P713" s="1193"/>
    </row>
    <row r="714" spans="1:16" s="1206" customFormat="1" ht="18" customHeight="1" x14ac:dyDescent="0.3">
      <c r="A714" s="583">
        <v>705</v>
      </c>
      <c r="B714" s="1200"/>
      <c r="C714" s="1189"/>
      <c r="D714" s="1324" t="s">
        <v>1158</v>
      </c>
      <c r="E714" s="1191"/>
      <c r="F714" s="1202"/>
      <c r="G714" s="1752"/>
      <c r="H714" s="1203"/>
      <c r="I714" s="568">
        <f t="shared" ref="I714" si="173">SUM(J714:N714)</f>
        <v>553</v>
      </c>
      <c r="J714" s="1204"/>
      <c r="K714" s="1204"/>
      <c r="L714" s="1204"/>
      <c r="M714" s="1204"/>
      <c r="N714" s="1323">
        <v>553</v>
      </c>
      <c r="P714" s="1193"/>
    </row>
    <row r="715" spans="1:16" s="1206" customFormat="1" ht="18" customHeight="1" x14ac:dyDescent="0.3">
      <c r="A715" s="583">
        <v>706</v>
      </c>
      <c r="B715" s="1200"/>
      <c r="C715" s="1189"/>
      <c r="D715" s="1325" t="s">
        <v>947</v>
      </c>
      <c r="E715" s="1191"/>
      <c r="F715" s="1202"/>
      <c r="G715" s="1752"/>
      <c r="H715" s="1203"/>
      <c r="I715" s="1321">
        <f t="shared" ref="I715:I716" si="174">SUM(J715:N715)</f>
        <v>0</v>
      </c>
      <c r="J715" s="1322"/>
      <c r="K715" s="1322"/>
      <c r="L715" s="1322"/>
      <c r="M715" s="1322"/>
      <c r="N715" s="1323"/>
      <c r="P715" s="1193"/>
    </row>
    <row r="716" spans="1:16" s="1206" customFormat="1" ht="18" customHeight="1" x14ac:dyDescent="0.3">
      <c r="A716" s="583">
        <v>707</v>
      </c>
      <c r="B716" s="1200"/>
      <c r="C716" s="1189"/>
      <c r="D716" s="1324" t="s">
        <v>1250</v>
      </c>
      <c r="E716" s="1191"/>
      <c r="F716" s="1202"/>
      <c r="G716" s="1752"/>
      <c r="H716" s="1203"/>
      <c r="I716" s="568">
        <f t="shared" si="174"/>
        <v>553</v>
      </c>
      <c r="J716" s="1322"/>
      <c r="K716" s="1322"/>
      <c r="L716" s="1322"/>
      <c r="M716" s="1322"/>
      <c r="N716" s="1323">
        <f>SUM(N714:N715)</f>
        <v>553</v>
      </c>
      <c r="P716" s="1193"/>
    </row>
    <row r="717" spans="1:16" s="9" customFormat="1" ht="18" customHeight="1" x14ac:dyDescent="0.3">
      <c r="A717" s="583">
        <v>708</v>
      </c>
      <c r="B717" s="172"/>
      <c r="C717" s="165"/>
      <c r="D717" s="179" t="s">
        <v>117</v>
      </c>
      <c r="E717" s="163">
        <v>650</v>
      </c>
      <c r="F717" s="173">
        <v>650</v>
      </c>
      <c r="G717" s="1749">
        <v>650</v>
      </c>
      <c r="H717" s="599"/>
      <c r="I717" s="569"/>
      <c r="J717" s="174"/>
      <c r="K717" s="174"/>
      <c r="L717" s="174"/>
      <c r="M717" s="174"/>
      <c r="N717" s="175"/>
      <c r="P717" s="8"/>
    </row>
    <row r="718" spans="1:16" s="1206" customFormat="1" ht="18" customHeight="1" x14ac:dyDescent="0.3">
      <c r="A718" s="583">
        <v>709</v>
      </c>
      <c r="B718" s="1200"/>
      <c r="C718" s="1189"/>
      <c r="D718" s="1201" t="s">
        <v>308</v>
      </c>
      <c r="E718" s="1191"/>
      <c r="F718" s="1202"/>
      <c r="G718" s="1752"/>
      <c r="H718" s="1203"/>
      <c r="I718" s="1186">
        <f>SUM(J718:N718)</f>
        <v>553</v>
      </c>
      <c r="J718" s="1204"/>
      <c r="K718" s="1204"/>
      <c r="L718" s="1204"/>
      <c r="M718" s="1204"/>
      <c r="N718" s="1205">
        <v>553</v>
      </c>
      <c r="P718" s="1193"/>
    </row>
    <row r="719" spans="1:16" s="1206" customFormat="1" ht="18" customHeight="1" x14ac:dyDescent="0.3">
      <c r="A719" s="583">
        <v>710</v>
      </c>
      <c r="B719" s="1200"/>
      <c r="C719" s="1189"/>
      <c r="D719" s="1324" t="s">
        <v>1158</v>
      </c>
      <c r="E719" s="1191"/>
      <c r="F719" s="1202"/>
      <c r="G719" s="1752"/>
      <c r="H719" s="1203"/>
      <c r="I719" s="568">
        <f t="shared" ref="I719" si="175">SUM(J719:N719)</f>
        <v>553</v>
      </c>
      <c r="J719" s="1204"/>
      <c r="K719" s="1204"/>
      <c r="L719" s="1204"/>
      <c r="M719" s="1204"/>
      <c r="N719" s="1323">
        <v>553</v>
      </c>
      <c r="P719" s="1193"/>
    </row>
    <row r="720" spans="1:16" s="1206" customFormat="1" ht="18" customHeight="1" x14ac:dyDescent="0.3">
      <c r="A720" s="583">
        <v>711</v>
      </c>
      <c r="B720" s="1200"/>
      <c r="C720" s="1189"/>
      <c r="D720" s="1325" t="s">
        <v>947</v>
      </c>
      <c r="E720" s="1191"/>
      <c r="F720" s="1202"/>
      <c r="G720" s="1752"/>
      <c r="H720" s="1203"/>
      <c r="I720" s="1321">
        <f t="shared" ref="I720:I721" si="176">SUM(J720:N720)</f>
        <v>0</v>
      </c>
      <c r="J720" s="1322"/>
      <c r="K720" s="1322"/>
      <c r="L720" s="1322"/>
      <c r="M720" s="1322"/>
      <c r="N720" s="1323"/>
      <c r="P720" s="1193"/>
    </row>
    <row r="721" spans="1:16" s="1206" customFormat="1" ht="18" customHeight="1" x14ac:dyDescent="0.3">
      <c r="A721" s="583">
        <v>712</v>
      </c>
      <c r="B721" s="1200"/>
      <c r="C721" s="1189"/>
      <c r="D721" s="1324" t="s">
        <v>1250</v>
      </c>
      <c r="E721" s="1191"/>
      <c r="F721" s="1202"/>
      <c r="G721" s="1752"/>
      <c r="H721" s="1203"/>
      <c r="I721" s="568">
        <f t="shared" si="176"/>
        <v>553</v>
      </c>
      <c r="J721" s="1322"/>
      <c r="K721" s="1322"/>
      <c r="L721" s="1322"/>
      <c r="M721" s="1322"/>
      <c r="N721" s="1323">
        <f>SUM(N719:N720)</f>
        <v>553</v>
      </c>
      <c r="P721" s="1193"/>
    </row>
    <row r="722" spans="1:16" s="9" customFormat="1" ht="18" customHeight="1" x14ac:dyDescent="0.3">
      <c r="A722" s="583">
        <v>713</v>
      </c>
      <c r="B722" s="172"/>
      <c r="C722" s="165"/>
      <c r="D722" s="179" t="s">
        <v>118</v>
      </c>
      <c r="E722" s="163">
        <v>650</v>
      </c>
      <c r="F722" s="173">
        <v>650</v>
      </c>
      <c r="G722" s="1749">
        <v>650</v>
      </c>
      <c r="H722" s="599"/>
      <c r="I722" s="569"/>
      <c r="J722" s="174"/>
      <c r="K722" s="174"/>
      <c r="L722" s="174"/>
      <c r="M722" s="174"/>
      <c r="N722" s="175"/>
      <c r="P722" s="8"/>
    </row>
    <row r="723" spans="1:16" s="1206" customFormat="1" ht="18" customHeight="1" x14ac:dyDescent="0.3">
      <c r="A723" s="583">
        <v>714</v>
      </c>
      <c r="B723" s="1200"/>
      <c r="C723" s="1189"/>
      <c r="D723" s="1201" t="s">
        <v>308</v>
      </c>
      <c r="E723" s="1191"/>
      <c r="F723" s="1202"/>
      <c r="G723" s="1752"/>
      <c r="H723" s="1203"/>
      <c r="I723" s="1186">
        <f>SUM(J723:N723)</f>
        <v>553</v>
      </c>
      <c r="J723" s="1204"/>
      <c r="K723" s="1204"/>
      <c r="L723" s="1204"/>
      <c r="M723" s="1204"/>
      <c r="N723" s="1205">
        <v>553</v>
      </c>
      <c r="P723" s="1193"/>
    </row>
    <row r="724" spans="1:16" s="1206" customFormat="1" ht="18" customHeight="1" x14ac:dyDescent="0.3">
      <c r="A724" s="583">
        <v>715</v>
      </c>
      <c r="B724" s="1214"/>
      <c r="C724" s="1189"/>
      <c r="D724" s="1324" t="s">
        <v>1158</v>
      </c>
      <c r="E724" s="1195"/>
      <c r="F724" s="1215"/>
      <c r="G724" s="1755"/>
      <c r="H724" s="1218"/>
      <c r="I724" s="568">
        <f t="shared" ref="I724" si="177">SUM(J724:N724)</f>
        <v>553</v>
      </c>
      <c r="J724" s="1216"/>
      <c r="K724" s="1216"/>
      <c r="L724" s="1216"/>
      <c r="M724" s="1216"/>
      <c r="N724" s="1331">
        <v>553</v>
      </c>
      <c r="P724" s="1193"/>
    </row>
    <row r="725" spans="1:16" s="1206" customFormat="1" ht="18" customHeight="1" x14ac:dyDescent="0.3">
      <c r="A725" s="583">
        <v>716</v>
      </c>
      <c r="B725" s="1214"/>
      <c r="C725" s="1189"/>
      <c r="D725" s="1325" t="s">
        <v>947</v>
      </c>
      <c r="E725" s="1195"/>
      <c r="F725" s="1215"/>
      <c r="G725" s="1755"/>
      <c r="H725" s="1218"/>
      <c r="I725" s="1321">
        <f t="shared" ref="I725:I726" si="178">SUM(J725:N725)</f>
        <v>0</v>
      </c>
      <c r="J725" s="1330"/>
      <c r="K725" s="1330"/>
      <c r="L725" s="1330"/>
      <c r="M725" s="1330"/>
      <c r="N725" s="1331"/>
      <c r="P725" s="1193"/>
    </row>
    <row r="726" spans="1:16" s="1206" customFormat="1" ht="18" customHeight="1" x14ac:dyDescent="0.3">
      <c r="A726" s="583">
        <v>717</v>
      </c>
      <c r="B726" s="1214"/>
      <c r="C726" s="1189"/>
      <c r="D726" s="1324" t="s">
        <v>1250</v>
      </c>
      <c r="E726" s="1195"/>
      <c r="F726" s="1215"/>
      <c r="G726" s="1755"/>
      <c r="H726" s="1218"/>
      <c r="I726" s="568">
        <f t="shared" si="178"/>
        <v>553</v>
      </c>
      <c r="J726" s="1330"/>
      <c r="K726" s="1330"/>
      <c r="L726" s="1330"/>
      <c r="M726" s="1330"/>
      <c r="N726" s="1331">
        <f>SUM(N724:N725)</f>
        <v>553</v>
      </c>
      <c r="P726" s="1193"/>
    </row>
    <row r="727" spans="1:16" s="9" customFormat="1" ht="30" customHeight="1" x14ac:dyDescent="0.3">
      <c r="A727" s="583">
        <v>718</v>
      </c>
      <c r="B727" s="619"/>
      <c r="C727" s="554">
        <v>120</v>
      </c>
      <c r="D727" s="577" t="s">
        <v>557</v>
      </c>
      <c r="E727" s="195"/>
      <c r="F727" s="169">
        <v>2000</v>
      </c>
      <c r="G727" s="1756">
        <v>0</v>
      </c>
      <c r="H727" s="600" t="s">
        <v>24</v>
      </c>
      <c r="I727" s="566"/>
      <c r="J727" s="621"/>
      <c r="K727" s="621"/>
      <c r="L727" s="194"/>
      <c r="M727" s="621"/>
      <c r="N727" s="622"/>
      <c r="P727" s="8"/>
    </row>
    <row r="728" spans="1:16" s="1206" customFormat="1" ht="18" customHeight="1" x14ac:dyDescent="0.3">
      <c r="A728" s="583">
        <v>719</v>
      </c>
      <c r="B728" s="1214"/>
      <c r="C728" s="1189"/>
      <c r="D728" s="1190" t="s">
        <v>308</v>
      </c>
      <c r="E728" s="1195"/>
      <c r="F728" s="1215"/>
      <c r="G728" s="1755"/>
      <c r="H728" s="1196"/>
      <c r="I728" s="1183">
        <f>SUM(J728:N728)</f>
        <v>3700</v>
      </c>
      <c r="J728" s="1216"/>
      <c r="K728" s="1216"/>
      <c r="L728" s="1197">
        <f>2000+1700</f>
        <v>3700</v>
      </c>
      <c r="M728" s="1216"/>
      <c r="N728" s="1217"/>
      <c r="P728" s="1193"/>
    </row>
    <row r="729" spans="1:16" s="1206" customFormat="1" ht="18" customHeight="1" x14ac:dyDescent="0.3">
      <c r="A729" s="583">
        <v>720</v>
      </c>
      <c r="B729" s="1214"/>
      <c r="C729" s="1189"/>
      <c r="D729" s="576" t="s">
        <v>1158</v>
      </c>
      <c r="E729" s="1195"/>
      <c r="F729" s="1215"/>
      <c r="G729" s="1755"/>
      <c r="H729" s="1196"/>
      <c r="I729" s="566">
        <f t="shared" ref="I729:I731" si="179">SUM(J729:N729)</f>
        <v>3700</v>
      </c>
      <c r="J729" s="1216"/>
      <c r="K729" s="1216"/>
      <c r="L729" s="1319">
        <v>3700</v>
      </c>
      <c r="M729" s="1216"/>
      <c r="N729" s="1217"/>
      <c r="P729" s="1193"/>
    </row>
    <row r="730" spans="1:16" s="1206" customFormat="1" ht="18" customHeight="1" x14ac:dyDescent="0.3">
      <c r="A730" s="583">
        <v>721</v>
      </c>
      <c r="B730" s="1214"/>
      <c r="C730" s="1189"/>
      <c r="D730" s="1318" t="s">
        <v>947</v>
      </c>
      <c r="E730" s="1195"/>
      <c r="F730" s="1215"/>
      <c r="G730" s="1755"/>
      <c r="H730" s="1196"/>
      <c r="I730" s="1321">
        <f t="shared" si="179"/>
        <v>0</v>
      </c>
      <c r="J730" s="1330"/>
      <c r="K730" s="1330"/>
      <c r="L730" s="1319"/>
      <c r="M730" s="1330"/>
      <c r="N730" s="1331"/>
      <c r="P730" s="1193"/>
    </row>
    <row r="731" spans="1:16" s="1206" customFormat="1" ht="18" customHeight="1" x14ac:dyDescent="0.3">
      <c r="A731" s="583">
        <v>722</v>
      </c>
      <c r="B731" s="1214"/>
      <c r="C731" s="1189"/>
      <c r="D731" s="576" t="s">
        <v>1250</v>
      </c>
      <c r="E731" s="1195"/>
      <c r="F731" s="1215"/>
      <c r="G731" s="1755"/>
      <c r="H731" s="1196"/>
      <c r="I731" s="566">
        <f t="shared" si="179"/>
        <v>3700</v>
      </c>
      <c r="J731" s="1330"/>
      <c r="K731" s="1330"/>
      <c r="L731" s="1319">
        <f>SUM(L729:L730)</f>
        <v>3700</v>
      </c>
      <c r="M731" s="1330"/>
      <c r="N731" s="1331"/>
      <c r="P731" s="1193"/>
    </row>
    <row r="732" spans="1:16" s="665" customFormat="1" ht="22.5" customHeight="1" x14ac:dyDescent="0.35">
      <c r="A732" s="583">
        <v>723</v>
      </c>
      <c r="B732" s="664"/>
      <c r="C732" s="161">
        <v>121</v>
      </c>
      <c r="D732" s="577" t="s">
        <v>717</v>
      </c>
      <c r="E732" s="195"/>
      <c r="F732" s="169"/>
      <c r="G732" s="1756">
        <v>344</v>
      </c>
      <c r="H732" s="600" t="s">
        <v>24</v>
      </c>
      <c r="I732" s="566"/>
      <c r="J732" s="621"/>
      <c r="K732" s="621"/>
      <c r="L732" s="194"/>
      <c r="M732" s="621"/>
      <c r="N732" s="622"/>
      <c r="P732" s="3"/>
    </row>
    <row r="733" spans="1:16" s="1206" customFormat="1" ht="18" customHeight="1" x14ac:dyDescent="0.3">
      <c r="A733" s="583">
        <v>724</v>
      </c>
      <c r="B733" s="1214"/>
      <c r="C733" s="1189"/>
      <c r="D733" s="1190" t="s">
        <v>308</v>
      </c>
      <c r="E733" s="1195"/>
      <c r="F733" s="1215"/>
      <c r="G733" s="1755"/>
      <c r="H733" s="1196"/>
      <c r="I733" s="1183">
        <f>SUM(J733:N733)</f>
        <v>341</v>
      </c>
      <c r="J733" s="1216"/>
      <c r="K733" s="1216"/>
      <c r="L733" s="1197">
        <v>341</v>
      </c>
      <c r="M733" s="1216"/>
      <c r="N733" s="1217"/>
      <c r="P733" s="1193"/>
    </row>
    <row r="734" spans="1:16" s="1206" customFormat="1" ht="18" customHeight="1" x14ac:dyDescent="0.3">
      <c r="A734" s="583">
        <v>725</v>
      </c>
      <c r="B734" s="1214"/>
      <c r="C734" s="1189"/>
      <c r="D734" s="576" t="s">
        <v>1158</v>
      </c>
      <c r="E734" s="1195"/>
      <c r="F734" s="1215"/>
      <c r="G734" s="1755"/>
      <c r="H734" s="1196"/>
      <c r="I734" s="566">
        <f t="shared" ref="I734:I736" si="180">SUM(J734:N734)</f>
        <v>0</v>
      </c>
      <c r="J734" s="1216"/>
      <c r="K734" s="1216"/>
      <c r="L734" s="1319">
        <v>0</v>
      </c>
      <c r="M734" s="1216"/>
      <c r="N734" s="1217"/>
      <c r="P734" s="1193"/>
    </row>
    <row r="735" spans="1:16" s="1206" customFormat="1" ht="18" customHeight="1" x14ac:dyDescent="0.3">
      <c r="A735" s="583">
        <v>726</v>
      </c>
      <c r="B735" s="1214"/>
      <c r="C735" s="1189"/>
      <c r="D735" s="1318" t="s">
        <v>969</v>
      </c>
      <c r="E735" s="1195"/>
      <c r="F735" s="1215"/>
      <c r="G735" s="1755"/>
      <c r="H735" s="1196"/>
      <c r="I735" s="1321">
        <f t="shared" si="180"/>
        <v>0</v>
      </c>
      <c r="J735" s="1330"/>
      <c r="K735" s="1330"/>
      <c r="L735" s="621"/>
      <c r="M735" s="1330"/>
      <c r="N735" s="1331"/>
      <c r="P735" s="1193"/>
    </row>
    <row r="736" spans="1:16" s="1206" customFormat="1" ht="18" customHeight="1" x14ac:dyDescent="0.3">
      <c r="A736" s="583">
        <v>727</v>
      </c>
      <c r="B736" s="1214"/>
      <c r="C736" s="1189"/>
      <c r="D736" s="576" t="s">
        <v>1250</v>
      </c>
      <c r="E736" s="1195"/>
      <c r="F736" s="1215"/>
      <c r="G736" s="1755"/>
      <c r="H736" s="1196"/>
      <c r="I736" s="566">
        <f t="shared" si="180"/>
        <v>0</v>
      </c>
      <c r="J736" s="1330"/>
      <c r="K736" s="1330"/>
      <c r="L736" s="1319">
        <f>SUM(L734:L735)</f>
        <v>0</v>
      </c>
      <c r="M736" s="1330"/>
      <c r="N736" s="1331"/>
      <c r="P736" s="1193"/>
    </row>
    <row r="737" spans="1:16" s="665" customFormat="1" ht="22.5" customHeight="1" x14ac:dyDescent="0.35">
      <c r="A737" s="583">
        <v>728</v>
      </c>
      <c r="B737" s="664"/>
      <c r="C737" s="161">
        <v>122</v>
      </c>
      <c r="D737" s="577" t="s">
        <v>558</v>
      </c>
      <c r="E737" s="195"/>
      <c r="F737" s="169"/>
      <c r="G737" s="1756">
        <v>605</v>
      </c>
      <c r="H737" s="600" t="s">
        <v>24</v>
      </c>
      <c r="I737" s="566"/>
      <c r="J737" s="621"/>
      <c r="K737" s="621"/>
      <c r="L737" s="194"/>
      <c r="M737" s="621"/>
      <c r="N737" s="622"/>
      <c r="P737" s="3"/>
    </row>
    <row r="738" spans="1:16" s="1206" customFormat="1" ht="18" customHeight="1" x14ac:dyDescent="0.3">
      <c r="A738" s="583">
        <v>729</v>
      </c>
      <c r="B738" s="1214"/>
      <c r="C738" s="1189"/>
      <c r="D738" s="1190" t="s">
        <v>308</v>
      </c>
      <c r="E738" s="1195"/>
      <c r="F738" s="1215"/>
      <c r="G738" s="1755"/>
      <c r="H738" s="1218"/>
      <c r="I738" s="1183">
        <f>SUM(J738:N738)</f>
        <v>1895</v>
      </c>
      <c r="J738" s="1216"/>
      <c r="K738" s="1216"/>
      <c r="L738" s="1197">
        <v>1895</v>
      </c>
      <c r="M738" s="1216"/>
      <c r="N738" s="1217"/>
      <c r="P738" s="1193"/>
    </row>
    <row r="739" spans="1:16" s="1206" customFormat="1" ht="18" customHeight="1" x14ac:dyDescent="0.3">
      <c r="A739" s="583">
        <v>730</v>
      </c>
      <c r="B739" s="1214"/>
      <c r="C739" s="1189"/>
      <c r="D739" s="576" t="s">
        <v>1158</v>
      </c>
      <c r="E739" s="1195"/>
      <c r="F739" s="1215"/>
      <c r="G739" s="1755"/>
      <c r="H739" s="1218"/>
      <c r="I739" s="566">
        <f t="shared" ref="I739:I741" si="181">SUM(J739:N739)</f>
        <v>1895</v>
      </c>
      <c r="J739" s="1216"/>
      <c r="K739" s="1216"/>
      <c r="L739" s="1319">
        <v>1895</v>
      </c>
      <c r="M739" s="1216"/>
      <c r="N739" s="1217"/>
      <c r="P739" s="1193"/>
    </row>
    <row r="740" spans="1:16" s="1206" customFormat="1" ht="18" customHeight="1" x14ac:dyDescent="0.3">
      <c r="A740" s="583">
        <v>731</v>
      </c>
      <c r="B740" s="1214"/>
      <c r="C740" s="1189"/>
      <c r="D740" s="1318" t="s">
        <v>947</v>
      </c>
      <c r="E740" s="1195"/>
      <c r="F740" s="1215"/>
      <c r="G740" s="1755"/>
      <c r="H740" s="1218"/>
      <c r="I740" s="1321">
        <f t="shared" si="181"/>
        <v>0</v>
      </c>
      <c r="J740" s="1330"/>
      <c r="K740" s="1330"/>
      <c r="L740" s="1319"/>
      <c r="M740" s="1330"/>
      <c r="N740" s="1331"/>
      <c r="P740" s="1193"/>
    </row>
    <row r="741" spans="1:16" s="1206" customFormat="1" ht="18" customHeight="1" x14ac:dyDescent="0.3">
      <c r="A741" s="583">
        <v>732</v>
      </c>
      <c r="B741" s="1214"/>
      <c r="C741" s="1189"/>
      <c r="D741" s="576" t="s">
        <v>1250</v>
      </c>
      <c r="E741" s="1195"/>
      <c r="F741" s="1215"/>
      <c r="G741" s="1755"/>
      <c r="H741" s="1218"/>
      <c r="I741" s="566">
        <f t="shared" si="181"/>
        <v>1895</v>
      </c>
      <c r="J741" s="1330"/>
      <c r="K741" s="1330"/>
      <c r="L741" s="1319">
        <f>SUM(L739:L740)</f>
        <v>1895</v>
      </c>
      <c r="M741" s="1330"/>
      <c r="N741" s="1331"/>
      <c r="P741" s="1193"/>
    </row>
    <row r="742" spans="1:16" s="665" customFormat="1" ht="22.5" customHeight="1" x14ac:dyDescent="0.35">
      <c r="A742" s="583">
        <v>733</v>
      </c>
      <c r="B742" s="664"/>
      <c r="C742" s="161">
        <v>123</v>
      </c>
      <c r="D742" s="577" t="s">
        <v>929</v>
      </c>
      <c r="E742" s="195"/>
      <c r="F742" s="169"/>
      <c r="G742" s="1756">
        <v>3000</v>
      </c>
      <c r="H742" s="600" t="s">
        <v>24</v>
      </c>
      <c r="I742" s="566"/>
      <c r="J742" s="621"/>
      <c r="K742" s="621"/>
      <c r="L742" s="194"/>
      <c r="M742" s="621"/>
      <c r="N742" s="622"/>
      <c r="P742" s="3"/>
    </row>
    <row r="743" spans="1:16" s="1206" customFormat="1" ht="18" customHeight="1" x14ac:dyDescent="0.3">
      <c r="A743" s="583">
        <v>734</v>
      </c>
      <c r="B743" s="1214"/>
      <c r="C743" s="1189"/>
      <c r="D743" s="1190" t="s">
        <v>308</v>
      </c>
      <c r="E743" s="1195"/>
      <c r="F743" s="1215"/>
      <c r="G743" s="1755"/>
      <c r="H743" s="1218"/>
      <c r="I743" s="1183">
        <f>SUM(J743:N743)</f>
        <v>3000</v>
      </c>
      <c r="J743" s="1216"/>
      <c r="K743" s="1216"/>
      <c r="L743" s="1197">
        <v>3000</v>
      </c>
      <c r="M743" s="1216"/>
      <c r="N743" s="1217"/>
      <c r="P743" s="1193"/>
    </row>
    <row r="744" spans="1:16" s="1206" customFormat="1" ht="18" customHeight="1" x14ac:dyDescent="0.3">
      <c r="A744" s="583">
        <v>735</v>
      </c>
      <c r="B744" s="1214"/>
      <c r="C744" s="1189"/>
      <c r="D744" s="576" t="s">
        <v>1158</v>
      </c>
      <c r="E744" s="1195"/>
      <c r="F744" s="1215"/>
      <c r="G744" s="1755"/>
      <c r="H744" s="1218"/>
      <c r="I744" s="566">
        <f t="shared" ref="I744:I746" si="182">SUM(J744:N744)</f>
        <v>3000</v>
      </c>
      <c r="J744" s="1216"/>
      <c r="K744" s="1216"/>
      <c r="L744" s="1319">
        <v>3000</v>
      </c>
      <c r="M744" s="1216"/>
      <c r="N744" s="1217"/>
      <c r="P744" s="1193"/>
    </row>
    <row r="745" spans="1:16" s="1206" customFormat="1" ht="18" customHeight="1" x14ac:dyDescent="0.3">
      <c r="A745" s="583">
        <v>736</v>
      </c>
      <c r="B745" s="1214"/>
      <c r="C745" s="1189"/>
      <c r="D745" s="1318" t="s">
        <v>947</v>
      </c>
      <c r="E745" s="1195"/>
      <c r="F745" s="1215"/>
      <c r="G745" s="1755"/>
      <c r="H745" s="1218"/>
      <c r="I745" s="1321">
        <f t="shared" si="182"/>
        <v>0</v>
      </c>
      <c r="J745" s="1330"/>
      <c r="K745" s="1330"/>
      <c r="L745" s="1319"/>
      <c r="M745" s="1330"/>
      <c r="N745" s="1331"/>
      <c r="P745" s="1193"/>
    </row>
    <row r="746" spans="1:16" s="1206" customFormat="1" ht="18" customHeight="1" x14ac:dyDescent="0.3">
      <c r="A746" s="583">
        <v>737</v>
      </c>
      <c r="B746" s="1214"/>
      <c r="C746" s="1189"/>
      <c r="D746" s="576" t="s">
        <v>1250</v>
      </c>
      <c r="E746" s="1195"/>
      <c r="F746" s="1215"/>
      <c r="G746" s="1755"/>
      <c r="H746" s="1218"/>
      <c r="I746" s="566">
        <f t="shared" si="182"/>
        <v>3000</v>
      </c>
      <c r="J746" s="1330"/>
      <c r="K746" s="1330"/>
      <c r="L746" s="1319">
        <f>SUM(L744:L745)</f>
        <v>3000</v>
      </c>
      <c r="M746" s="1330"/>
      <c r="N746" s="1331"/>
      <c r="P746" s="1193"/>
    </row>
    <row r="747" spans="1:16" s="665" customFormat="1" ht="22.5" customHeight="1" x14ac:dyDescent="0.35">
      <c r="A747" s="583">
        <v>738</v>
      </c>
      <c r="B747" s="664"/>
      <c r="C747" s="161">
        <v>124</v>
      </c>
      <c r="D747" s="577" t="s">
        <v>559</v>
      </c>
      <c r="E747" s="195"/>
      <c r="F747" s="169">
        <v>1100</v>
      </c>
      <c r="G747" s="1756"/>
      <c r="H747" s="600" t="s">
        <v>24</v>
      </c>
      <c r="I747" s="566"/>
      <c r="J747" s="621"/>
      <c r="K747" s="621"/>
      <c r="L747" s="194"/>
      <c r="M747" s="621"/>
      <c r="N747" s="622"/>
      <c r="P747" s="3"/>
    </row>
    <row r="748" spans="1:16" s="1206" customFormat="1" ht="18" customHeight="1" x14ac:dyDescent="0.3">
      <c r="A748" s="583">
        <v>739</v>
      </c>
      <c r="B748" s="1214"/>
      <c r="C748" s="1189"/>
      <c r="D748" s="1190" t="s">
        <v>308</v>
      </c>
      <c r="E748" s="1195"/>
      <c r="F748" s="1215"/>
      <c r="G748" s="1755"/>
      <c r="H748" s="1218"/>
      <c r="I748" s="1183">
        <f>SUM(J748:N748)</f>
        <v>2800</v>
      </c>
      <c r="J748" s="1216"/>
      <c r="K748" s="1216"/>
      <c r="L748" s="1197">
        <f>1100+1700</f>
        <v>2800</v>
      </c>
      <c r="M748" s="1216"/>
      <c r="N748" s="1217"/>
      <c r="P748" s="1193"/>
    </row>
    <row r="749" spans="1:16" s="1206" customFormat="1" ht="18" customHeight="1" x14ac:dyDescent="0.3">
      <c r="A749" s="583">
        <v>740</v>
      </c>
      <c r="B749" s="1214"/>
      <c r="C749" s="1189"/>
      <c r="D749" s="576" t="s">
        <v>1158</v>
      </c>
      <c r="E749" s="1195"/>
      <c r="F749" s="1215"/>
      <c r="G749" s="1755"/>
      <c r="H749" s="1218"/>
      <c r="I749" s="566">
        <f t="shared" ref="I749:I751" si="183">SUM(J749:N749)</f>
        <v>2800</v>
      </c>
      <c r="J749" s="1216"/>
      <c r="K749" s="1216"/>
      <c r="L749" s="1319">
        <v>2800</v>
      </c>
      <c r="M749" s="1216"/>
      <c r="N749" s="1217"/>
      <c r="P749" s="1193"/>
    </row>
    <row r="750" spans="1:16" s="1206" customFormat="1" ht="18" customHeight="1" x14ac:dyDescent="0.3">
      <c r="A750" s="583">
        <v>741</v>
      </c>
      <c r="B750" s="1214"/>
      <c r="C750" s="1189"/>
      <c r="D750" s="1318" t="s">
        <v>947</v>
      </c>
      <c r="E750" s="1195"/>
      <c r="F750" s="1215"/>
      <c r="G750" s="1755"/>
      <c r="H750" s="1218"/>
      <c r="I750" s="1321">
        <f t="shared" si="183"/>
        <v>0</v>
      </c>
      <c r="J750" s="1330"/>
      <c r="K750" s="1330"/>
      <c r="L750" s="1319"/>
      <c r="M750" s="1330"/>
      <c r="N750" s="1331"/>
      <c r="P750" s="1193"/>
    </row>
    <row r="751" spans="1:16" s="1206" customFormat="1" ht="18" customHeight="1" x14ac:dyDescent="0.3">
      <c r="A751" s="583">
        <v>742</v>
      </c>
      <c r="B751" s="1214"/>
      <c r="C751" s="1189"/>
      <c r="D751" s="576" t="s">
        <v>1250</v>
      </c>
      <c r="E751" s="1195"/>
      <c r="F751" s="1215"/>
      <c r="G751" s="1755"/>
      <c r="H751" s="1218"/>
      <c r="I751" s="566">
        <f t="shared" si="183"/>
        <v>2800</v>
      </c>
      <c r="J751" s="1330"/>
      <c r="K751" s="1330"/>
      <c r="L751" s="1319">
        <f>SUM(L749:L750)</f>
        <v>2800</v>
      </c>
      <c r="M751" s="1330"/>
      <c r="N751" s="1331"/>
      <c r="P751" s="1193"/>
    </row>
    <row r="752" spans="1:16" s="8" customFormat="1" ht="22.5" customHeight="1" x14ac:dyDescent="0.3">
      <c r="A752" s="583">
        <v>743</v>
      </c>
      <c r="B752" s="182"/>
      <c r="C752" s="161">
        <v>125</v>
      </c>
      <c r="D752" s="576" t="s">
        <v>390</v>
      </c>
      <c r="E752" s="195"/>
      <c r="F752" s="169"/>
      <c r="G752" s="1745"/>
      <c r="H752" s="600" t="s">
        <v>24</v>
      </c>
      <c r="I752" s="566"/>
      <c r="J752" s="194"/>
      <c r="K752" s="194"/>
      <c r="L752" s="194"/>
      <c r="M752" s="194"/>
      <c r="N752" s="200"/>
    </row>
    <row r="753" spans="1:16" s="1193" customFormat="1" ht="18" customHeight="1" x14ac:dyDescent="0.3">
      <c r="A753" s="583">
        <v>744</v>
      </c>
      <c r="B753" s="1219"/>
      <c r="C753" s="1220"/>
      <c r="D753" s="1190" t="s">
        <v>308</v>
      </c>
      <c r="E753" s="1195"/>
      <c r="F753" s="1215"/>
      <c r="G753" s="1756">
        <v>6531</v>
      </c>
      <c r="H753" s="1196"/>
      <c r="I753" s="1183">
        <f>SUM(J753:N753)</f>
        <v>13969</v>
      </c>
      <c r="J753" s="1197"/>
      <c r="K753" s="1197"/>
      <c r="L753" s="1197"/>
      <c r="M753" s="1197"/>
      <c r="N753" s="1198">
        <f>1969+12000</f>
        <v>13969</v>
      </c>
    </row>
    <row r="754" spans="1:16" s="1193" customFormat="1" ht="18" customHeight="1" x14ac:dyDescent="0.3">
      <c r="A754" s="583">
        <v>745</v>
      </c>
      <c r="B754" s="1219"/>
      <c r="C754" s="1220"/>
      <c r="D754" s="576" t="s">
        <v>1158</v>
      </c>
      <c r="E754" s="1195"/>
      <c r="F754" s="1215"/>
      <c r="G754" s="1756"/>
      <c r="H754" s="1196"/>
      <c r="I754" s="566">
        <f t="shared" ref="I754:I756" si="184">SUM(J754:N754)</f>
        <v>13969</v>
      </c>
      <c r="J754" s="1197"/>
      <c r="K754" s="1197"/>
      <c r="L754" s="1197"/>
      <c r="M754" s="1197"/>
      <c r="N754" s="1320">
        <v>13969</v>
      </c>
    </row>
    <row r="755" spans="1:16" s="1193" customFormat="1" ht="18" customHeight="1" x14ac:dyDescent="0.3">
      <c r="A755" s="583">
        <v>746</v>
      </c>
      <c r="B755" s="1219"/>
      <c r="C755" s="1220"/>
      <c r="D755" s="1318" t="s">
        <v>947</v>
      </c>
      <c r="E755" s="1195"/>
      <c r="F755" s="1215"/>
      <c r="G755" s="1751"/>
      <c r="H755" s="1196"/>
      <c r="I755" s="1321">
        <f t="shared" si="184"/>
        <v>0</v>
      </c>
      <c r="J755" s="1319"/>
      <c r="K755" s="1319"/>
      <c r="L755" s="1319"/>
      <c r="M755" s="1319"/>
      <c r="N755" s="1320"/>
    </row>
    <row r="756" spans="1:16" s="1193" customFormat="1" ht="18" customHeight="1" x14ac:dyDescent="0.3">
      <c r="A756" s="583">
        <v>747</v>
      </c>
      <c r="B756" s="1219"/>
      <c r="C756" s="1220"/>
      <c r="D756" s="576" t="s">
        <v>1250</v>
      </c>
      <c r="E756" s="1195"/>
      <c r="F756" s="1215"/>
      <c r="G756" s="1751"/>
      <c r="H756" s="1196"/>
      <c r="I756" s="566">
        <f t="shared" si="184"/>
        <v>13969</v>
      </c>
      <c r="J756" s="1319"/>
      <c r="K756" s="1319"/>
      <c r="L756" s="1319"/>
      <c r="M756" s="1319"/>
      <c r="N756" s="1320">
        <f>SUM(N754:N755)</f>
        <v>13969</v>
      </c>
    </row>
    <row r="757" spans="1:16" s="8" customFormat="1" ht="22.5" customHeight="1" x14ac:dyDescent="0.3">
      <c r="A757" s="583">
        <v>748</v>
      </c>
      <c r="B757" s="182"/>
      <c r="C757" s="161">
        <v>126</v>
      </c>
      <c r="D757" s="576" t="s">
        <v>819</v>
      </c>
      <c r="E757" s="195"/>
      <c r="F757" s="169"/>
      <c r="G757" s="1745"/>
      <c r="H757" s="600" t="s">
        <v>23</v>
      </c>
      <c r="I757" s="566"/>
      <c r="J757" s="194"/>
      <c r="K757" s="194"/>
      <c r="L757" s="194"/>
      <c r="M757" s="194"/>
      <c r="N757" s="200"/>
    </row>
    <row r="758" spans="1:16" s="1193" customFormat="1" ht="18" customHeight="1" x14ac:dyDescent="0.3">
      <c r="A758" s="583">
        <v>749</v>
      </c>
      <c r="B758" s="1219"/>
      <c r="C758" s="1220"/>
      <c r="D758" s="1190" t="s">
        <v>308</v>
      </c>
      <c r="E758" s="1195"/>
      <c r="F758" s="1215"/>
      <c r="G758" s="1751"/>
      <c r="H758" s="1196"/>
      <c r="I758" s="1183">
        <f>SUM(J758:N758)</f>
        <v>41912</v>
      </c>
      <c r="J758" s="1197"/>
      <c r="K758" s="1197"/>
      <c r="L758" s="1197">
        <v>41912</v>
      </c>
      <c r="M758" s="1197"/>
      <c r="N758" s="1198"/>
    </row>
    <row r="759" spans="1:16" s="1193" customFormat="1" ht="18" customHeight="1" x14ac:dyDescent="0.3">
      <c r="A759" s="583">
        <v>750</v>
      </c>
      <c r="B759" s="1219"/>
      <c r="C759" s="1220"/>
      <c r="D759" s="576" t="s">
        <v>1158</v>
      </c>
      <c r="E759" s="1195"/>
      <c r="F759" s="1215"/>
      <c r="G759" s="1751"/>
      <c r="H759" s="1196"/>
      <c r="I759" s="566">
        <f t="shared" ref="I759:I761" si="185">SUM(J759:N759)</f>
        <v>41912</v>
      </c>
      <c r="J759" s="1197"/>
      <c r="K759" s="1197"/>
      <c r="L759" s="1319">
        <v>41912</v>
      </c>
      <c r="M759" s="1197"/>
      <c r="N759" s="1198"/>
    </row>
    <row r="760" spans="1:16" s="1193" customFormat="1" ht="18" customHeight="1" x14ac:dyDescent="0.3">
      <c r="A760" s="583">
        <v>751</v>
      </c>
      <c r="B760" s="1219"/>
      <c r="C760" s="1220"/>
      <c r="D760" s="1318" t="s">
        <v>947</v>
      </c>
      <c r="E760" s="1195"/>
      <c r="F760" s="1215"/>
      <c r="G760" s="1751"/>
      <c r="H760" s="1196"/>
      <c r="I760" s="1321">
        <f t="shared" si="185"/>
        <v>0</v>
      </c>
      <c r="J760" s="1319"/>
      <c r="K760" s="1319"/>
      <c r="L760" s="1319"/>
      <c r="M760" s="1319"/>
      <c r="N760" s="1320"/>
    </row>
    <row r="761" spans="1:16" s="1193" customFormat="1" ht="18" customHeight="1" x14ac:dyDescent="0.3">
      <c r="A761" s="583">
        <v>752</v>
      </c>
      <c r="B761" s="1219"/>
      <c r="C761" s="1220"/>
      <c r="D761" s="576" t="s">
        <v>1250</v>
      </c>
      <c r="E761" s="1195"/>
      <c r="F761" s="1215"/>
      <c r="G761" s="1751"/>
      <c r="H761" s="1196"/>
      <c r="I761" s="566">
        <f t="shared" si="185"/>
        <v>41912</v>
      </c>
      <c r="J761" s="1319"/>
      <c r="K761" s="1319"/>
      <c r="L761" s="1319">
        <f>SUM(L759:L760)</f>
        <v>41912</v>
      </c>
      <c r="M761" s="1319"/>
      <c r="N761" s="1320"/>
    </row>
    <row r="762" spans="1:16" s="8" customFormat="1" ht="22.5" customHeight="1" x14ac:dyDescent="0.3">
      <c r="A762" s="583">
        <v>753</v>
      </c>
      <c r="B762" s="182"/>
      <c r="C762" s="161">
        <v>127</v>
      </c>
      <c r="D762" s="576" t="s">
        <v>504</v>
      </c>
      <c r="E762" s="195"/>
      <c r="F762" s="169"/>
      <c r="G762" s="1745"/>
      <c r="H762" s="598" t="s">
        <v>24</v>
      </c>
      <c r="I762" s="566"/>
      <c r="J762" s="194"/>
      <c r="K762" s="194"/>
      <c r="L762" s="194"/>
      <c r="M762" s="194"/>
      <c r="N762" s="200"/>
    </row>
    <row r="763" spans="1:16" s="1193" customFormat="1" ht="18" customHeight="1" x14ac:dyDescent="0.3">
      <c r="A763" s="583">
        <v>754</v>
      </c>
      <c r="B763" s="1219"/>
      <c r="C763" s="1220"/>
      <c r="D763" s="1190" t="s">
        <v>308</v>
      </c>
      <c r="E763" s="1195"/>
      <c r="F763" s="1215"/>
      <c r="G763" s="1756">
        <v>268</v>
      </c>
      <c r="H763" s="1192"/>
      <c r="I763" s="1183">
        <f>SUM(J763:N763)</f>
        <v>509</v>
      </c>
      <c r="J763" s="1197"/>
      <c r="K763" s="1197"/>
      <c r="L763" s="1197">
        <v>509</v>
      </c>
      <c r="M763" s="1197"/>
      <c r="N763" s="1198"/>
    </row>
    <row r="764" spans="1:16" s="1193" customFormat="1" ht="18" customHeight="1" x14ac:dyDescent="0.3">
      <c r="A764" s="583">
        <v>755</v>
      </c>
      <c r="B764" s="1219"/>
      <c r="C764" s="1220"/>
      <c r="D764" s="576" t="s">
        <v>1158</v>
      </c>
      <c r="E764" s="1195"/>
      <c r="F764" s="1215"/>
      <c r="G764" s="1756"/>
      <c r="H764" s="1196"/>
      <c r="I764" s="566">
        <f t="shared" ref="I764:I766" si="186">SUM(J764:N764)</f>
        <v>509</v>
      </c>
      <c r="J764" s="1197"/>
      <c r="K764" s="1197"/>
      <c r="L764" s="1319">
        <v>509</v>
      </c>
      <c r="M764" s="1197"/>
      <c r="N764" s="1198"/>
    </row>
    <row r="765" spans="1:16" s="1193" customFormat="1" ht="18" customHeight="1" x14ac:dyDescent="0.3">
      <c r="A765" s="583">
        <v>756</v>
      </c>
      <c r="B765" s="1219"/>
      <c r="C765" s="1220"/>
      <c r="D765" s="1318" t="s">
        <v>947</v>
      </c>
      <c r="E765" s="1195"/>
      <c r="F765" s="1215"/>
      <c r="G765" s="1756"/>
      <c r="H765" s="1196"/>
      <c r="I765" s="1321">
        <f t="shared" si="186"/>
        <v>0</v>
      </c>
      <c r="J765" s="1319"/>
      <c r="K765" s="1319"/>
      <c r="L765" s="1319"/>
      <c r="M765" s="1319"/>
      <c r="N765" s="1320"/>
    </row>
    <row r="766" spans="1:16" s="1193" customFormat="1" ht="18" customHeight="1" x14ac:dyDescent="0.3">
      <c r="A766" s="583">
        <v>757</v>
      </c>
      <c r="B766" s="1219"/>
      <c r="C766" s="1220"/>
      <c r="D766" s="576" t="s">
        <v>1250</v>
      </c>
      <c r="E766" s="1195"/>
      <c r="F766" s="1215"/>
      <c r="G766" s="1756"/>
      <c r="H766" s="1196"/>
      <c r="I766" s="566">
        <f t="shared" si="186"/>
        <v>509</v>
      </c>
      <c r="J766" s="1319"/>
      <c r="K766" s="1319"/>
      <c r="L766" s="1319">
        <f>SUM(L764:L765)</f>
        <v>509</v>
      </c>
      <c r="M766" s="1319"/>
      <c r="N766" s="1320"/>
    </row>
    <row r="767" spans="1:16" s="3" customFormat="1" ht="22.5" customHeight="1" x14ac:dyDescent="0.3">
      <c r="A767" s="583">
        <v>758</v>
      </c>
      <c r="B767" s="181"/>
      <c r="C767" s="161">
        <v>128</v>
      </c>
      <c r="D767" s="576" t="s">
        <v>709</v>
      </c>
      <c r="E767" s="195"/>
      <c r="F767" s="195"/>
      <c r="G767" s="1756"/>
      <c r="H767" s="600" t="s">
        <v>24</v>
      </c>
      <c r="I767" s="566"/>
      <c r="J767" s="194"/>
      <c r="K767" s="194"/>
      <c r="L767" s="194"/>
      <c r="M767" s="194"/>
      <c r="N767" s="200"/>
      <c r="O767" s="8"/>
      <c r="P767" s="8"/>
    </row>
    <row r="768" spans="1:16" s="1199" customFormat="1" ht="18" customHeight="1" x14ac:dyDescent="0.35">
      <c r="A768" s="583">
        <v>759</v>
      </c>
      <c r="B768" s="1210"/>
      <c r="C768" s="1220"/>
      <c r="D768" s="1190" t="s">
        <v>308</v>
      </c>
      <c r="E768" s="1195"/>
      <c r="F768" s="1195"/>
      <c r="G768" s="1756">
        <v>698</v>
      </c>
      <c r="H768" s="1196"/>
      <c r="I768" s="1183">
        <f>SUM(J768:N768)</f>
        <v>687</v>
      </c>
      <c r="J768" s="1197"/>
      <c r="K768" s="1197"/>
      <c r="L768" s="1197">
        <v>687</v>
      </c>
      <c r="M768" s="1197"/>
      <c r="N768" s="1198"/>
      <c r="O768" s="1193"/>
      <c r="P768" s="1193"/>
    </row>
    <row r="769" spans="1:16" s="1199" customFormat="1" ht="18" customHeight="1" x14ac:dyDescent="0.35">
      <c r="A769" s="583">
        <v>760</v>
      </c>
      <c r="B769" s="1210"/>
      <c r="C769" s="1220"/>
      <c r="D769" s="576" t="s">
        <v>1158</v>
      </c>
      <c r="E769" s="1195"/>
      <c r="F769" s="1195"/>
      <c r="G769" s="1756"/>
      <c r="H769" s="1196"/>
      <c r="I769" s="566">
        <f t="shared" ref="I769:I771" si="187">SUM(J769:N769)</f>
        <v>687</v>
      </c>
      <c r="J769" s="1197"/>
      <c r="K769" s="1197"/>
      <c r="L769" s="1319">
        <v>687</v>
      </c>
      <c r="M769" s="1197"/>
      <c r="N769" s="1198"/>
      <c r="O769" s="1193"/>
      <c r="P769" s="1193"/>
    </row>
    <row r="770" spans="1:16" s="1199" customFormat="1" ht="18" customHeight="1" x14ac:dyDescent="0.35">
      <c r="A770" s="583">
        <v>761</v>
      </c>
      <c r="B770" s="1210"/>
      <c r="C770" s="1220"/>
      <c r="D770" s="1318" t="s">
        <v>947</v>
      </c>
      <c r="E770" s="1195"/>
      <c r="F770" s="1195"/>
      <c r="G770" s="1756"/>
      <c r="H770" s="1196"/>
      <c r="I770" s="1321">
        <f t="shared" si="187"/>
        <v>0</v>
      </c>
      <c r="J770" s="1319"/>
      <c r="K770" s="1319"/>
      <c r="L770" s="1319"/>
      <c r="M770" s="1319"/>
      <c r="N770" s="1320"/>
      <c r="O770" s="1193"/>
      <c r="P770" s="1193"/>
    </row>
    <row r="771" spans="1:16" s="1199" customFormat="1" ht="18" customHeight="1" x14ac:dyDescent="0.35">
      <c r="A771" s="583">
        <v>762</v>
      </c>
      <c r="B771" s="1210"/>
      <c r="C771" s="1220"/>
      <c r="D771" s="576" t="s">
        <v>1250</v>
      </c>
      <c r="E771" s="1195"/>
      <c r="F771" s="1195"/>
      <c r="G771" s="1756"/>
      <c r="H771" s="1196"/>
      <c r="I771" s="566">
        <f t="shared" si="187"/>
        <v>687</v>
      </c>
      <c r="J771" s="1319"/>
      <c r="K771" s="1319"/>
      <c r="L771" s="1319">
        <f>SUM(L769:L770)</f>
        <v>687</v>
      </c>
      <c r="M771" s="1319"/>
      <c r="N771" s="1320"/>
      <c r="O771" s="1193"/>
      <c r="P771" s="1193"/>
    </row>
    <row r="772" spans="1:16" s="3" customFormat="1" ht="22.5" customHeight="1" x14ac:dyDescent="0.3">
      <c r="A772" s="583">
        <v>763</v>
      </c>
      <c r="B772" s="181"/>
      <c r="C772" s="161">
        <v>129</v>
      </c>
      <c r="D772" s="576" t="s">
        <v>710</v>
      </c>
      <c r="E772" s="195"/>
      <c r="F772" s="195"/>
      <c r="G772" s="1756"/>
      <c r="H772" s="600" t="s">
        <v>24</v>
      </c>
      <c r="I772" s="566"/>
      <c r="J772" s="194"/>
      <c r="K772" s="194"/>
      <c r="L772" s="194"/>
      <c r="M772" s="194"/>
      <c r="N772" s="200"/>
      <c r="O772" s="8"/>
      <c r="P772" s="8"/>
    </row>
    <row r="773" spans="1:16" s="1199" customFormat="1" ht="18" customHeight="1" x14ac:dyDescent="0.35">
      <c r="A773" s="583">
        <v>764</v>
      </c>
      <c r="B773" s="1210"/>
      <c r="C773" s="1220"/>
      <c r="D773" s="1190" t="s">
        <v>308</v>
      </c>
      <c r="E773" s="1195"/>
      <c r="F773" s="1195"/>
      <c r="G773" s="1756"/>
      <c r="H773" s="1196"/>
      <c r="I773" s="1183">
        <f>SUM(J773:N773)</f>
        <v>4000</v>
      </c>
      <c r="J773" s="1197"/>
      <c r="K773" s="1197"/>
      <c r="L773" s="1197">
        <v>4000</v>
      </c>
      <c r="M773" s="1197"/>
      <c r="N773" s="1198"/>
      <c r="O773" s="1193"/>
      <c r="P773" s="1193"/>
    </row>
    <row r="774" spans="1:16" s="1199" customFormat="1" ht="18" customHeight="1" x14ac:dyDescent="0.35">
      <c r="A774" s="583">
        <v>765</v>
      </c>
      <c r="B774" s="1210"/>
      <c r="C774" s="1220"/>
      <c r="D774" s="576" t="s">
        <v>1158</v>
      </c>
      <c r="E774" s="1195"/>
      <c r="F774" s="1195"/>
      <c r="G774" s="1756"/>
      <c r="H774" s="1196"/>
      <c r="I774" s="566">
        <f t="shared" ref="I774:I776" si="188">SUM(J774:N774)</f>
        <v>0</v>
      </c>
      <c r="J774" s="1197"/>
      <c r="K774" s="1197"/>
      <c r="L774" s="1319">
        <v>0</v>
      </c>
      <c r="M774" s="1197"/>
      <c r="N774" s="1198"/>
      <c r="O774" s="1193"/>
      <c r="P774" s="1193"/>
    </row>
    <row r="775" spans="1:16" s="1199" customFormat="1" ht="18" customHeight="1" x14ac:dyDescent="0.35">
      <c r="A775" s="583">
        <v>766</v>
      </c>
      <c r="B775" s="1210"/>
      <c r="C775" s="1220"/>
      <c r="D775" s="1318" t="s">
        <v>970</v>
      </c>
      <c r="E775" s="1195"/>
      <c r="F775" s="1195"/>
      <c r="G775" s="1756"/>
      <c r="H775" s="1196"/>
      <c r="I775" s="1321">
        <f t="shared" si="188"/>
        <v>0</v>
      </c>
      <c r="J775" s="1319"/>
      <c r="K775" s="1319"/>
      <c r="L775" s="621"/>
      <c r="M775" s="1197"/>
      <c r="N775" s="1198"/>
      <c r="O775" s="1193"/>
      <c r="P775" s="1193"/>
    </row>
    <row r="776" spans="1:16" s="1199" customFormat="1" ht="18" customHeight="1" x14ac:dyDescent="0.35">
      <c r="A776" s="583">
        <v>767</v>
      </c>
      <c r="B776" s="1210"/>
      <c r="C776" s="1220"/>
      <c r="D776" s="576" t="s">
        <v>1250</v>
      </c>
      <c r="E776" s="1195"/>
      <c r="F776" s="1195"/>
      <c r="G776" s="1756"/>
      <c r="H776" s="1196"/>
      <c r="I776" s="566">
        <f t="shared" si="188"/>
        <v>0</v>
      </c>
      <c r="J776" s="1319"/>
      <c r="K776" s="1319"/>
      <c r="L776" s="1319">
        <f>SUM(L774:L775)</f>
        <v>0</v>
      </c>
      <c r="M776" s="1197"/>
      <c r="N776" s="1198"/>
      <c r="O776" s="1193"/>
      <c r="P776" s="1193"/>
    </row>
    <row r="777" spans="1:16" s="3" customFormat="1" ht="22.5" customHeight="1" x14ac:dyDescent="0.3">
      <c r="A777" s="583">
        <v>768</v>
      </c>
      <c r="B777" s="181"/>
      <c r="C777" s="161">
        <v>130</v>
      </c>
      <c r="D777" s="576" t="s">
        <v>711</v>
      </c>
      <c r="E777" s="195"/>
      <c r="F777" s="195"/>
      <c r="G777" s="1756"/>
      <c r="H777" s="600" t="s">
        <v>24</v>
      </c>
      <c r="I777" s="566"/>
      <c r="J777" s="194"/>
      <c r="K777" s="194"/>
      <c r="L777" s="194"/>
      <c r="M777" s="194"/>
      <c r="N777" s="200"/>
      <c r="O777" s="8"/>
      <c r="P777" s="8"/>
    </row>
    <row r="778" spans="1:16" s="1199" customFormat="1" ht="18" customHeight="1" x14ac:dyDescent="0.35">
      <c r="A778" s="583">
        <v>769</v>
      </c>
      <c r="B778" s="1210"/>
      <c r="C778" s="1220"/>
      <c r="D778" s="1190" t="s">
        <v>308</v>
      </c>
      <c r="E778" s="1195"/>
      <c r="F778" s="1195"/>
      <c r="G778" s="1756">
        <v>4389</v>
      </c>
      <c r="H778" s="1196"/>
      <c r="I778" s="1183">
        <f>SUM(J778:N778)</f>
        <v>1811</v>
      </c>
      <c r="J778" s="1197"/>
      <c r="K778" s="1197"/>
      <c r="L778" s="1197">
        <v>1811</v>
      </c>
      <c r="M778" s="1197"/>
      <c r="N778" s="1198"/>
      <c r="O778" s="1193"/>
      <c r="P778" s="1193"/>
    </row>
    <row r="779" spans="1:16" s="1199" customFormat="1" ht="18" customHeight="1" x14ac:dyDescent="0.35">
      <c r="A779" s="583">
        <v>770</v>
      </c>
      <c r="B779" s="1210"/>
      <c r="C779" s="1220"/>
      <c r="D779" s="576" t="s">
        <v>1158</v>
      </c>
      <c r="E779" s="1195"/>
      <c r="F779" s="1195"/>
      <c r="G779" s="1756"/>
      <c r="H779" s="1196"/>
      <c r="I779" s="566">
        <f t="shared" ref="I779:I781" si="189">SUM(J779:N779)</f>
        <v>0</v>
      </c>
      <c r="J779" s="1197"/>
      <c r="K779" s="1197"/>
      <c r="L779" s="1319">
        <v>0</v>
      </c>
      <c r="M779" s="1197"/>
      <c r="N779" s="1198"/>
      <c r="O779" s="1193"/>
      <c r="P779" s="1193"/>
    </row>
    <row r="780" spans="1:16" s="1199" customFormat="1" ht="18" customHeight="1" x14ac:dyDescent="0.35">
      <c r="A780" s="583">
        <v>771</v>
      </c>
      <c r="B780" s="1210"/>
      <c r="C780" s="1220"/>
      <c r="D780" s="1318" t="s">
        <v>947</v>
      </c>
      <c r="E780" s="1195"/>
      <c r="F780" s="1195"/>
      <c r="G780" s="1756"/>
      <c r="H780" s="1196"/>
      <c r="I780" s="1321">
        <f t="shared" si="189"/>
        <v>0</v>
      </c>
      <c r="J780" s="1319"/>
      <c r="K780" s="1319"/>
      <c r="L780" s="621"/>
      <c r="M780" s="1197"/>
      <c r="N780" s="1198"/>
      <c r="O780" s="1193"/>
      <c r="P780" s="1193"/>
    </row>
    <row r="781" spans="1:16" s="1199" customFormat="1" ht="18" customHeight="1" x14ac:dyDescent="0.35">
      <c r="A781" s="583">
        <v>772</v>
      </c>
      <c r="B781" s="1210"/>
      <c r="C781" s="1220"/>
      <c r="D781" s="576" t="s">
        <v>1250</v>
      </c>
      <c r="E781" s="1195"/>
      <c r="F781" s="1195"/>
      <c r="G781" s="1756"/>
      <c r="H781" s="1196"/>
      <c r="I781" s="566">
        <f t="shared" si="189"/>
        <v>0</v>
      </c>
      <c r="J781" s="1319"/>
      <c r="K781" s="1319"/>
      <c r="L781" s="1319">
        <f>SUM(L779:L780)</f>
        <v>0</v>
      </c>
      <c r="M781" s="1197"/>
      <c r="N781" s="1198"/>
      <c r="O781" s="1193"/>
      <c r="P781" s="1193"/>
    </row>
    <row r="782" spans="1:16" s="8" customFormat="1" ht="22.5" customHeight="1" x14ac:dyDescent="0.3">
      <c r="A782" s="583">
        <v>773</v>
      </c>
      <c r="B782" s="182"/>
      <c r="C782" s="161">
        <v>131</v>
      </c>
      <c r="D782" s="576" t="s">
        <v>568</v>
      </c>
      <c r="E782" s="195"/>
      <c r="F782" s="169"/>
      <c r="G782" s="1756"/>
      <c r="H782" s="598" t="s">
        <v>24</v>
      </c>
      <c r="I782" s="566"/>
      <c r="J782" s="194"/>
      <c r="K782" s="194"/>
      <c r="L782" s="194"/>
      <c r="M782" s="194"/>
      <c r="N782" s="200"/>
    </row>
    <row r="783" spans="1:16" s="1193" customFormat="1" ht="18" customHeight="1" x14ac:dyDescent="0.3">
      <c r="A783" s="583">
        <v>774</v>
      </c>
      <c r="B783" s="1219"/>
      <c r="C783" s="1220"/>
      <c r="D783" s="1190" t="s">
        <v>308</v>
      </c>
      <c r="E783" s="1195"/>
      <c r="F783" s="1215"/>
      <c r="G783" s="1756"/>
      <c r="H783" s="1192"/>
      <c r="I783" s="1183">
        <f>SUM(J783:N783)</f>
        <v>377</v>
      </c>
      <c r="J783" s="1197"/>
      <c r="K783" s="1197"/>
      <c r="L783" s="1197">
        <v>377</v>
      </c>
      <c r="M783" s="1197"/>
      <c r="N783" s="1198"/>
    </row>
    <row r="784" spans="1:16" s="1193" customFormat="1" ht="18" customHeight="1" x14ac:dyDescent="0.3">
      <c r="A784" s="583">
        <v>775</v>
      </c>
      <c r="B784" s="1219"/>
      <c r="C784" s="1220"/>
      <c r="D784" s="576" t="s">
        <v>1158</v>
      </c>
      <c r="E784" s="1195"/>
      <c r="F784" s="1215"/>
      <c r="G784" s="1756"/>
      <c r="H784" s="1192"/>
      <c r="I784" s="566">
        <f t="shared" ref="I784:I786" si="190">SUM(J784:N784)</f>
        <v>0</v>
      </c>
      <c r="J784" s="1197"/>
      <c r="K784" s="1197"/>
      <c r="L784" s="1319">
        <v>0</v>
      </c>
      <c r="M784" s="1197"/>
      <c r="N784" s="1198"/>
    </row>
    <row r="785" spans="1:16" s="1193" customFormat="1" ht="18" customHeight="1" x14ac:dyDescent="0.3">
      <c r="A785" s="583">
        <v>776</v>
      </c>
      <c r="B785" s="1219"/>
      <c r="C785" s="1220"/>
      <c r="D785" s="1318" t="s">
        <v>969</v>
      </c>
      <c r="E785" s="1195"/>
      <c r="F785" s="1215"/>
      <c r="G785" s="1756"/>
      <c r="H785" s="1192"/>
      <c r="I785" s="1321">
        <f t="shared" si="190"/>
        <v>0</v>
      </c>
      <c r="J785" s="1319"/>
      <c r="K785" s="1319"/>
      <c r="L785" s="1330"/>
      <c r="M785" s="1197"/>
      <c r="N785" s="1198"/>
    </row>
    <row r="786" spans="1:16" s="1193" customFormat="1" ht="18" customHeight="1" x14ac:dyDescent="0.3">
      <c r="A786" s="583">
        <v>777</v>
      </c>
      <c r="B786" s="1219"/>
      <c r="C786" s="1220"/>
      <c r="D786" s="576" t="s">
        <v>1250</v>
      </c>
      <c r="E786" s="1195"/>
      <c r="F786" s="1215"/>
      <c r="G786" s="1756"/>
      <c r="H786" s="1192"/>
      <c r="I786" s="566">
        <f t="shared" si="190"/>
        <v>0</v>
      </c>
      <c r="J786" s="1319"/>
      <c r="K786" s="1319"/>
      <c r="L786" s="1319">
        <f>SUM(L784:L785)</f>
        <v>0</v>
      </c>
      <c r="M786" s="1197"/>
      <c r="N786" s="1198"/>
    </row>
    <row r="787" spans="1:16" s="3" customFormat="1" ht="22.5" customHeight="1" x14ac:dyDescent="0.3">
      <c r="A787" s="583">
        <v>778</v>
      </c>
      <c r="B787" s="164"/>
      <c r="C787" s="161">
        <v>132</v>
      </c>
      <c r="D787" s="576" t="s">
        <v>273</v>
      </c>
      <c r="E787" s="163"/>
      <c r="F787" s="163"/>
      <c r="G787" s="1749"/>
      <c r="H787" s="598" t="s">
        <v>24</v>
      </c>
      <c r="I787" s="567"/>
      <c r="J787" s="170"/>
      <c r="K787" s="170"/>
      <c r="L787" s="170"/>
      <c r="M787" s="170"/>
      <c r="N787" s="171"/>
      <c r="O787" s="8"/>
      <c r="P787" s="8"/>
    </row>
    <row r="788" spans="1:16" s="1199" customFormat="1" ht="18" customHeight="1" x14ac:dyDescent="0.35">
      <c r="A788" s="583">
        <v>779</v>
      </c>
      <c r="B788" s="1188"/>
      <c r="C788" s="1220"/>
      <c r="D788" s="1221" t="s">
        <v>308</v>
      </c>
      <c r="E788" s="1191"/>
      <c r="F788" s="1191"/>
      <c r="G788" s="1749"/>
      <c r="H788" s="1192"/>
      <c r="I788" s="1183">
        <f>SUM(J788:N788)</f>
        <v>1210</v>
      </c>
      <c r="J788" s="1187"/>
      <c r="K788" s="1187"/>
      <c r="L788" s="1187">
        <v>1210</v>
      </c>
      <c r="M788" s="1187"/>
      <c r="N788" s="1222"/>
      <c r="O788" s="1193"/>
      <c r="P788" s="1193"/>
    </row>
    <row r="789" spans="1:16" s="1199" customFormat="1" ht="18" customHeight="1" x14ac:dyDescent="0.35">
      <c r="A789" s="583">
        <v>780</v>
      </c>
      <c r="B789" s="1188"/>
      <c r="C789" s="1220"/>
      <c r="D789" s="576" t="s">
        <v>1158</v>
      </c>
      <c r="E789" s="1191"/>
      <c r="F789" s="1191"/>
      <c r="G789" s="1749"/>
      <c r="H789" s="1192"/>
      <c r="I789" s="566">
        <f t="shared" ref="I789:I791" si="191">SUM(J789:N789)</f>
        <v>1210</v>
      </c>
      <c r="J789" s="1187"/>
      <c r="K789" s="1187"/>
      <c r="L789" s="1327">
        <v>1210</v>
      </c>
      <c r="M789" s="1187"/>
      <c r="N789" s="1222"/>
      <c r="O789" s="1193"/>
      <c r="P789" s="1193"/>
    </row>
    <row r="790" spans="1:16" s="1199" customFormat="1" ht="18" customHeight="1" x14ac:dyDescent="0.35">
      <c r="A790" s="583">
        <v>781</v>
      </c>
      <c r="B790" s="1188"/>
      <c r="C790" s="1220"/>
      <c r="D790" s="1318" t="s">
        <v>947</v>
      </c>
      <c r="E790" s="1191"/>
      <c r="F790" s="1191"/>
      <c r="G790" s="1749"/>
      <c r="H790" s="1192"/>
      <c r="I790" s="1321">
        <f t="shared" si="191"/>
        <v>0</v>
      </c>
      <c r="J790" s="1327"/>
      <c r="K790" s="1327"/>
      <c r="L790" s="1327"/>
      <c r="M790" s="1187"/>
      <c r="N790" s="1222"/>
      <c r="O790" s="1193"/>
      <c r="P790" s="1193"/>
    </row>
    <row r="791" spans="1:16" s="1199" customFormat="1" ht="18" customHeight="1" x14ac:dyDescent="0.35">
      <c r="A791" s="583">
        <v>782</v>
      </c>
      <c r="B791" s="1188"/>
      <c r="C791" s="1220"/>
      <c r="D791" s="576" t="s">
        <v>1250</v>
      </c>
      <c r="E791" s="1191"/>
      <c r="F791" s="1191"/>
      <c r="G791" s="1749"/>
      <c r="H791" s="1192"/>
      <c r="I791" s="566">
        <f t="shared" si="191"/>
        <v>1210</v>
      </c>
      <c r="J791" s="1327"/>
      <c r="K791" s="1327"/>
      <c r="L791" s="1327">
        <f>SUM(L789:L790)</f>
        <v>1210</v>
      </c>
      <c r="M791" s="1187"/>
      <c r="N791" s="1222"/>
      <c r="O791" s="1193"/>
      <c r="P791" s="1193"/>
    </row>
    <row r="792" spans="1:16" s="3" customFormat="1" ht="22.5" customHeight="1" x14ac:dyDescent="0.3">
      <c r="A792" s="583">
        <v>783</v>
      </c>
      <c r="B792" s="164"/>
      <c r="C792" s="161">
        <v>133</v>
      </c>
      <c r="D792" s="576" t="s">
        <v>1015</v>
      </c>
      <c r="E792" s="163"/>
      <c r="F792" s="163"/>
      <c r="G792" s="1749"/>
      <c r="H792" s="598" t="s">
        <v>24</v>
      </c>
      <c r="I792" s="567"/>
      <c r="J792" s="170"/>
      <c r="K792" s="170"/>
      <c r="L792" s="170"/>
      <c r="M792" s="170"/>
      <c r="N792" s="171"/>
      <c r="O792" s="8"/>
      <c r="P792" s="8"/>
    </row>
    <row r="793" spans="1:16" s="1199" customFormat="1" ht="18" customHeight="1" x14ac:dyDescent="0.35">
      <c r="A793" s="583">
        <v>784</v>
      </c>
      <c r="B793" s="1188"/>
      <c r="C793" s="1220"/>
      <c r="D793" s="1221" t="s">
        <v>308</v>
      </c>
      <c r="E793" s="1191"/>
      <c r="F793" s="1191"/>
      <c r="G793" s="1749"/>
      <c r="H793" s="1192"/>
      <c r="I793" s="1183">
        <f>SUM(J793:N793)</f>
        <v>1254</v>
      </c>
      <c r="J793" s="1187"/>
      <c r="K793" s="1187"/>
      <c r="L793" s="1187">
        <v>1254</v>
      </c>
      <c r="M793" s="1187"/>
      <c r="N793" s="1222"/>
      <c r="O793" s="1193"/>
      <c r="P793" s="1193"/>
    </row>
    <row r="794" spans="1:16" s="1199" customFormat="1" ht="18" customHeight="1" x14ac:dyDescent="0.35">
      <c r="A794" s="583">
        <v>785</v>
      </c>
      <c r="B794" s="1188"/>
      <c r="C794" s="1220"/>
      <c r="D794" s="576" t="s">
        <v>1158</v>
      </c>
      <c r="E794" s="1191"/>
      <c r="F794" s="1191"/>
      <c r="G794" s="1749"/>
      <c r="H794" s="1192"/>
      <c r="I794" s="566">
        <f t="shared" ref="I794:I796" si="192">SUM(J794:N794)</f>
        <v>1254</v>
      </c>
      <c r="J794" s="1187"/>
      <c r="K794" s="1187"/>
      <c r="L794" s="1327">
        <v>1254</v>
      </c>
      <c r="M794" s="1187"/>
      <c r="N794" s="1222"/>
      <c r="O794" s="1193"/>
      <c r="P794" s="1193"/>
    </row>
    <row r="795" spans="1:16" s="1199" customFormat="1" ht="18" customHeight="1" x14ac:dyDescent="0.35">
      <c r="A795" s="583">
        <v>786</v>
      </c>
      <c r="B795" s="1188"/>
      <c r="C795" s="1220"/>
      <c r="D795" s="1318" t="s">
        <v>947</v>
      </c>
      <c r="E795" s="1191"/>
      <c r="F795" s="1191"/>
      <c r="G795" s="1749"/>
      <c r="H795" s="1192"/>
      <c r="I795" s="1321">
        <f t="shared" si="192"/>
        <v>0</v>
      </c>
      <c r="J795" s="1327"/>
      <c r="K795" s="1327"/>
      <c r="L795" s="1327"/>
      <c r="M795" s="1187"/>
      <c r="N795" s="1222"/>
      <c r="O795" s="1193"/>
      <c r="P795" s="1193"/>
    </row>
    <row r="796" spans="1:16" s="1199" customFormat="1" ht="18" customHeight="1" x14ac:dyDescent="0.35">
      <c r="A796" s="583">
        <v>787</v>
      </c>
      <c r="B796" s="1188"/>
      <c r="C796" s="1220"/>
      <c r="D796" s="576" t="s">
        <v>1250</v>
      </c>
      <c r="E796" s="1191"/>
      <c r="F796" s="1191"/>
      <c r="G796" s="1749"/>
      <c r="H796" s="1192"/>
      <c r="I796" s="566">
        <f t="shared" si="192"/>
        <v>1254</v>
      </c>
      <c r="J796" s="1327"/>
      <c r="K796" s="1327"/>
      <c r="L796" s="1327">
        <f>SUM(L794:L795)</f>
        <v>1254</v>
      </c>
      <c r="M796" s="1187"/>
      <c r="N796" s="1222"/>
      <c r="O796" s="1193"/>
      <c r="P796" s="1193"/>
    </row>
    <row r="797" spans="1:16" s="3" customFormat="1" ht="22.5" customHeight="1" x14ac:dyDescent="0.3">
      <c r="A797" s="583">
        <v>788</v>
      </c>
      <c r="B797" s="164"/>
      <c r="C797" s="161">
        <v>134</v>
      </c>
      <c r="D797" s="576" t="s">
        <v>509</v>
      </c>
      <c r="E797" s="163"/>
      <c r="F797" s="163"/>
      <c r="G797" s="1749"/>
      <c r="H797" s="598" t="s">
        <v>24</v>
      </c>
      <c r="I797" s="567"/>
      <c r="J797" s="170"/>
      <c r="K797" s="170"/>
      <c r="L797" s="170"/>
      <c r="M797" s="170"/>
      <c r="N797" s="171"/>
      <c r="O797" s="8"/>
      <c r="P797" s="8"/>
    </row>
    <row r="798" spans="1:16" s="1199" customFormat="1" ht="18" customHeight="1" x14ac:dyDescent="0.35">
      <c r="A798" s="583">
        <v>789</v>
      </c>
      <c r="B798" s="1188"/>
      <c r="C798" s="1220"/>
      <c r="D798" s="1221" t="s">
        <v>308</v>
      </c>
      <c r="E798" s="1191"/>
      <c r="F798" s="1191"/>
      <c r="G798" s="1749">
        <v>0</v>
      </c>
      <c r="H798" s="1192"/>
      <c r="I798" s="1183">
        <f>SUM(J798:N798)</f>
        <v>451</v>
      </c>
      <c r="J798" s="1187"/>
      <c r="K798" s="1187"/>
      <c r="L798" s="1187">
        <v>451</v>
      </c>
      <c r="M798" s="1187"/>
      <c r="N798" s="1222"/>
      <c r="O798" s="1193"/>
      <c r="P798" s="1193"/>
    </row>
    <row r="799" spans="1:16" s="1199" customFormat="1" ht="18" customHeight="1" x14ac:dyDescent="0.35">
      <c r="A799" s="583">
        <v>790</v>
      </c>
      <c r="B799" s="1188"/>
      <c r="C799" s="1220"/>
      <c r="D799" s="576" t="s">
        <v>1158</v>
      </c>
      <c r="E799" s="1191"/>
      <c r="F799" s="1191"/>
      <c r="G799" s="1749"/>
      <c r="H799" s="1192"/>
      <c r="I799" s="566">
        <f t="shared" ref="I799:I801" si="193">SUM(J799:N799)</f>
        <v>0</v>
      </c>
      <c r="J799" s="1187"/>
      <c r="K799" s="1187"/>
      <c r="L799" s="1327">
        <v>0</v>
      </c>
      <c r="M799" s="1187"/>
      <c r="N799" s="1222"/>
      <c r="O799" s="1193"/>
      <c r="P799" s="1193"/>
    </row>
    <row r="800" spans="1:16" s="1199" customFormat="1" ht="18" customHeight="1" x14ac:dyDescent="0.35">
      <c r="A800" s="583">
        <v>791</v>
      </c>
      <c r="B800" s="1188"/>
      <c r="C800" s="1220"/>
      <c r="D800" s="1318" t="s">
        <v>969</v>
      </c>
      <c r="E800" s="1191"/>
      <c r="F800" s="1191"/>
      <c r="G800" s="1749"/>
      <c r="H800" s="1192"/>
      <c r="I800" s="1321">
        <f t="shared" si="193"/>
        <v>0</v>
      </c>
      <c r="J800" s="1327"/>
      <c r="K800" s="1327"/>
      <c r="L800" s="174"/>
      <c r="M800" s="1187"/>
      <c r="N800" s="1222"/>
      <c r="O800" s="1193"/>
      <c r="P800" s="1193"/>
    </row>
    <row r="801" spans="1:16" s="1199" customFormat="1" ht="18" customHeight="1" x14ac:dyDescent="0.35">
      <c r="A801" s="583">
        <v>792</v>
      </c>
      <c r="B801" s="1188"/>
      <c r="C801" s="1220"/>
      <c r="D801" s="576" t="s">
        <v>1250</v>
      </c>
      <c r="E801" s="1191"/>
      <c r="F801" s="1191"/>
      <c r="G801" s="1749"/>
      <c r="H801" s="1192"/>
      <c r="I801" s="566">
        <f t="shared" si="193"/>
        <v>0</v>
      </c>
      <c r="J801" s="1327"/>
      <c r="K801" s="1327"/>
      <c r="L801" s="1327">
        <f>SUM(L799:L800)</f>
        <v>0</v>
      </c>
      <c r="M801" s="1187"/>
      <c r="N801" s="1222"/>
      <c r="O801" s="1193"/>
      <c r="P801" s="1193"/>
    </row>
    <row r="802" spans="1:16" s="3" customFormat="1" ht="22.5" customHeight="1" x14ac:dyDescent="0.3">
      <c r="A802" s="583">
        <v>793</v>
      </c>
      <c r="B802" s="164"/>
      <c r="C802" s="161">
        <v>135</v>
      </c>
      <c r="D802" s="576" t="s">
        <v>512</v>
      </c>
      <c r="E802" s="163"/>
      <c r="F802" s="163"/>
      <c r="G802" s="1749"/>
      <c r="H802" s="598" t="s">
        <v>24</v>
      </c>
      <c r="I802" s="567"/>
      <c r="J802" s="170"/>
      <c r="K802" s="170"/>
      <c r="L802" s="170"/>
      <c r="M802" s="170"/>
      <c r="N802" s="171"/>
      <c r="O802" s="8"/>
      <c r="P802" s="8"/>
    </row>
    <row r="803" spans="1:16" s="1199" customFormat="1" ht="18" customHeight="1" x14ac:dyDescent="0.35">
      <c r="A803" s="583">
        <v>794</v>
      </c>
      <c r="B803" s="1188"/>
      <c r="C803" s="1220"/>
      <c r="D803" s="1221" t="s">
        <v>308</v>
      </c>
      <c r="E803" s="1191"/>
      <c r="F803" s="1191"/>
      <c r="G803" s="1749">
        <v>4</v>
      </c>
      <c r="H803" s="1192"/>
      <c r="I803" s="1183">
        <f>SUM(J803:N803)</f>
        <v>259</v>
      </c>
      <c r="J803" s="1187"/>
      <c r="K803" s="1187"/>
      <c r="L803" s="1187">
        <v>259</v>
      </c>
      <c r="M803" s="1187"/>
      <c r="N803" s="1222"/>
      <c r="O803" s="1193"/>
      <c r="P803" s="1193"/>
    </row>
    <row r="804" spans="1:16" s="1199" customFormat="1" ht="18" customHeight="1" x14ac:dyDescent="0.35">
      <c r="A804" s="583">
        <v>795</v>
      </c>
      <c r="B804" s="1188"/>
      <c r="C804" s="1220"/>
      <c r="D804" s="576" t="s">
        <v>1158</v>
      </c>
      <c r="E804" s="1191"/>
      <c r="F804" s="1191"/>
      <c r="G804" s="1749"/>
      <c r="H804" s="1192"/>
      <c r="I804" s="566">
        <f t="shared" ref="I804:I806" si="194">SUM(J804:N804)</f>
        <v>259</v>
      </c>
      <c r="J804" s="1187"/>
      <c r="K804" s="1187"/>
      <c r="L804" s="1327">
        <v>259</v>
      </c>
      <c r="M804" s="1187"/>
      <c r="N804" s="1222"/>
      <c r="O804" s="1193"/>
      <c r="P804" s="1193"/>
    </row>
    <row r="805" spans="1:16" s="1199" customFormat="1" ht="18" customHeight="1" x14ac:dyDescent="0.35">
      <c r="A805" s="583">
        <v>796</v>
      </c>
      <c r="B805" s="1188"/>
      <c r="C805" s="1220"/>
      <c r="D805" s="1318" t="s">
        <v>947</v>
      </c>
      <c r="E805" s="1191"/>
      <c r="F805" s="1191"/>
      <c r="G805" s="1749"/>
      <c r="H805" s="1192"/>
      <c r="I805" s="1321">
        <f t="shared" si="194"/>
        <v>0</v>
      </c>
      <c r="J805" s="1327"/>
      <c r="K805" s="1327"/>
      <c r="L805" s="1327"/>
      <c r="M805" s="1187"/>
      <c r="N805" s="1222"/>
      <c r="O805" s="1193"/>
      <c r="P805" s="1193"/>
    </row>
    <row r="806" spans="1:16" s="1199" customFormat="1" ht="18" customHeight="1" x14ac:dyDescent="0.35">
      <c r="A806" s="583">
        <v>797</v>
      </c>
      <c r="B806" s="1188"/>
      <c r="C806" s="1220"/>
      <c r="D806" s="576" t="s">
        <v>1250</v>
      </c>
      <c r="E806" s="1191"/>
      <c r="F806" s="1191"/>
      <c r="G806" s="1749"/>
      <c r="H806" s="1192"/>
      <c r="I806" s="566">
        <f t="shared" si="194"/>
        <v>259</v>
      </c>
      <c r="J806" s="1327"/>
      <c r="K806" s="1327"/>
      <c r="L806" s="1327">
        <f>SUM(L804:L805)</f>
        <v>259</v>
      </c>
      <c r="M806" s="1187"/>
      <c r="N806" s="1222"/>
      <c r="O806" s="1193"/>
      <c r="P806" s="1193"/>
    </row>
    <row r="807" spans="1:16" s="3" customFormat="1" ht="22.5" customHeight="1" x14ac:dyDescent="0.3">
      <c r="A807" s="583">
        <v>798</v>
      </c>
      <c r="B807" s="164"/>
      <c r="C807" s="161">
        <v>136</v>
      </c>
      <c r="D807" s="576" t="s">
        <v>714</v>
      </c>
      <c r="E807" s="163"/>
      <c r="F807" s="163"/>
      <c r="G807" s="1749"/>
      <c r="H807" s="598" t="s">
        <v>24</v>
      </c>
      <c r="I807" s="566"/>
      <c r="J807" s="170"/>
      <c r="K807" s="170"/>
      <c r="L807" s="170"/>
      <c r="M807" s="170"/>
      <c r="N807" s="171"/>
      <c r="O807" s="8"/>
      <c r="P807" s="8"/>
    </row>
    <row r="808" spans="1:16" s="1199" customFormat="1" ht="18" customHeight="1" x14ac:dyDescent="0.35">
      <c r="A808" s="583">
        <v>799</v>
      </c>
      <c r="B808" s="1188"/>
      <c r="C808" s="1220"/>
      <c r="D808" s="1221" t="s">
        <v>308</v>
      </c>
      <c r="E808" s="1191"/>
      <c r="F808" s="1191"/>
      <c r="G808" s="1749"/>
      <c r="H808" s="1192"/>
      <c r="I808" s="1183">
        <f>SUM(J808:N808)</f>
        <v>480</v>
      </c>
      <c r="J808" s="1187"/>
      <c r="K808" s="1187"/>
      <c r="L808" s="1187">
        <v>480</v>
      </c>
      <c r="M808" s="1187"/>
      <c r="N808" s="1222"/>
      <c r="O808" s="1193"/>
      <c r="P808" s="1193"/>
    </row>
    <row r="809" spans="1:16" s="1199" customFormat="1" ht="18" customHeight="1" x14ac:dyDescent="0.35">
      <c r="A809" s="583">
        <v>800</v>
      </c>
      <c r="B809" s="1188"/>
      <c r="C809" s="1220"/>
      <c r="D809" s="576" t="s">
        <v>1158</v>
      </c>
      <c r="E809" s="1191"/>
      <c r="F809" s="1191"/>
      <c r="G809" s="1749"/>
      <c r="H809" s="1192"/>
      <c r="I809" s="566">
        <f t="shared" ref="I809" si="195">SUM(J809:N809)</f>
        <v>0</v>
      </c>
      <c r="J809" s="1187"/>
      <c r="K809" s="1187"/>
      <c r="L809" s="1327">
        <v>0</v>
      </c>
      <c r="M809" s="1187"/>
      <c r="N809" s="1222"/>
      <c r="O809" s="1193"/>
      <c r="P809" s="1193"/>
    </row>
    <row r="810" spans="1:16" s="1199" customFormat="1" ht="18" customHeight="1" x14ac:dyDescent="0.35">
      <c r="A810" s="583">
        <v>801</v>
      </c>
      <c r="B810" s="1188"/>
      <c r="C810" s="1220"/>
      <c r="D810" s="1318" t="s">
        <v>969</v>
      </c>
      <c r="E810" s="1191"/>
      <c r="F810" s="1191"/>
      <c r="G810" s="1749"/>
      <c r="H810" s="1192"/>
      <c r="I810" s="1321">
        <f t="shared" ref="I810:I811" si="196">SUM(J810:N810)</f>
        <v>0</v>
      </c>
      <c r="J810" s="1327"/>
      <c r="K810" s="1327"/>
      <c r="L810" s="174"/>
      <c r="M810" s="1187"/>
      <c r="N810" s="1222"/>
      <c r="O810" s="1193"/>
      <c r="P810" s="1193"/>
    </row>
    <row r="811" spans="1:16" s="1199" customFormat="1" ht="18" customHeight="1" x14ac:dyDescent="0.35">
      <c r="A811" s="583">
        <v>802</v>
      </c>
      <c r="B811" s="1188"/>
      <c r="C811" s="1220"/>
      <c r="D811" s="576" t="s">
        <v>1250</v>
      </c>
      <c r="E811" s="1191"/>
      <c r="F811" s="1191"/>
      <c r="G811" s="1749"/>
      <c r="H811" s="1192"/>
      <c r="I811" s="566">
        <f t="shared" si="196"/>
        <v>0</v>
      </c>
      <c r="J811" s="1327"/>
      <c r="K811" s="1327"/>
      <c r="L811" s="1327">
        <f>SUM(L809:L810)</f>
        <v>0</v>
      </c>
      <c r="M811" s="1187"/>
      <c r="N811" s="1222"/>
      <c r="O811" s="1193"/>
      <c r="P811" s="1193"/>
    </row>
    <row r="812" spans="1:16" s="3" customFormat="1" ht="22.5" customHeight="1" x14ac:dyDescent="0.3">
      <c r="A812" s="583">
        <v>803</v>
      </c>
      <c r="B812" s="164"/>
      <c r="C812" s="161">
        <v>137</v>
      </c>
      <c r="D812" s="576" t="s">
        <v>930</v>
      </c>
      <c r="E812" s="163"/>
      <c r="F812" s="163"/>
      <c r="G812" s="1749"/>
      <c r="H812" s="598" t="s">
        <v>24</v>
      </c>
      <c r="I812" s="566"/>
      <c r="J812" s="170"/>
      <c r="K812" s="170"/>
      <c r="L812" s="170"/>
      <c r="M812" s="170"/>
      <c r="N812" s="171"/>
      <c r="O812" s="8"/>
      <c r="P812" s="8"/>
    </row>
    <row r="813" spans="1:16" s="1199" customFormat="1" ht="18" customHeight="1" x14ac:dyDescent="0.35">
      <c r="A813" s="583">
        <v>804</v>
      </c>
      <c r="B813" s="1188"/>
      <c r="C813" s="1220"/>
      <c r="D813" s="1221" t="s">
        <v>308</v>
      </c>
      <c r="E813" s="1191"/>
      <c r="F813" s="1191"/>
      <c r="G813" s="1749"/>
      <c r="H813" s="1192"/>
      <c r="I813" s="1183">
        <f>SUM(J813:N813)</f>
        <v>362</v>
      </c>
      <c r="J813" s="1187"/>
      <c r="K813" s="1187"/>
      <c r="L813" s="1187">
        <v>362</v>
      </c>
      <c r="M813" s="1187"/>
      <c r="N813" s="1222"/>
      <c r="O813" s="1193"/>
      <c r="P813" s="1193"/>
    </row>
    <row r="814" spans="1:16" s="1199" customFormat="1" ht="18" customHeight="1" x14ac:dyDescent="0.35">
      <c r="A814" s="583">
        <v>805</v>
      </c>
      <c r="B814" s="1188"/>
      <c r="C814" s="1220"/>
      <c r="D814" s="576" t="s">
        <v>1158</v>
      </c>
      <c r="E814" s="1191"/>
      <c r="F814" s="1191"/>
      <c r="G814" s="1749"/>
      <c r="H814" s="1192"/>
      <c r="I814" s="566">
        <f t="shared" ref="I814:I816" si="197">SUM(J814:N814)</f>
        <v>362</v>
      </c>
      <c r="J814" s="1187"/>
      <c r="K814" s="1187"/>
      <c r="L814" s="1187">
        <v>362</v>
      </c>
      <c r="M814" s="1187"/>
      <c r="N814" s="1222"/>
      <c r="O814" s="1193"/>
      <c r="P814" s="1193"/>
    </row>
    <row r="815" spans="1:16" s="1199" customFormat="1" ht="18" customHeight="1" x14ac:dyDescent="0.35">
      <c r="A815" s="583">
        <v>806</v>
      </c>
      <c r="B815" s="1188"/>
      <c r="C815" s="1220"/>
      <c r="D815" s="1318" t="s">
        <v>947</v>
      </c>
      <c r="E815" s="1191"/>
      <c r="F815" s="1191"/>
      <c r="G815" s="1749"/>
      <c r="H815" s="1192"/>
      <c r="I815" s="1321">
        <f t="shared" si="197"/>
        <v>0</v>
      </c>
      <c r="J815" s="1327"/>
      <c r="K815" s="1327"/>
      <c r="L815" s="1327"/>
      <c r="M815" s="1187"/>
      <c r="N815" s="1222"/>
      <c r="O815" s="1193"/>
      <c r="P815" s="1193"/>
    </row>
    <row r="816" spans="1:16" s="1199" customFormat="1" ht="18" customHeight="1" x14ac:dyDescent="0.35">
      <c r="A816" s="583">
        <v>807</v>
      </c>
      <c r="B816" s="1188"/>
      <c r="C816" s="1220"/>
      <c r="D816" s="576" t="s">
        <v>1250</v>
      </c>
      <c r="E816" s="1191"/>
      <c r="F816" s="1191"/>
      <c r="G816" s="1749"/>
      <c r="H816" s="1192"/>
      <c r="I816" s="566">
        <f t="shared" si="197"/>
        <v>362</v>
      </c>
      <c r="J816" s="1327"/>
      <c r="K816" s="1327"/>
      <c r="L816" s="1327">
        <f>SUM(L814:L815)</f>
        <v>362</v>
      </c>
      <c r="M816" s="1187"/>
      <c r="N816" s="1222"/>
      <c r="O816" s="1193"/>
      <c r="P816" s="1193"/>
    </row>
    <row r="817" spans="1:16" s="3" customFormat="1" ht="22.5" customHeight="1" x14ac:dyDescent="0.3">
      <c r="A817" s="583">
        <v>808</v>
      </c>
      <c r="B817" s="164"/>
      <c r="C817" s="161">
        <v>138</v>
      </c>
      <c r="D817" s="576" t="s">
        <v>715</v>
      </c>
      <c r="E817" s="163"/>
      <c r="F817" s="163"/>
      <c r="G817" s="1749"/>
      <c r="H817" s="598" t="s">
        <v>24</v>
      </c>
      <c r="I817" s="566"/>
      <c r="J817" s="170"/>
      <c r="K817" s="170"/>
      <c r="L817" s="170"/>
      <c r="M817" s="170"/>
      <c r="N817" s="171"/>
      <c r="O817" s="8"/>
      <c r="P817" s="8"/>
    </row>
    <row r="818" spans="1:16" s="1199" customFormat="1" ht="18" customHeight="1" x14ac:dyDescent="0.35">
      <c r="A818" s="583">
        <v>809</v>
      </c>
      <c r="B818" s="1188"/>
      <c r="C818" s="1220"/>
      <c r="D818" s="1221" t="s">
        <v>308</v>
      </c>
      <c r="E818" s="1191"/>
      <c r="F818" s="1191"/>
      <c r="G818" s="1749"/>
      <c r="H818" s="1192"/>
      <c r="I818" s="1183">
        <f>SUM(J818:N818)</f>
        <v>400</v>
      </c>
      <c r="J818" s="1187"/>
      <c r="K818" s="1187"/>
      <c r="L818" s="1187">
        <v>400</v>
      </c>
      <c r="M818" s="1187"/>
      <c r="N818" s="1222"/>
      <c r="O818" s="1193"/>
      <c r="P818" s="1193"/>
    </row>
    <row r="819" spans="1:16" s="1199" customFormat="1" ht="18" customHeight="1" x14ac:dyDescent="0.35">
      <c r="A819" s="583">
        <v>810</v>
      </c>
      <c r="B819" s="1188"/>
      <c r="C819" s="1220"/>
      <c r="D819" s="576" t="s">
        <v>1158</v>
      </c>
      <c r="E819" s="1191"/>
      <c r="F819" s="1191"/>
      <c r="G819" s="1749"/>
      <c r="H819" s="1192"/>
      <c r="I819" s="566">
        <f t="shared" ref="I819:I821" si="198">SUM(J819:N819)</f>
        <v>400</v>
      </c>
      <c r="J819" s="1187"/>
      <c r="K819" s="1187"/>
      <c r="L819" s="1327">
        <v>400</v>
      </c>
      <c r="M819" s="1187"/>
      <c r="N819" s="1222"/>
      <c r="O819" s="1193"/>
      <c r="P819" s="1193"/>
    </row>
    <row r="820" spans="1:16" s="1199" customFormat="1" ht="18" customHeight="1" x14ac:dyDescent="0.35">
      <c r="A820" s="583">
        <v>811</v>
      </c>
      <c r="B820" s="1188"/>
      <c r="C820" s="1220"/>
      <c r="D820" s="1318" t="s">
        <v>947</v>
      </c>
      <c r="E820" s="1191"/>
      <c r="F820" s="1191"/>
      <c r="G820" s="1749"/>
      <c r="H820" s="1192"/>
      <c r="I820" s="1321">
        <f t="shared" si="198"/>
        <v>0</v>
      </c>
      <c r="J820" s="1327"/>
      <c r="K820" s="1327"/>
      <c r="L820" s="1327"/>
      <c r="M820" s="1187"/>
      <c r="N820" s="1222"/>
      <c r="O820" s="1193"/>
      <c r="P820" s="1193"/>
    </row>
    <row r="821" spans="1:16" s="1199" customFormat="1" ht="18" customHeight="1" x14ac:dyDescent="0.35">
      <c r="A821" s="583">
        <v>812</v>
      </c>
      <c r="B821" s="1188"/>
      <c r="C821" s="1220"/>
      <c r="D821" s="576" t="s">
        <v>1250</v>
      </c>
      <c r="E821" s="1191"/>
      <c r="F821" s="1191"/>
      <c r="G821" s="1749"/>
      <c r="H821" s="1192"/>
      <c r="I821" s="566">
        <f t="shared" si="198"/>
        <v>400</v>
      </c>
      <c r="J821" s="1327"/>
      <c r="K821" s="1327"/>
      <c r="L821" s="1327">
        <f>SUM(L819:L820)</f>
        <v>400</v>
      </c>
      <c r="M821" s="1187"/>
      <c r="N821" s="1222"/>
      <c r="O821" s="1193"/>
      <c r="P821" s="1193"/>
    </row>
    <row r="822" spans="1:16" s="3" customFormat="1" ht="22.5" customHeight="1" x14ac:dyDescent="0.3">
      <c r="A822" s="583">
        <v>813</v>
      </c>
      <c r="B822" s="164"/>
      <c r="C822" s="161">
        <v>139</v>
      </c>
      <c r="D822" s="576" t="s">
        <v>716</v>
      </c>
      <c r="E822" s="163"/>
      <c r="F822" s="163"/>
      <c r="G822" s="1749"/>
      <c r="H822" s="598" t="s">
        <v>24</v>
      </c>
      <c r="I822" s="566"/>
      <c r="J822" s="170"/>
      <c r="K822" s="170"/>
      <c r="L822" s="170"/>
      <c r="M822" s="170"/>
      <c r="N822" s="171"/>
      <c r="O822" s="8"/>
      <c r="P822" s="8"/>
    </row>
    <row r="823" spans="1:16" s="1199" customFormat="1" ht="18" customHeight="1" x14ac:dyDescent="0.35">
      <c r="A823" s="583">
        <v>814</v>
      </c>
      <c r="B823" s="1188"/>
      <c r="C823" s="1220"/>
      <c r="D823" s="1221" t="s">
        <v>308</v>
      </c>
      <c r="E823" s="1191"/>
      <c r="F823" s="1191"/>
      <c r="G823" s="1749"/>
      <c r="H823" s="1192"/>
      <c r="I823" s="1183">
        <f>SUM(J823:N823)</f>
        <v>738</v>
      </c>
      <c r="J823" s="1187"/>
      <c r="K823" s="1187"/>
      <c r="L823" s="1187">
        <v>738</v>
      </c>
      <c r="M823" s="1187"/>
      <c r="N823" s="1222"/>
      <c r="O823" s="1193"/>
      <c r="P823" s="1193"/>
    </row>
    <row r="824" spans="1:16" s="1199" customFormat="1" ht="18" customHeight="1" x14ac:dyDescent="0.35">
      <c r="A824" s="583">
        <v>815</v>
      </c>
      <c r="B824" s="1188"/>
      <c r="C824" s="1220"/>
      <c r="D824" s="576" t="s">
        <v>1158</v>
      </c>
      <c r="E824" s="1191"/>
      <c r="F824" s="1191"/>
      <c r="G824" s="1749"/>
      <c r="H824" s="1192"/>
      <c r="I824" s="566">
        <f t="shared" ref="I824:I826" si="199">SUM(J824:N824)</f>
        <v>738</v>
      </c>
      <c r="J824" s="1187"/>
      <c r="K824" s="1187"/>
      <c r="L824" s="1327">
        <v>738</v>
      </c>
      <c r="M824" s="1187"/>
      <c r="N824" s="1222"/>
      <c r="O824" s="1193"/>
      <c r="P824" s="1193"/>
    </row>
    <row r="825" spans="1:16" s="1199" customFormat="1" ht="18" customHeight="1" x14ac:dyDescent="0.35">
      <c r="A825" s="583">
        <v>816</v>
      </c>
      <c r="B825" s="1188"/>
      <c r="C825" s="1220"/>
      <c r="D825" s="1318" t="s">
        <v>947</v>
      </c>
      <c r="E825" s="1191"/>
      <c r="F825" s="1191"/>
      <c r="G825" s="1749"/>
      <c r="H825" s="1192"/>
      <c r="I825" s="1321">
        <f t="shared" si="199"/>
        <v>0</v>
      </c>
      <c r="J825" s="1327"/>
      <c r="K825" s="1327"/>
      <c r="L825" s="1327"/>
      <c r="M825" s="1187"/>
      <c r="N825" s="1222"/>
      <c r="O825" s="1193"/>
      <c r="P825" s="1193"/>
    </row>
    <row r="826" spans="1:16" s="1199" customFormat="1" ht="18" customHeight="1" x14ac:dyDescent="0.35">
      <c r="A826" s="583">
        <v>817</v>
      </c>
      <c r="B826" s="1188"/>
      <c r="C826" s="1220"/>
      <c r="D826" s="576" t="s">
        <v>1250</v>
      </c>
      <c r="E826" s="1191"/>
      <c r="F826" s="1191"/>
      <c r="G826" s="1749"/>
      <c r="H826" s="1192"/>
      <c r="I826" s="566">
        <f t="shared" si="199"/>
        <v>738</v>
      </c>
      <c r="J826" s="1327"/>
      <c r="K826" s="1327"/>
      <c r="L826" s="1327">
        <f>SUM(L824:L825)</f>
        <v>738</v>
      </c>
      <c r="M826" s="1187"/>
      <c r="N826" s="1222"/>
      <c r="O826" s="1193"/>
      <c r="P826" s="1193"/>
    </row>
    <row r="827" spans="1:16" s="3" customFormat="1" ht="22.5" customHeight="1" x14ac:dyDescent="0.3">
      <c r="A827" s="583">
        <v>818</v>
      </c>
      <c r="B827" s="164"/>
      <c r="C827" s="161">
        <v>140</v>
      </c>
      <c r="D827" s="576" t="s">
        <v>585</v>
      </c>
      <c r="E827" s="163"/>
      <c r="F827" s="163"/>
      <c r="G827" s="1749"/>
      <c r="H827" s="598" t="s">
        <v>24</v>
      </c>
      <c r="I827" s="567"/>
      <c r="J827" s="170"/>
      <c r="K827" s="170"/>
      <c r="L827" s="170"/>
      <c r="M827" s="170"/>
      <c r="N827" s="171"/>
      <c r="O827" s="8"/>
      <c r="P827" s="8"/>
    </row>
    <row r="828" spans="1:16" s="3" customFormat="1" ht="18" customHeight="1" x14ac:dyDescent="0.3">
      <c r="A828" s="583">
        <v>819</v>
      </c>
      <c r="B828" s="1332"/>
      <c r="C828" s="1333"/>
      <c r="D828" s="1221" t="s">
        <v>308</v>
      </c>
      <c r="E828" s="163"/>
      <c r="F828" s="163"/>
      <c r="G828" s="1749"/>
      <c r="H828" s="1334"/>
      <c r="I828" s="1183">
        <f>SUM(J828:N828)</f>
        <v>100</v>
      </c>
      <c r="J828" s="1335"/>
      <c r="K828" s="1335"/>
      <c r="L828" s="1187">
        <v>100</v>
      </c>
      <c r="M828" s="1335"/>
      <c r="N828" s="1336"/>
      <c r="O828" s="8"/>
      <c r="P828" s="8"/>
    </row>
    <row r="829" spans="1:16" s="3" customFormat="1" ht="18" customHeight="1" x14ac:dyDescent="0.3">
      <c r="A829" s="583">
        <v>820</v>
      </c>
      <c r="B829" s="1332"/>
      <c r="C829" s="1333"/>
      <c r="D829" s="576" t="s">
        <v>1158</v>
      </c>
      <c r="E829" s="163"/>
      <c r="F829" s="163"/>
      <c r="G829" s="1749"/>
      <c r="H829" s="1334"/>
      <c r="I829" s="566">
        <f t="shared" ref="I829:I843" si="200">SUM(J829:N829)</f>
        <v>0</v>
      </c>
      <c r="J829" s="1335"/>
      <c r="K829" s="1335"/>
      <c r="L829" s="1339">
        <v>0</v>
      </c>
      <c r="M829" s="1335"/>
      <c r="N829" s="1336"/>
      <c r="O829" s="8"/>
      <c r="P829" s="8"/>
    </row>
    <row r="830" spans="1:16" s="3" customFormat="1" ht="18" customHeight="1" x14ac:dyDescent="0.3">
      <c r="A830" s="583">
        <v>821</v>
      </c>
      <c r="B830" s="1332"/>
      <c r="C830" s="1333"/>
      <c r="D830" s="1318" t="s">
        <v>969</v>
      </c>
      <c r="E830" s="163"/>
      <c r="F830" s="163"/>
      <c r="G830" s="1749"/>
      <c r="H830" s="1334"/>
      <c r="I830" s="1321">
        <f t="shared" si="200"/>
        <v>0</v>
      </c>
      <c r="J830" s="1335"/>
      <c r="K830" s="1335"/>
      <c r="L830" s="1672"/>
      <c r="M830" s="1335"/>
      <c r="N830" s="1336"/>
      <c r="O830" s="8"/>
      <c r="P830" s="8"/>
    </row>
    <row r="831" spans="1:16" s="3" customFormat="1" ht="18" customHeight="1" x14ac:dyDescent="0.3">
      <c r="A831" s="583">
        <v>822</v>
      </c>
      <c r="B831" s="1332"/>
      <c r="C831" s="1333"/>
      <c r="D831" s="576" t="s">
        <v>1250</v>
      </c>
      <c r="E831" s="163"/>
      <c r="F831" s="163"/>
      <c r="G831" s="1749"/>
      <c r="H831" s="1334"/>
      <c r="I831" s="566">
        <f t="shared" si="200"/>
        <v>0</v>
      </c>
      <c r="J831" s="1335"/>
      <c r="K831" s="1335"/>
      <c r="L831" s="1339">
        <f>SUM(L829:L830)</f>
        <v>0</v>
      </c>
      <c r="M831" s="1335"/>
      <c r="N831" s="1336"/>
      <c r="O831" s="8"/>
      <c r="P831" s="8"/>
    </row>
    <row r="832" spans="1:16" s="3" customFormat="1" ht="22.5" customHeight="1" x14ac:dyDescent="0.3">
      <c r="A832" s="583">
        <v>823</v>
      </c>
      <c r="B832" s="1332"/>
      <c r="C832" s="1333">
        <v>141</v>
      </c>
      <c r="D832" s="577" t="s">
        <v>553</v>
      </c>
      <c r="E832" s="163"/>
      <c r="F832" s="163"/>
      <c r="G832" s="1749">
        <v>1956</v>
      </c>
      <c r="H832" s="1334" t="s">
        <v>23</v>
      </c>
      <c r="I832" s="1337"/>
      <c r="J832" s="1335"/>
      <c r="K832" s="1335"/>
      <c r="L832" s="1338"/>
      <c r="M832" s="1335"/>
      <c r="N832" s="1336"/>
      <c r="O832" s="8"/>
      <c r="P832" s="8"/>
    </row>
    <row r="833" spans="1:16" s="3" customFormat="1" ht="18" customHeight="1" x14ac:dyDescent="0.3">
      <c r="A833" s="583">
        <v>824</v>
      </c>
      <c r="B833" s="1332"/>
      <c r="C833" s="1333"/>
      <c r="D833" s="576" t="s">
        <v>1158</v>
      </c>
      <c r="E833" s="1674"/>
      <c r="F833" s="1675"/>
      <c r="G833" s="1834"/>
      <c r="H833" s="1334"/>
      <c r="I833" s="566">
        <f>SUM(J833:N833)</f>
        <v>159</v>
      </c>
      <c r="J833" s="1335"/>
      <c r="K833" s="1335"/>
      <c r="L833" s="1338">
        <v>3</v>
      </c>
      <c r="M833" s="1335"/>
      <c r="N833" s="1336">
        <v>156</v>
      </c>
      <c r="O833" s="8"/>
      <c r="P833" s="8"/>
    </row>
    <row r="834" spans="1:16" s="3" customFormat="1" ht="18" customHeight="1" x14ac:dyDescent="0.3">
      <c r="A834" s="583">
        <v>825</v>
      </c>
      <c r="B834" s="1332"/>
      <c r="C834" s="1333"/>
      <c r="D834" s="1318" t="s">
        <v>968</v>
      </c>
      <c r="E834" s="1674"/>
      <c r="F834" s="1675"/>
      <c r="G834" s="1757"/>
      <c r="H834" s="1334"/>
      <c r="I834" s="1321">
        <f>SUM(J834:N834)</f>
        <v>0</v>
      </c>
      <c r="J834" s="1335"/>
      <c r="K834" s="1335"/>
      <c r="L834" s="1672"/>
      <c r="M834" s="1672"/>
      <c r="N834" s="1677"/>
      <c r="O834" s="8"/>
      <c r="P834" s="8"/>
    </row>
    <row r="835" spans="1:16" s="3" customFormat="1" ht="18" customHeight="1" x14ac:dyDescent="0.3">
      <c r="A835" s="583">
        <v>826</v>
      </c>
      <c r="B835" s="1332"/>
      <c r="C835" s="1333"/>
      <c r="D835" s="576" t="s">
        <v>1250</v>
      </c>
      <c r="E835" s="1674"/>
      <c r="F835" s="1675"/>
      <c r="G835" s="1757"/>
      <c r="H835" s="1334"/>
      <c r="I835" s="566">
        <f>SUM(J835:N835)</f>
        <v>159</v>
      </c>
      <c r="J835" s="1335"/>
      <c r="K835" s="1335"/>
      <c r="L835" s="1339">
        <f>SUM(L833:L834)</f>
        <v>3</v>
      </c>
      <c r="M835" s="1339"/>
      <c r="N835" s="1676">
        <f>SUM(N833:N834)</f>
        <v>156</v>
      </c>
      <c r="O835" s="8"/>
      <c r="P835" s="8"/>
    </row>
    <row r="836" spans="1:16" s="3" customFormat="1" ht="22.5" customHeight="1" x14ac:dyDescent="0.3">
      <c r="A836" s="583">
        <v>827</v>
      </c>
      <c r="B836" s="1332"/>
      <c r="C836" s="1333">
        <v>142</v>
      </c>
      <c r="D836" s="576" t="s">
        <v>983</v>
      </c>
      <c r="E836" s="1674"/>
      <c r="F836" s="1675"/>
      <c r="G836" s="1757">
        <v>12653</v>
      </c>
      <c r="H836" s="1334" t="s">
        <v>24</v>
      </c>
      <c r="I836" s="1671"/>
      <c r="J836" s="1335"/>
      <c r="K836" s="1335"/>
      <c r="L836" s="1339"/>
      <c r="M836" s="1339"/>
      <c r="N836" s="1676"/>
      <c r="O836" s="8"/>
      <c r="P836" s="8"/>
    </row>
    <row r="837" spans="1:16" s="3" customFormat="1" ht="18" customHeight="1" x14ac:dyDescent="0.3">
      <c r="A837" s="583">
        <v>828</v>
      </c>
      <c r="B837" s="1332"/>
      <c r="C837" s="1333"/>
      <c r="D837" s="576" t="s">
        <v>1158</v>
      </c>
      <c r="E837" s="1674"/>
      <c r="F837" s="1675"/>
      <c r="G837" s="1757"/>
      <c r="H837" s="1334"/>
      <c r="I837" s="566">
        <f>SUM(J837:N837)</f>
        <v>50</v>
      </c>
      <c r="J837" s="1335"/>
      <c r="K837" s="1335"/>
      <c r="L837" s="1339"/>
      <c r="M837" s="1339"/>
      <c r="N837" s="1676">
        <v>50</v>
      </c>
      <c r="O837" s="8"/>
      <c r="P837" s="8"/>
    </row>
    <row r="838" spans="1:16" s="3" customFormat="1" ht="18" customHeight="1" x14ac:dyDescent="0.3">
      <c r="A838" s="583">
        <v>829</v>
      </c>
      <c r="B838" s="1332"/>
      <c r="C838" s="1333"/>
      <c r="D838" s="1318" t="s">
        <v>969</v>
      </c>
      <c r="E838" s="1674"/>
      <c r="F838" s="1675"/>
      <c r="G838" s="1757"/>
      <c r="H838" s="1334"/>
      <c r="I838" s="1321">
        <f>SUM(J838:N838)</f>
        <v>0</v>
      </c>
      <c r="J838" s="1335"/>
      <c r="K838" s="1335"/>
      <c r="L838" s="1339"/>
      <c r="M838" s="1339"/>
      <c r="N838" s="1677"/>
      <c r="O838" s="8"/>
      <c r="P838" s="8"/>
    </row>
    <row r="839" spans="1:16" s="3" customFormat="1" ht="18" customHeight="1" x14ac:dyDescent="0.3">
      <c r="A839" s="583">
        <v>830</v>
      </c>
      <c r="B839" s="1332"/>
      <c r="C839" s="1333"/>
      <c r="D839" s="576" t="s">
        <v>1250</v>
      </c>
      <c r="E839" s="1746"/>
      <c r="F839" s="163"/>
      <c r="G839" s="1757"/>
      <c r="H839" s="1334"/>
      <c r="I839" s="566">
        <f>SUM(J839:N839)</f>
        <v>50</v>
      </c>
      <c r="J839" s="1335"/>
      <c r="K839" s="1335"/>
      <c r="L839" s="1339"/>
      <c r="M839" s="1339"/>
      <c r="N839" s="1676">
        <f>SUM(N837:N838)</f>
        <v>50</v>
      </c>
      <c r="O839" s="8"/>
      <c r="P839" s="8"/>
    </row>
    <row r="840" spans="1:16" s="3" customFormat="1" ht="22.5" customHeight="1" x14ac:dyDescent="0.3">
      <c r="A840" s="583">
        <v>831</v>
      </c>
      <c r="B840" s="1332"/>
      <c r="C840" s="1333">
        <v>143</v>
      </c>
      <c r="D840" s="576" t="s">
        <v>980</v>
      </c>
      <c r="E840" s="576"/>
      <c r="F840" s="576"/>
      <c r="G840" s="1749"/>
      <c r="H840" s="1334" t="s">
        <v>24</v>
      </c>
      <c r="I840" s="1671"/>
      <c r="J840" s="1335"/>
      <c r="K840" s="1335"/>
      <c r="L840" s="1339"/>
      <c r="M840" s="1335"/>
      <c r="N840" s="1336"/>
      <c r="O840" s="8"/>
      <c r="P840" s="8"/>
    </row>
    <row r="841" spans="1:16" s="3" customFormat="1" ht="18" customHeight="1" x14ac:dyDescent="0.3">
      <c r="A841" s="583">
        <v>832</v>
      </c>
      <c r="B841" s="1332"/>
      <c r="C841" s="1333"/>
      <c r="D841" s="1221" t="s">
        <v>308</v>
      </c>
      <c r="E841" s="576"/>
      <c r="F841" s="576"/>
      <c r="G841" s="1749"/>
      <c r="H841" s="1334"/>
      <c r="I841" s="1183">
        <f>SUM(J841:N841)</f>
        <v>32172</v>
      </c>
      <c r="J841" s="1335"/>
      <c r="K841" s="1335"/>
      <c r="L841" s="1338">
        <v>32172</v>
      </c>
      <c r="M841" s="1335"/>
      <c r="N841" s="1336"/>
      <c r="O841" s="8"/>
      <c r="P841" s="8"/>
    </row>
    <row r="842" spans="1:16" s="3" customFormat="1" ht="18" customHeight="1" x14ac:dyDescent="0.3">
      <c r="A842" s="583">
        <v>833</v>
      </c>
      <c r="B842" s="1332"/>
      <c r="C842" s="1333"/>
      <c r="D842" s="576" t="s">
        <v>1158</v>
      </c>
      <c r="E842" s="576"/>
      <c r="F842" s="576"/>
      <c r="G842" s="1749"/>
      <c r="H842" s="1334"/>
      <c r="I842" s="566">
        <f>SUM(J842:N842)</f>
        <v>30170</v>
      </c>
      <c r="J842" s="1339">
        <v>19</v>
      </c>
      <c r="K842" s="1339">
        <v>10</v>
      </c>
      <c r="L842" s="1339">
        <v>30141</v>
      </c>
      <c r="M842" s="1335"/>
      <c r="N842" s="1336"/>
      <c r="O842" s="8"/>
      <c r="P842" s="8"/>
    </row>
    <row r="843" spans="1:16" s="3" customFormat="1" ht="18" customHeight="1" x14ac:dyDescent="0.3">
      <c r="A843" s="583">
        <v>834</v>
      </c>
      <c r="B843" s="1332"/>
      <c r="C843" s="1333"/>
      <c r="D843" s="1318" t="s">
        <v>969</v>
      </c>
      <c r="E843" s="163"/>
      <c r="F843" s="163"/>
      <c r="G843" s="1749"/>
      <c r="H843" s="1334"/>
      <c r="I843" s="1321">
        <f t="shared" si="200"/>
        <v>0</v>
      </c>
      <c r="J843" s="1335"/>
      <c r="K843" s="1335"/>
      <c r="L843" s="1672"/>
      <c r="M843" s="1335"/>
      <c r="N843" s="1336"/>
      <c r="O843" s="8"/>
      <c r="P843" s="8"/>
    </row>
    <row r="844" spans="1:16" s="3" customFormat="1" ht="18" customHeight="1" thickBot="1" x14ac:dyDescent="0.35">
      <c r="A844" s="583">
        <v>835</v>
      </c>
      <c r="B844" s="164"/>
      <c r="C844" s="161"/>
      <c r="D844" s="577" t="s">
        <v>1250</v>
      </c>
      <c r="E844" s="163"/>
      <c r="F844" s="163"/>
      <c r="G844" s="1749"/>
      <c r="H844" s="598"/>
      <c r="I844" s="566">
        <f>SUM(J844:N844)</f>
        <v>30170</v>
      </c>
      <c r="J844" s="1327">
        <f>SUM(J842:J843)</f>
        <v>19</v>
      </c>
      <c r="K844" s="1327">
        <f>SUM(K842:K843)</f>
        <v>10</v>
      </c>
      <c r="L844" s="1327">
        <f>SUM(L842:L843)</f>
        <v>30141</v>
      </c>
      <c r="M844" s="170"/>
      <c r="N844" s="171"/>
      <c r="O844" s="8"/>
      <c r="P844" s="8"/>
    </row>
    <row r="845" spans="1:16" s="1199" customFormat="1" ht="18" hidden="1" customHeight="1" thickBot="1" x14ac:dyDescent="0.4">
      <c r="A845" s="583">
        <v>841</v>
      </c>
      <c r="B845" s="1223"/>
      <c r="C845" s="1224"/>
      <c r="D845" s="1348"/>
      <c r="E845" s="1349"/>
      <c r="F845" s="1350"/>
      <c r="G845" s="1783"/>
      <c r="H845" s="1225"/>
      <c r="I845" s="1226"/>
      <c r="J845" s="1227"/>
      <c r="K845" s="1227"/>
      <c r="L845" s="1227"/>
      <c r="M845" s="1227"/>
      <c r="N845" s="1228"/>
      <c r="O845" s="1193"/>
      <c r="P845" s="1193"/>
    </row>
    <row r="846" spans="1:16" s="2026" customFormat="1" ht="22.5" hidden="1" customHeight="1" thickTop="1" x14ac:dyDescent="0.35">
      <c r="A846" s="583">
        <v>842</v>
      </c>
      <c r="B846" s="1097"/>
      <c r="C846" s="923"/>
      <c r="D846" s="576" t="s">
        <v>77</v>
      </c>
      <c r="E846" s="195">
        <v>8674</v>
      </c>
      <c r="F846" s="195">
        <v>650</v>
      </c>
      <c r="G846" s="1745">
        <v>650</v>
      </c>
      <c r="H846" s="600" t="s">
        <v>24</v>
      </c>
      <c r="I846" s="565"/>
      <c r="J846" s="194"/>
      <c r="K846" s="194"/>
      <c r="L846" s="194"/>
      <c r="M846" s="194"/>
      <c r="N846" s="200"/>
      <c r="P846" s="2027"/>
    </row>
    <row r="847" spans="1:16" s="8" customFormat="1" ht="18" hidden="1" customHeight="1" x14ac:dyDescent="0.3">
      <c r="A847" s="583">
        <v>843</v>
      </c>
      <c r="B847" s="164"/>
      <c r="C847" s="165"/>
      <c r="D847" s="166" t="s">
        <v>308</v>
      </c>
      <c r="E847" s="163"/>
      <c r="F847" s="163"/>
      <c r="G847" s="1746"/>
      <c r="H847" s="598"/>
      <c r="I847" s="566">
        <f>SUM(J847:N847)</f>
        <v>0</v>
      </c>
      <c r="J847" s="167"/>
      <c r="K847" s="167"/>
      <c r="L847" s="167"/>
      <c r="M847" s="167"/>
      <c r="N847" s="168"/>
    </row>
    <row r="848" spans="1:16" s="8" customFormat="1" ht="22.5" hidden="1" customHeight="1" x14ac:dyDescent="0.3">
      <c r="A848" s="583">
        <v>844</v>
      </c>
      <c r="B848" s="164"/>
      <c r="C848" s="161"/>
      <c r="D848" s="577" t="s">
        <v>553</v>
      </c>
      <c r="E848" s="163"/>
      <c r="F848" s="163">
        <v>2112</v>
      </c>
      <c r="G848" s="1746">
        <v>2112</v>
      </c>
      <c r="H848" s="598" t="s">
        <v>23</v>
      </c>
      <c r="I848" s="566"/>
      <c r="J848" s="167"/>
      <c r="K848" s="167"/>
      <c r="L848" s="167"/>
      <c r="M848" s="167"/>
      <c r="N848" s="168"/>
    </row>
    <row r="849" spans="1:16" s="8" customFormat="1" ht="18" hidden="1" customHeight="1" x14ac:dyDescent="0.3">
      <c r="A849" s="583">
        <v>845</v>
      </c>
      <c r="B849" s="164"/>
      <c r="C849" s="165"/>
      <c r="D849" s="166" t="s">
        <v>308</v>
      </c>
      <c r="E849" s="163"/>
      <c r="F849" s="163"/>
      <c r="G849" s="1746"/>
      <c r="H849" s="598"/>
      <c r="I849" s="566">
        <f>SUM(J849:N849)</f>
        <v>0</v>
      </c>
      <c r="J849" s="167"/>
      <c r="K849" s="167"/>
      <c r="L849" s="167"/>
      <c r="M849" s="167"/>
      <c r="N849" s="168"/>
    </row>
    <row r="850" spans="1:16" s="8" customFormat="1" ht="22.5" hidden="1" customHeight="1" x14ac:dyDescent="0.3">
      <c r="A850" s="583">
        <v>846</v>
      </c>
      <c r="B850" s="164"/>
      <c r="C850" s="161"/>
      <c r="D850" s="576" t="s">
        <v>483</v>
      </c>
      <c r="E850" s="163">
        <v>31491</v>
      </c>
      <c r="F850" s="163">
        <v>7868</v>
      </c>
      <c r="G850" s="1746">
        <v>7868</v>
      </c>
      <c r="H850" s="598" t="s">
        <v>24</v>
      </c>
      <c r="I850" s="566"/>
      <c r="J850" s="167"/>
      <c r="K850" s="167"/>
      <c r="L850" s="167"/>
      <c r="M850" s="167"/>
      <c r="N850" s="168"/>
    </row>
    <row r="851" spans="1:16" s="8" customFormat="1" ht="18" hidden="1" customHeight="1" x14ac:dyDescent="0.3">
      <c r="A851" s="583">
        <v>847</v>
      </c>
      <c r="B851" s="164"/>
      <c r="C851" s="165"/>
      <c r="D851" s="166" t="s">
        <v>308</v>
      </c>
      <c r="E851" s="163"/>
      <c r="F851" s="163"/>
      <c r="G851" s="1746"/>
      <c r="H851" s="598"/>
      <c r="I851" s="566">
        <f>SUM(J851:N851)</f>
        <v>0</v>
      </c>
      <c r="J851" s="167"/>
      <c r="K851" s="167"/>
      <c r="L851" s="167"/>
      <c r="M851" s="167"/>
      <c r="N851" s="168"/>
    </row>
    <row r="852" spans="1:16" s="3" customFormat="1" ht="22.5" hidden="1" customHeight="1" x14ac:dyDescent="0.3">
      <c r="A852" s="583">
        <v>848</v>
      </c>
      <c r="B852" s="160"/>
      <c r="C852" s="161"/>
      <c r="D852" s="577" t="s">
        <v>100</v>
      </c>
      <c r="E852" s="163"/>
      <c r="F852" s="163">
        <v>1500</v>
      </c>
      <c r="G852" s="1746">
        <v>1500</v>
      </c>
      <c r="H852" s="598" t="s">
        <v>24</v>
      </c>
      <c r="I852" s="566"/>
      <c r="J852" s="167"/>
      <c r="K852" s="167"/>
      <c r="L852" s="167"/>
      <c r="M852" s="167"/>
      <c r="N852" s="168"/>
      <c r="P852" s="8"/>
    </row>
    <row r="853" spans="1:16" s="8" customFormat="1" ht="18" hidden="1" customHeight="1" thickBot="1" x14ac:dyDescent="0.35">
      <c r="A853" s="583">
        <v>849</v>
      </c>
      <c r="B853" s="666"/>
      <c r="C853" s="1098"/>
      <c r="D853" s="1099" t="s">
        <v>308</v>
      </c>
      <c r="E853" s="676"/>
      <c r="F853" s="676"/>
      <c r="G853" s="677"/>
      <c r="H853" s="667"/>
      <c r="I853" s="1100">
        <f>SUM(J853:N853)</f>
        <v>0</v>
      </c>
      <c r="J853" s="1101"/>
      <c r="K853" s="1101"/>
      <c r="L853" s="1101"/>
      <c r="M853" s="1101"/>
      <c r="N853" s="1102"/>
    </row>
    <row r="854" spans="1:16" s="2026" customFormat="1" ht="22.5" hidden="1" customHeight="1" thickTop="1" x14ac:dyDescent="0.35">
      <c r="A854" s="583">
        <v>850</v>
      </c>
      <c r="B854" s="1097"/>
      <c r="C854" s="923"/>
      <c r="D854" s="166" t="s">
        <v>79</v>
      </c>
      <c r="E854" s="195"/>
      <c r="F854" s="195"/>
      <c r="G854" s="1745"/>
      <c r="H854" s="600" t="s">
        <v>23</v>
      </c>
      <c r="I854" s="565"/>
      <c r="J854" s="194"/>
      <c r="K854" s="194"/>
      <c r="L854" s="194"/>
      <c r="M854" s="194"/>
      <c r="N854" s="200"/>
      <c r="P854" s="2027"/>
    </row>
    <row r="855" spans="1:16" s="8" customFormat="1" ht="18" hidden="1" customHeight="1" x14ac:dyDescent="0.3">
      <c r="A855" s="583">
        <v>851</v>
      </c>
      <c r="B855" s="164"/>
      <c r="C855" s="165"/>
      <c r="D855" s="166" t="s">
        <v>308</v>
      </c>
      <c r="E855" s="163"/>
      <c r="F855" s="163"/>
      <c r="G855" s="1746"/>
      <c r="H855" s="598"/>
      <c r="I855" s="566">
        <f>SUM(J855:N855)</f>
        <v>0</v>
      </c>
      <c r="J855" s="167"/>
      <c r="K855" s="167"/>
      <c r="L855" s="167"/>
      <c r="M855" s="167"/>
      <c r="N855" s="168"/>
    </row>
    <row r="856" spans="1:16" s="3" customFormat="1" ht="22.5" hidden="1" customHeight="1" x14ac:dyDescent="0.3">
      <c r="A856" s="583">
        <v>852</v>
      </c>
      <c r="B856" s="160"/>
      <c r="C856" s="161"/>
      <c r="D856" s="162" t="s">
        <v>89</v>
      </c>
      <c r="E856" s="163"/>
      <c r="F856" s="163"/>
      <c r="G856" s="1746"/>
      <c r="H856" s="598" t="s">
        <v>23</v>
      </c>
      <c r="I856" s="566"/>
      <c r="J856" s="167"/>
      <c r="K856" s="167"/>
      <c r="L856" s="167"/>
      <c r="M856" s="167"/>
      <c r="N856" s="168"/>
      <c r="P856" s="8"/>
    </row>
    <row r="857" spans="1:16" s="8" customFormat="1" ht="18" hidden="1" customHeight="1" x14ac:dyDescent="0.3">
      <c r="A857" s="583">
        <v>853</v>
      </c>
      <c r="B857" s="164"/>
      <c r="C857" s="165"/>
      <c r="D857" s="166" t="s">
        <v>308</v>
      </c>
      <c r="E857" s="163"/>
      <c r="F857" s="163"/>
      <c r="G857" s="1746"/>
      <c r="H857" s="598"/>
      <c r="I857" s="566">
        <f>SUM(J857:N857)</f>
        <v>0</v>
      </c>
      <c r="J857" s="167"/>
      <c r="K857" s="167"/>
      <c r="L857" s="167"/>
      <c r="M857" s="167"/>
      <c r="N857" s="168"/>
    </row>
    <row r="858" spans="1:16" s="8" customFormat="1" ht="30" hidden="1" x14ac:dyDescent="0.3">
      <c r="A858" s="583">
        <v>854</v>
      </c>
      <c r="B858" s="164"/>
      <c r="C858" s="554"/>
      <c r="D858" s="166" t="s">
        <v>538</v>
      </c>
      <c r="E858" s="163"/>
      <c r="F858" s="163"/>
      <c r="G858" s="1746"/>
      <c r="H858" s="598" t="s">
        <v>24</v>
      </c>
      <c r="I858" s="566"/>
      <c r="J858" s="167"/>
      <c r="K858" s="167"/>
      <c r="L858" s="167"/>
      <c r="M858" s="167"/>
      <c r="N858" s="168"/>
    </row>
    <row r="859" spans="1:16" s="8" customFormat="1" ht="18" hidden="1" customHeight="1" x14ac:dyDescent="0.3">
      <c r="A859" s="583">
        <v>855</v>
      </c>
      <c r="B859" s="164"/>
      <c r="C859" s="165"/>
      <c r="D859" s="166" t="s">
        <v>308</v>
      </c>
      <c r="E859" s="163"/>
      <c r="F859" s="163"/>
      <c r="G859" s="1746"/>
      <c r="H859" s="598"/>
      <c r="I859" s="566">
        <f>SUM(J859:N859)</f>
        <v>0</v>
      </c>
      <c r="J859" s="167"/>
      <c r="K859" s="167"/>
      <c r="L859" s="167"/>
      <c r="M859" s="167"/>
      <c r="N859" s="168"/>
    </row>
    <row r="860" spans="1:16" s="8" customFormat="1" ht="22.5" hidden="1" customHeight="1" x14ac:dyDescent="0.3">
      <c r="A860" s="583">
        <v>856</v>
      </c>
      <c r="B860" s="164"/>
      <c r="C860" s="161"/>
      <c r="D860" s="166" t="s">
        <v>479</v>
      </c>
      <c r="E860" s="163"/>
      <c r="F860" s="163"/>
      <c r="G860" s="1746"/>
      <c r="H860" s="598" t="s">
        <v>24</v>
      </c>
      <c r="I860" s="566"/>
      <c r="J860" s="167"/>
      <c r="K860" s="167"/>
      <c r="L860" s="167"/>
      <c r="M860" s="167"/>
      <c r="N860" s="168"/>
    </row>
    <row r="861" spans="1:16" s="8" customFormat="1" ht="18" hidden="1" customHeight="1" x14ac:dyDescent="0.3">
      <c r="A861" s="583">
        <v>857</v>
      </c>
      <c r="B861" s="164"/>
      <c r="C861" s="165"/>
      <c r="D861" s="166" t="s">
        <v>308</v>
      </c>
      <c r="E861" s="163"/>
      <c r="F861" s="163"/>
      <c r="G861" s="1746"/>
      <c r="H861" s="598"/>
      <c r="I861" s="566">
        <f>SUM(J861:N861)</f>
        <v>0</v>
      </c>
      <c r="J861" s="167"/>
      <c r="K861" s="167"/>
      <c r="L861" s="167"/>
      <c r="M861" s="167"/>
      <c r="N861" s="168"/>
    </row>
    <row r="862" spans="1:16" s="8" customFormat="1" ht="22.5" hidden="1" customHeight="1" x14ac:dyDescent="0.3">
      <c r="A862" s="583">
        <v>858</v>
      </c>
      <c r="B862" s="164"/>
      <c r="C862" s="161"/>
      <c r="D862" s="162" t="s">
        <v>507</v>
      </c>
      <c r="E862" s="163"/>
      <c r="F862" s="163"/>
      <c r="G862" s="1746"/>
      <c r="H862" s="598" t="s">
        <v>24</v>
      </c>
      <c r="I862" s="566"/>
      <c r="J862" s="167"/>
      <c r="K862" s="167"/>
      <c r="L862" s="167"/>
      <c r="M862" s="167"/>
      <c r="N862" s="168"/>
    </row>
    <row r="863" spans="1:16" s="8" customFormat="1" ht="18" hidden="1" customHeight="1" x14ac:dyDescent="0.3">
      <c r="A863" s="583">
        <v>859</v>
      </c>
      <c r="B863" s="164"/>
      <c r="C863" s="165"/>
      <c r="D863" s="166" t="s">
        <v>308</v>
      </c>
      <c r="E863" s="163"/>
      <c r="F863" s="163"/>
      <c r="G863" s="1746"/>
      <c r="H863" s="598"/>
      <c r="I863" s="566">
        <f>SUM(J863:N863)</f>
        <v>0</v>
      </c>
      <c r="J863" s="167"/>
      <c r="K863" s="167"/>
      <c r="L863" s="167"/>
      <c r="M863" s="167"/>
      <c r="N863" s="168"/>
    </row>
    <row r="864" spans="1:16" s="8" customFormat="1" ht="22.5" hidden="1" customHeight="1" x14ac:dyDescent="0.3">
      <c r="A864" s="583">
        <v>860</v>
      </c>
      <c r="B864" s="178"/>
      <c r="C864" s="161"/>
      <c r="D864" s="162" t="s">
        <v>112</v>
      </c>
      <c r="E864" s="163"/>
      <c r="F864" s="163"/>
      <c r="G864" s="1746"/>
      <c r="H864" s="598" t="s">
        <v>24</v>
      </c>
      <c r="I864" s="567"/>
      <c r="J864" s="170"/>
      <c r="K864" s="170"/>
      <c r="L864" s="170"/>
      <c r="M864" s="170"/>
      <c r="N864" s="171"/>
    </row>
    <row r="865" spans="1:16" s="8" customFormat="1" ht="18" hidden="1" customHeight="1" x14ac:dyDescent="0.3">
      <c r="A865" s="583">
        <v>861</v>
      </c>
      <c r="B865" s="164"/>
      <c r="C865" s="165"/>
      <c r="D865" s="166" t="s">
        <v>308</v>
      </c>
      <c r="E865" s="163"/>
      <c r="F865" s="163"/>
      <c r="G865" s="1746"/>
      <c r="H865" s="598"/>
      <c r="I865" s="566">
        <f>SUM(J865:N865)</f>
        <v>0</v>
      </c>
      <c r="J865" s="167"/>
      <c r="K865" s="167"/>
      <c r="L865" s="167"/>
      <c r="M865" s="167"/>
      <c r="N865" s="168"/>
    </row>
    <row r="866" spans="1:16" s="8" customFormat="1" ht="22.5" hidden="1" customHeight="1" x14ac:dyDescent="0.3">
      <c r="A866" s="583">
        <v>862</v>
      </c>
      <c r="B866" s="178"/>
      <c r="C866" s="161"/>
      <c r="D866" s="162" t="s">
        <v>452</v>
      </c>
      <c r="E866" s="163"/>
      <c r="F866" s="163"/>
      <c r="G866" s="1746"/>
      <c r="H866" s="598" t="s">
        <v>24</v>
      </c>
      <c r="I866" s="567"/>
      <c r="J866" s="170"/>
      <c r="K866" s="170"/>
      <c r="L866" s="170"/>
      <c r="M866" s="170"/>
      <c r="N866" s="171"/>
    </row>
    <row r="867" spans="1:16" s="8" customFormat="1" ht="18" hidden="1" customHeight="1" x14ac:dyDescent="0.3">
      <c r="A867" s="583">
        <v>863</v>
      </c>
      <c r="B867" s="164"/>
      <c r="C867" s="165"/>
      <c r="D867" s="166" t="s">
        <v>308</v>
      </c>
      <c r="E867" s="163"/>
      <c r="F867" s="163"/>
      <c r="G867" s="1746"/>
      <c r="H867" s="598"/>
      <c r="I867" s="566">
        <f>SUM(J867:N867)</f>
        <v>0</v>
      </c>
      <c r="J867" s="167"/>
      <c r="K867" s="167"/>
      <c r="L867" s="167"/>
      <c r="M867" s="167"/>
      <c r="N867" s="168"/>
    </row>
    <row r="868" spans="1:16" s="8" customFormat="1" ht="22.5" hidden="1" customHeight="1" x14ac:dyDescent="0.3">
      <c r="A868" s="583">
        <v>864</v>
      </c>
      <c r="B868" s="178"/>
      <c r="C868" s="161"/>
      <c r="D868" s="162" t="s">
        <v>453</v>
      </c>
      <c r="E868" s="163"/>
      <c r="F868" s="163"/>
      <c r="G868" s="1746"/>
      <c r="H868" s="598" t="s">
        <v>24</v>
      </c>
      <c r="I868" s="567"/>
      <c r="J868" s="170"/>
      <c r="K868" s="170"/>
      <c r="L868" s="170"/>
      <c r="M868" s="170"/>
      <c r="N868" s="171"/>
    </row>
    <row r="869" spans="1:16" s="8" customFormat="1" ht="18" hidden="1" customHeight="1" x14ac:dyDescent="0.3">
      <c r="A869" s="583">
        <v>865</v>
      </c>
      <c r="B869" s="164"/>
      <c r="C869" s="165"/>
      <c r="D869" s="166" t="s">
        <v>308</v>
      </c>
      <c r="E869" s="163"/>
      <c r="F869" s="163"/>
      <c r="G869" s="1746"/>
      <c r="H869" s="598"/>
      <c r="I869" s="566">
        <f>SUM(J869:N869)</f>
        <v>0</v>
      </c>
      <c r="J869" s="167"/>
      <c r="K869" s="167"/>
      <c r="L869" s="167"/>
      <c r="M869" s="167"/>
      <c r="N869" s="168"/>
    </row>
    <row r="870" spans="1:16" s="8" customFormat="1" ht="22.5" hidden="1" customHeight="1" x14ac:dyDescent="0.3">
      <c r="A870" s="583">
        <v>866</v>
      </c>
      <c r="B870" s="164"/>
      <c r="C870" s="161"/>
      <c r="D870" s="166" t="s">
        <v>460</v>
      </c>
      <c r="E870" s="163"/>
      <c r="F870" s="163"/>
      <c r="G870" s="1746"/>
      <c r="H870" s="598" t="s">
        <v>24</v>
      </c>
      <c r="I870" s="566"/>
      <c r="J870" s="167"/>
      <c r="K870" s="167"/>
      <c r="L870" s="167"/>
      <c r="M870" s="167"/>
      <c r="N870" s="168"/>
    </row>
    <row r="871" spans="1:16" s="8" customFormat="1" ht="18" hidden="1" customHeight="1" x14ac:dyDescent="0.3">
      <c r="A871" s="583">
        <v>867</v>
      </c>
      <c r="B871" s="164"/>
      <c r="C871" s="165"/>
      <c r="D871" s="166" t="s">
        <v>308</v>
      </c>
      <c r="E871" s="163"/>
      <c r="F871" s="163"/>
      <c r="G871" s="1746"/>
      <c r="H871" s="598"/>
      <c r="I871" s="566">
        <f>SUM(J871:N871)</f>
        <v>0</v>
      </c>
      <c r="J871" s="167"/>
      <c r="K871" s="167"/>
      <c r="L871" s="167"/>
      <c r="M871" s="167"/>
      <c r="N871" s="168"/>
    </row>
    <row r="872" spans="1:16" s="3" customFormat="1" ht="22.5" hidden="1" customHeight="1" x14ac:dyDescent="0.3">
      <c r="A872" s="583">
        <v>868</v>
      </c>
      <c r="B872" s="160"/>
      <c r="C872" s="161"/>
      <c r="D872" s="162" t="s">
        <v>561</v>
      </c>
      <c r="E872" s="163"/>
      <c r="F872" s="163"/>
      <c r="G872" s="1746"/>
      <c r="H872" s="598" t="s">
        <v>23</v>
      </c>
      <c r="I872" s="566"/>
      <c r="J872" s="167"/>
      <c r="K872" s="167"/>
      <c r="L872" s="167"/>
      <c r="M872" s="167"/>
      <c r="N872" s="168"/>
    </row>
    <row r="873" spans="1:16" s="8" customFormat="1" ht="18" hidden="1" customHeight="1" x14ac:dyDescent="0.3">
      <c r="A873" s="583">
        <v>869</v>
      </c>
      <c r="B873" s="164"/>
      <c r="C873" s="165"/>
      <c r="D873" s="166" t="s">
        <v>308</v>
      </c>
      <c r="E873" s="163"/>
      <c r="F873" s="163"/>
      <c r="G873" s="1746"/>
      <c r="H873" s="598"/>
      <c r="I873" s="566">
        <f>SUM(J873:N873)</f>
        <v>0</v>
      </c>
      <c r="J873" s="167"/>
      <c r="K873" s="167"/>
      <c r="L873" s="167"/>
      <c r="M873" s="167"/>
      <c r="N873" s="168"/>
    </row>
    <row r="874" spans="1:16" s="8" customFormat="1" ht="31.5" hidden="1" customHeight="1" x14ac:dyDescent="0.3">
      <c r="A874" s="583">
        <v>870</v>
      </c>
      <c r="B874" s="164"/>
      <c r="C874" s="554"/>
      <c r="D874" s="166" t="s">
        <v>484</v>
      </c>
      <c r="E874" s="163"/>
      <c r="F874" s="163"/>
      <c r="G874" s="1746"/>
      <c r="H874" s="598" t="s">
        <v>24</v>
      </c>
      <c r="I874" s="566"/>
      <c r="J874" s="167"/>
      <c r="K874" s="167"/>
      <c r="L874" s="167"/>
      <c r="M874" s="167"/>
      <c r="N874" s="168"/>
    </row>
    <row r="875" spans="1:16" s="8" customFormat="1" ht="18" hidden="1" customHeight="1" x14ac:dyDescent="0.3">
      <c r="A875" s="583">
        <v>871</v>
      </c>
      <c r="B875" s="164"/>
      <c r="C875" s="165"/>
      <c r="D875" s="166" t="s">
        <v>308</v>
      </c>
      <c r="E875" s="163"/>
      <c r="F875" s="163"/>
      <c r="G875" s="1746"/>
      <c r="H875" s="598"/>
      <c r="I875" s="566">
        <f>SUM(J875:N875)</f>
        <v>0</v>
      </c>
      <c r="J875" s="167"/>
      <c r="K875" s="167"/>
      <c r="L875" s="167"/>
      <c r="M875" s="167"/>
      <c r="N875" s="168"/>
    </row>
    <row r="876" spans="1:16" s="9" customFormat="1" ht="30" hidden="1" customHeight="1" x14ac:dyDescent="0.3">
      <c r="A876" s="583">
        <v>872</v>
      </c>
      <c r="B876" s="619"/>
      <c r="C876" s="554"/>
      <c r="D876" s="162" t="s">
        <v>537</v>
      </c>
      <c r="E876" s="195"/>
      <c r="F876" s="169"/>
      <c r="G876" s="1756"/>
      <c r="H876" s="600" t="s">
        <v>24</v>
      </c>
      <c r="I876" s="566"/>
      <c r="J876" s="621"/>
      <c r="K876" s="621"/>
      <c r="L876" s="194"/>
      <c r="M876" s="621"/>
      <c r="N876" s="622"/>
      <c r="P876" s="8"/>
    </row>
    <row r="877" spans="1:16" s="9" customFormat="1" ht="18" hidden="1" customHeight="1" x14ac:dyDescent="0.3">
      <c r="A877" s="583">
        <v>873</v>
      </c>
      <c r="B877" s="619"/>
      <c r="C877" s="165"/>
      <c r="D877" s="166" t="s">
        <v>308</v>
      </c>
      <c r="E877" s="195"/>
      <c r="F877" s="169"/>
      <c r="G877" s="1756"/>
      <c r="H877" s="600"/>
      <c r="I877" s="566">
        <f>SUM(J877:N877)</f>
        <v>0</v>
      </c>
      <c r="J877" s="621"/>
      <c r="K877" s="621"/>
      <c r="L877" s="194"/>
      <c r="M877" s="621"/>
      <c r="N877" s="622"/>
      <c r="P877" s="8"/>
    </row>
    <row r="878" spans="1:16" s="665" customFormat="1" ht="22.5" hidden="1" customHeight="1" x14ac:dyDescent="0.35">
      <c r="A878" s="583">
        <v>874</v>
      </c>
      <c r="B878" s="664"/>
      <c r="C878" s="161"/>
      <c r="D878" s="162" t="s">
        <v>560</v>
      </c>
      <c r="E878" s="195"/>
      <c r="F878" s="169"/>
      <c r="G878" s="1756"/>
      <c r="H878" s="600" t="s">
        <v>24</v>
      </c>
      <c r="I878" s="566"/>
      <c r="J878" s="621"/>
      <c r="K878" s="621"/>
      <c r="L878" s="194"/>
      <c r="M878" s="621"/>
      <c r="N878" s="622"/>
      <c r="P878" s="3"/>
    </row>
    <row r="879" spans="1:16" s="9" customFormat="1" ht="18" hidden="1" customHeight="1" x14ac:dyDescent="0.3">
      <c r="A879" s="583">
        <v>875</v>
      </c>
      <c r="B879" s="619"/>
      <c r="C879" s="165"/>
      <c r="D879" s="166" t="s">
        <v>308</v>
      </c>
      <c r="E879" s="195"/>
      <c r="F879" s="169"/>
      <c r="G879" s="1756"/>
      <c r="H879" s="620"/>
      <c r="I879" s="566">
        <f>SUM(J879:N879)</f>
        <v>0</v>
      </c>
      <c r="J879" s="621"/>
      <c r="K879" s="621"/>
      <c r="L879" s="194"/>
      <c r="M879" s="621"/>
      <c r="N879" s="622"/>
      <c r="P879" s="8"/>
    </row>
    <row r="880" spans="1:16" s="665" customFormat="1" ht="22.5" hidden="1" customHeight="1" x14ac:dyDescent="0.35">
      <c r="A880" s="583">
        <v>876</v>
      </c>
      <c r="B880" s="664"/>
      <c r="C880" s="161"/>
      <c r="D880" s="162" t="s">
        <v>389</v>
      </c>
      <c r="E880" s="195"/>
      <c r="F880" s="169"/>
      <c r="G880" s="1756"/>
      <c r="H880" s="600" t="s">
        <v>24</v>
      </c>
      <c r="I880" s="566"/>
      <c r="J880" s="621"/>
      <c r="K880" s="621"/>
      <c r="L880" s="194"/>
      <c r="M880" s="621"/>
      <c r="N880" s="622"/>
      <c r="P880" s="3"/>
    </row>
    <row r="881" spans="1:16" s="9" customFormat="1" ht="18" hidden="1" customHeight="1" x14ac:dyDescent="0.3">
      <c r="A881" s="583">
        <v>877</v>
      </c>
      <c r="B881" s="619"/>
      <c r="C881" s="165"/>
      <c r="D881" s="166" t="s">
        <v>308</v>
      </c>
      <c r="E881" s="195"/>
      <c r="F881" s="169"/>
      <c r="G881" s="1756"/>
      <c r="H881" s="620"/>
      <c r="I881" s="566">
        <f>SUM(J881:N881)</f>
        <v>0</v>
      </c>
      <c r="J881" s="621"/>
      <c r="K881" s="621"/>
      <c r="L881" s="194"/>
      <c r="M881" s="621"/>
      <c r="N881" s="622"/>
      <c r="P881" s="8"/>
    </row>
    <row r="882" spans="1:16" s="8" customFormat="1" ht="22.5" hidden="1" customHeight="1" x14ac:dyDescent="0.3">
      <c r="A882" s="583">
        <v>878</v>
      </c>
      <c r="B882" s="182"/>
      <c r="C882" s="161"/>
      <c r="D882" s="166" t="s">
        <v>611</v>
      </c>
      <c r="E882" s="195"/>
      <c r="F882" s="169"/>
      <c r="G882" s="1745"/>
      <c r="H882" s="600" t="s">
        <v>24</v>
      </c>
      <c r="I882" s="566"/>
      <c r="J882" s="194"/>
      <c r="K882" s="194"/>
      <c r="L882" s="194"/>
      <c r="M882" s="194"/>
      <c r="N882" s="200"/>
    </row>
    <row r="883" spans="1:16" s="8" customFormat="1" ht="18" hidden="1" customHeight="1" x14ac:dyDescent="0.3">
      <c r="A883" s="583">
        <v>879</v>
      </c>
      <c r="B883" s="182"/>
      <c r="C883" s="161"/>
      <c r="D883" s="166" t="s">
        <v>308</v>
      </c>
      <c r="E883" s="195"/>
      <c r="F883" s="169"/>
      <c r="G883" s="1745"/>
      <c r="H883" s="600"/>
      <c r="I883" s="566">
        <f>SUM(J883:N883)</f>
        <v>0</v>
      </c>
      <c r="J883" s="194"/>
      <c r="K883" s="194"/>
      <c r="L883" s="194"/>
      <c r="M883" s="194"/>
      <c r="N883" s="200"/>
    </row>
    <row r="884" spans="1:16" s="8" customFormat="1" ht="22.5" hidden="1" customHeight="1" x14ac:dyDescent="0.3">
      <c r="A884" s="583">
        <v>880</v>
      </c>
      <c r="B884" s="182"/>
      <c r="C884" s="161"/>
      <c r="D884" s="166" t="s">
        <v>612</v>
      </c>
      <c r="E884" s="195"/>
      <c r="F884" s="169"/>
      <c r="G884" s="1745"/>
      <c r="H884" s="600" t="s">
        <v>24</v>
      </c>
      <c r="I884" s="566"/>
      <c r="J884" s="194"/>
      <c r="K884" s="194"/>
      <c r="L884" s="194"/>
      <c r="M884" s="194"/>
      <c r="N884" s="200"/>
    </row>
    <row r="885" spans="1:16" s="8" customFormat="1" ht="18" hidden="1" customHeight="1" x14ac:dyDescent="0.3">
      <c r="A885" s="583">
        <v>881</v>
      </c>
      <c r="B885" s="182"/>
      <c r="C885" s="161"/>
      <c r="D885" s="166" t="s">
        <v>308</v>
      </c>
      <c r="E885" s="195"/>
      <c r="F885" s="169"/>
      <c r="G885" s="1745"/>
      <c r="H885" s="600"/>
      <c r="I885" s="566">
        <f>SUM(J885:N885)</f>
        <v>0</v>
      </c>
      <c r="J885" s="194"/>
      <c r="K885" s="194"/>
      <c r="L885" s="194"/>
      <c r="M885" s="194"/>
      <c r="N885" s="200"/>
    </row>
    <row r="886" spans="1:16" s="8" customFormat="1" ht="33.75" hidden="1" customHeight="1" x14ac:dyDescent="0.3">
      <c r="A886" s="583">
        <v>882</v>
      </c>
      <c r="B886" s="182"/>
      <c r="C886" s="161"/>
      <c r="D886" s="166" t="s">
        <v>614</v>
      </c>
      <c r="E886" s="195"/>
      <c r="F886" s="169"/>
      <c r="G886" s="1745"/>
      <c r="H886" s="600" t="s">
        <v>24</v>
      </c>
      <c r="I886" s="566"/>
      <c r="J886" s="194"/>
      <c r="K886" s="194"/>
      <c r="L886" s="194"/>
      <c r="M886" s="194"/>
      <c r="N886" s="200"/>
    </row>
    <row r="887" spans="1:16" s="8" customFormat="1" ht="18" hidden="1" customHeight="1" x14ac:dyDescent="0.3">
      <c r="A887" s="583">
        <v>883</v>
      </c>
      <c r="B887" s="182"/>
      <c r="C887" s="161"/>
      <c r="D887" s="166" t="s">
        <v>308</v>
      </c>
      <c r="E887" s="195"/>
      <c r="F887" s="169"/>
      <c r="G887" s="1745"/>
      <c r="H887" s="600"/>
      <c r="I887" s="566">
        <f>SUM(J887:N887)</f>
        <v>0</v>
      </c>
      <c r="J887" s="194"/>
      <c r="K887" s="194"/>
      <c r="L887" s="194"/>
      <c r="M887" s="194"/>
      <c r="N887" s="200"/>
    </row>
    <row r="888" spans="1:16" s="8" customFormat="1" ht="22.5" hidden="1" customHeight="1" x14ac:dyDescent="0.3">
      <c r="A888" s="583">
        <v>884</v>
      </c>
      <c r="B888" s="182"/>
      <c r="C888" s="161"/>
      <c r="D888" s="166" t="s">
        <v>613</v>
      </c>
      <c r="E888" s="195"/>
      <c r="F888" s="169"/>
      <c r="G888" s="1745"/>
      <c r="H888" s="600" t="s">
        <v>24</v>
      </c>
      <c r="I888" s="566"/>
      <c r="J888" s="194"/>
      <c r="K888" s="194"/>
      <c r="L888" s="194"/>
      <c r="M888" s="194"/>
      <c r="N888" s="200"/>
    </row>
    <row r="889" spans="1:16" s="8" customFormat="1" ht="18" hidden="1" customHeight="1" x14ac:dyDescent="0.3">
      <c r="A889" s="583">
        <v>885</v>
      </c>
      <c r="B889" s="182"/>
      <c r="C889" s="161"/>
      <c r="D889" s="166" t="s">
        <v>308</v>
      </c>
      <c r="E889" s="195"/>
      <c r="F889" s="169"/>
      <c r="G889" s="1745"/>
      <c r="H889" s="600"/>
      <c r="I889" s="566">
        <f>SUM(J889:N889)</f>
        <v>0</v>
      </c>
      <c r="J889" s="194"/>
      <c r="K889" s="194"/>
      <c r="L889" s="194"/>
      <c r="M889" s="194"/>
      <c r="N889" s="200"/>
    </row>
    <row r="890" spans="1:16" s="8" customFormat="1" ht="22.5" hidden="1" customHeight="1" x14ac:dyDescent="0.3">
      <c r="A890" s="583">
        <v>886</v>
      </c>
      <c r="B890" s="182"/>
      <c r="C890" s="161"/>
      <c r="D890" s="166" t="s">
        <v>606</v>
      </c>
      <c r="E890" s="195"/>
      <c r="F890" s="169"/>
      <c r="G890" s="1745"/>
      <c r="H890" s="600" t="s">
        <v>24</v>
      </c>
      <c r="I890" s="566"/>
      <c r="J890" s="194"/>
      <c r="K890" s="194"/>
      <c r="L890" s="194"/>
      <c r="M890" s="194"/>
      <c r="N890" s="200"/>
    </row>
    <row r="891" spans="1:16" s="8" customFormat="1" ht="18" hidden="1" customHeight="1" x14ac:dyDescent="0.3">
      <c r="A891" s="583">
        <v>887</v>
      </c>
      <c r="B891" s="182"/>
      <c r="C891" s="161"/>
      <c r="D891" s="166" t="s">
        <v>308</v>
      </c>
      <c r="E891" s="195"/>
      <c r="F891" s="169"/>
      <c r="G891" s="1745"/>
      <c r="H891" s="600"/>
      <c r="I891" s="566">
        <f>SUM(J891:N891)</f>
        <v>0</v>
      </c>
      <c r="J891" s="194"/>
      <c r="K891" s="194"/>
      <c r="L891" s="194"/>
      <c r="M891" s="194"/>
      <c r="N891" s="200"/>
    </row>
    <row r="892" spans="1:16" s="8" customFormat="1" ht="22.5" hidden="1" customHeight="1" x14ac:dyDescent="0.3">
      <c r="A892" s="583">
        <v>888</v>
      </c>
      <c r="B892" s="182"/>
      <c r="C892" s="161"/>
      <c r="D892" s="166" t="s">
        <v>605</v>
      </c>
      <c r="E892" s="195"/>
      <c r="F892" s="169"/>
      <c r="G892" s="1745"/>
      <c r="H892" s="600" t="s">
        <v>24</v>
      </c>
      <c r="I892" s="566"/>
      <c r="J892" s="194"/>
      <c r="K892" s="194"/>
      <c r="L892" s="194"/>
      <c r="M892" s="194"/>
      <c r="N892" s="200"/>
    </row>
    <row r="893" spans="1:16" s="8" customFormat="1" ht="18" hidden="1" customHeight="1" x14ac:dyDescent="0.3">
      <c r="A893" s="583">
        <v>889</v>
      </c>
      <c r="B893" s="182"/>
      <c r="C893" s="161"/>
      <c r="D893" s="166" t="s">
        <v>308</v>
      </c>
      <c r="E893" s="195"/>
      <c r="F893" s="169"/>
      <c r="G893" s="1745"/>
      <c r="H893" s="600"/>
      <c r="I893" s="566">
        <f>SUM(J893:N893)</f>
        <v>0</v>
      </c>
      <c r="J893" s="194"/>
      <c r="K893" s="194"/>
      <c r="L893" s="194"/>
      <c r="M893" s="194"/>
      <c r="N893" s="200"/>
    </row>
    <row r="894" spans="1:16" s="9" customFormat="1" ht="18" hidden="1" customHeight="1" x14ac:dyDescent="0.3">
      <c r="A894" s="583">
        <v>890</v>
      </c>
      <c r="B894" s="172"/>
      <c r="C894" s="161"/>
      <c r="D894" s="162" t="s">
        <v>520</v>
      </c>
      <c r="E894" s="163"/>
      <c r="F894" s="173"/>
      <c r="G894" s="1749"/>
      <c r="H894" s="598" t="s">
        <v>24</v>
      </c>
      <c r="I894" s="568"/>
      <c r="J894" s="184"/>
      <c r="K894" s="184"/>
      <c r="L894" s="184"/>
      <c r="M894" s="184"/>
      <c r="N894" s="185"/>
      <c r="P894" s="8"/>
    </row>
    <row r="895" spans="1:16" s="9" customFormat="1" ht="18" hidden="1" customHeight="1" x14ac:dyDescent="0.3">
      <c r="A895" s="583">
        <v>891</v>
      </c>
      <c r="B895" s="172"/>
      <c r="C895" s="161"/>
      <c r="D895" s="162" t="s">
        <v>562</v>
      </c>
      <c r="E895" s="163"/>
      <c r="F895" s="173"/>
      <c r="G895" s="1749"/>
      <c r="H895" s="598" t="s">
        <v>24</v>
      </c>
      <c r="I895" s="568"/>
      <c r="J895" s="184"/>
      <c r="K895" s="184"/>
      <c r="L895" s="184"/>
      <c r="M895" s="184"/>
      <c r="N895" s="185"/>
      <c r="P895" s="8"/>
    </row>
    <row r="896" spans="1:16" s="9" customFormat="1" ht="18" hidden="1" customHeight="1" x14ac:dyDescent="0.3">
      <c r="A896" s="583">
        <v>892</v>
      </c>
      <c r="B896" s="172"/>
      <c r="C896" s="161"/>
      <c r="D896" s="162" t="s">
        <v>485</v>
      </c>
      <c r="E896" s="163"/>
      <c r="F896" s="173"/>
      <c r="G896" s="1749"/>
      <c r="H896" s="598" t="s">
        <v>24</v>
      </c>
      <c r="I896" s="568"/>
      <c r="J896" s="184"/>
      <c r="K896" s="184"/>
      <c r="L896" s="184"/>
      <c r="M896" s="184"/>
      <c r="N896" s="185"/>
      <c r="P896" s="8"/>
    </row>
    <row r="897" spans="1:16" s="8" customFormat="1" ht="18" hidden="1" customHeight="1" x14ac:dyDescent="0.3">
      <c r="A897" s="583">
        <v>893</v>
      </c>
      <c r="B897" s="182"/>
      <c r="C897" s="161"/>
      <c r="D897" s="166" t="s">
        <v>563</v>
      </c>
      <c r="E897" s="195"/>
      <c r="F897" s="169"/>
      <c r="G897" s="1745"/>
      <c r="H897" s="598" t="s">
        <v>24</v>
      </c>
      <c r="I897" s="566"/>
      <c r="J897" s="194"/>
      <c r="K897" s="194"/>
      <c r="L897" s="194"/>
      <c r="M897" s="194"/>
      <c r="N897" s="200"/>
    </row>
    <row r="898" spans="1:16" s="8" customFormat="1" ht="17.25" hidden="1" customHeight="1" x14ac:dyDescent="0.3">
      <c r="A898" s="583">
        <v>894</v>
      </c>
      <c r="B898" s="182"/>
      <c r="C898" s="161"/>
      <c r="D898" s="166" t="s">
        <v>564</v>
      </c>
      <c r="E898" s="195"/>
      <c r="F898" s="169"/>
      <c r="G898" s="1745"/>
      <c r="H898" s="598" t="s">
        <v>24</v>
      </c>
      <c r="I898" s="566"/>
      <c r="J898" s="194"/>
      <c r="K898" s="194"/>
      <c r="L898" s="194"/>
      <c r="M898" s="194"/>
      <c r="N898" s="200"/>
    </row>
    <row r="899" spans="1:16" s="8" customFormat="1" ht="18" hidden="1" customHeight="1" x14ac:dyDescent="0.3">
      <c r="A899" s="583">
        <v>895</v>
      </c>
      <c r="B899" s="182"/>
      <c r="C899" s="161"/>
      <c r="D899" s="166" t="s">
        <v>565</v>
      </c>
      <c r="E899" s="195"/>
      <c r="F899" s="169"/>
      <c r="G899" s="1745"/>
      <c r="H899" s="598" t="s">
        <v>24</v>
      </c>
      <c r="I899" s="566"/>
      <c r="J899" s="194"/>
      <c r="K899" s="194"/>
      <c r="L899" s="194"/>
      <c r="M899" s="194"/>
      <c r="N899" s="200"/>
    </row>
    <row r="900" spans="1:16" s="3" customFormat="1" ht="18" hidden="1" customHeight="1" x14ac:dyDescent="0.3">
      <c r="A900" s="583">
        <v>896</v>
      </c>
      <c r="B900" s="181"/>
      <c r="C900" s="161"/>
      <c r="D900" s="166" t="s">
        <v>490</v>
      </c>
      <c r="E900" s="195"/>
      <c r="F900" s="195"/>
      <c r="G900" s="1745"/>
      <c r="H900" s="600" t="s">
        <v>24</v>
      </c>
      <c r="I900" s="566"/>
      <c r="J900" s="194"/>
      <c r="K900" s="194"/>
      <c r="L900" s="194"/>
      <c r="M900" s="194"/>
      <c r="N900" s="200"/>
      <c r="O900" s="8"/>
      <c r="P900" s="8"/>
    </row>
    <row r="901" spans="1:16" s="8" customFormat="1" ht="30" hidden="1" customHeight="1" x14ac:dyDescent="0.3">
      <c r="A901" s="583">
        <v>897</v>
      </c>
      <c r="B901" s="182"/>
      <c r="C901" s="554"/>
      <c r="D901" s="166" t="s">
        <v>533</v>
      </c>
      <c r="E901" s="195"/>
      <c r="F901" s="169"/>
      <c r="G901" s="1745"/>
      <c r="H901" s="598" t="s">
        <v>24</v>
      </c>
      <c r="I901" s="566"/>
      <c r="J901" s="194"/>
      <c r="K901" s="194"/>
      <c r="L901" s="194"/>
      <c r="M901" s="194"/>
      <c r="N901" s="200"/>
    </row>
    <row r="902" spans="1:16" s="8" customFormat="1" ht="18" hidden="1" customHeight="1" x14ac:dyDescent="0.3">
      <c r="A902" s="583">
        <v>898</v>
      </c>
      <c r="B902" s="182"/>
      <c r="C902" s="161"/>
      <c r="D902" s="166" t="s">
        <v>501</v>
      </c>
      <c r="E902" s="195"/>
      <c r="F902" s="169"/>
      <c r="G902" s="1745"/>
      <c r="H902" s="598" t="s">
        <v>24</v>
      </c>
      <c r="I902" s="566"/>
      <c r="J902" s="194"/>
      <c r="K902" s="194"/>
      <c r="L902" s="194"/>
      <c r="M902" s="194"/>
      <c r="N902" s="200"/>
    </row>
    <row r="903" spans="1:16" s="8" customFormat="1" ht="18" hidden="1" customHeight="1" x14ac:dyDescent="0.3">
      <c r="A903" s="583">
        <v>899</v>
      </c>
      <c r="B903" s="182"/>
      <c r="C903" s="161"/>
      <c r="D903" s="166" t="s">
        <v>566</v>
      </c>
      <c r="E903" s="195"/>
      <c r="F903" s="169"/>
      <c r="G903" s="1745"/>
      <c r="H903" s="598" t="s">
        <v>24</v>
      </c>
      <c r="I903" s="566"/>
      <c r="J903" s="194"/>
      <c r="K903" s="194"/>
      <c r="L903" s="194"/>
      <c r="M903" s="194"/>
      <c r="N903" s="200"/>
    </row>
    <row r="904" spans="1:16" s="8" customFormat="1" ht="18" hidden="1" customHeight="1" x14ac:dyDescent="0.3">
      <c r="A904" s="583">
        <v>900</v>
      </c>
      <c r="B904" s="182"/>
      <c r="C904" s="161"/>
      <c r="D904" s="166" t="s">
        <v>536</v>
      </c>
      <c r="E904" s="195"/>
      <c r="F904" s="169"/>
      <c r="G904" s="1745"/>
      <c r="H904" s="598" t="s">
        <v>24</v>
      </c>
      <c r="I904" s="566"/>
      <c r="J904" s="194"/>
      <c r="K904" s="194"/>
      <c r="L904" s="194"/>
      <c r="M904" s="194"/>
      <c r="N904" s="200"/>
    </row>
    <row r="905" spans="1:16" s="8" customFormat="1" ht="18" hidden="1" customHeight="1" x14ac:dyDescent="0.3">
      <c r="A905" s="583">
        <v>901</v>
      </c>
      <c r="B905" s="182"/>
      <c r="C905" s="161"/>
      <c r="D905" s="166" t="s">
        <v>567</v>
      </c>
      <c r="E905" s="195"/>
      <c r="F905" s="169"/>
      <c r="G905" s="1745"/>
      <c r="H905" s="598" t="s">
        <v>24</v>
      </c>
      <c r="I905" s="566"/>
      <c r="J905" s="194"/>
      <c r="K905" s="194"/>
      <c r="L905" s="194"/>
      <c r="M905" s="194"/>
      <c r="N905" s="200"/>
    </row>
    <row r="906" spans="1:16" s="8" customFormat="1" ht="18" hidden="1" customHeight="1" x14ac:dyDescent="0.3">
      <c r="A906" s="583">
        <v>902</v>
      </c>
      <c r="B906" s="182"/>
      <c r="C906" s="161"/>
      <c r="D906" s="166" t="s">
        <v>500</v>
      </c>
      <c r="E906" s="195"/>
      <c r="F906" s="169"/>
      <c r="G906" s="1745"/>
      <c r="H906" s="598" t="s">
        <v>24</v>
      </c>
      <c r="I906" s="566"/>
      <c r="J906" s="194"/>
      <c r="K906" s="194"/>
      <c r="L906" s="194"/>
      <c r="M906" s="194"/>
      <c r="N906" s="200"/>
    </row>
    <row r="907" spans="1:16" s="8" customFormat="1" ht="18" hidden="1" customHeight="1" x14ac:dyDescent="0.3">
      <c r="A907" s="583">
        <v>903</v>
      </c>
      <c r="B907" s="182"/>
      <c r="C907" s="161"/>
      <c r="D907" s="166" t="s">
        <v>532</v>
      </c>
      <c r="E907" s="195"/>
      <c r="F907" s="169"/>
      <c r="G907" s="1745"/>
      <c r="H907" s="598" t="s">
        <v>24</v>
      </c>
      <c r="I907" s="566"/>
      <c r="J907" s="194"/>
      <c r="K907" s="194"/>
      <c r="L907" s="194"/>
      <c r="M907" s="194"/>
      <c r="N907" s="200"/>
    </row>
    <row r="908" spans="1:16" s="8" customFormat="1" ht="18" hidden="1" customHeight="1" x14ac:dyDescent="0.3">
      <c r="A908" s="583">
        <v>904</v>
      </c>
      <c r="B908" s="182"/>
      <c r="C908" s="161"/>
      <c r="D908" s="166" t="s">
        <v>534</v>
      </c>
      <c r="E908" s="195"/>
      <c r="F908" s="169"/>
      <c r="G908" s="1745"/>
      <c r="H908" s="598" t="s">
        <v>24</v>
      </c>
      <c r="I908" s="566"/>
      <c r="J908" s="194"/>
      <c r="K908" s="194"/>
      <c r="L908" s="194"/>
      <c r="M908" s="194"/>
      <c r="N908" s="200"/>
    </row>
    <row r="909" spans="1:16" s="8" customFormat="1" ht="18" hidden="1" customHeight="1" x14ac:dyDescent="0.3">
      <c r="A909" s="583">
        <v>905</v>
      </c>
      <c r="B909" s="182"/>
      <c r="C909" s="161"/>
      <c r="D909" s="166" t="s">
        <v>455</v>
      </c>
      <c r="E909" s="195"/>
      <c r="F909" s="169"/>
      <c r="G909" s="1745"/>
      <c r="H909" s="598" t="s">
        <v>23</v>
      </c>
      <c r="I909" s="566"/>
      <c r="J909" s="194"/>
      <c r="K909" s="194"/>
      <c r="L909" s="194"/>
      <c r="M909" s="194"/>
      <c r="N909" s="200"/>
    </row>
    <row r="910" spans="1:16" s="183" customFormat="1" ht="18" hidden="1" customHeight="1" x14ac:dyDescent="0.3">
      <c r="A910" s="583">
        <v>906</v>
      </c>
      <c r="B910" s="182"/>
      <c r="C910" s="161"/>
      <c r="D910" s="166" t="s">
        <v>312</v>
      </c>
      <c r="E910" s="195"/>
      <c r="F910" s="169"/>
      <c r="G910" s="1745"/>
      <c r="H910" s="600" t="s">
        <v>24</v>
      </c>
      <c r="I910" s="566"/>
      <c r="J910" s="194"/>
      <c r="K910" s="194"/>
      <c r="L910" s="194"/>
      <c r="M910" s="194"/>
      <c r="N910" s="200"/>
      <c r="O910" s="156"/>
      <c r="P910" s="8"/>
    </row>
    <row r="911" spans="1:16" s="183" customFormat="1" ht="29.25" hidden="1" customHeight="1" x14ac:dyDescent="0.3">
      <c r="A911" s="583">
        <v>907</v>
      </c>
      <c r="B911" s="182"/>
      <c r="C911" s="554"/>
      <c r="D911" s="162" t="s">
        <v>456</v>
      </c>
      <c r="E911" s="195"/>
      <c r="F911" s="195"/>
      <c r="G911" s="1745"/>
      <c r="H911" s="600" t="s">
        <v>24</v>
      </c>
      <c r="I911" s="566"/>
      <c r="J911" s="194"/>
      <c r="K911" s="194"/>
      <c r="L911" s="194"/>
      <c r="M911" s="194"/>
      <c r="N911" s="200"/>
      <c r="O911" s="156"/>
      <c r="P911" s="8"/>
    </row>
    <row r="912" spans="1:16" s="183" customFormat="1" ht="29.25" hidden="1" customHeight="1" x14ac:dyDescent="0.3">
      <c r="A912" s="583">
        <v>908</v>
      </c>
      <c r="B912" s="182"/>
      <c r="C912" s="554"/>
      <c r="D912" s="162" t="s">
        <v>569</v>
      </c>
      <c r="E912" s="195"/>
      <c r="F912" s="195"/>
      <c r="G912" s="1745"/>
      <c r="H912" s="600" t="s">
        <v>24</v>
      </c>
      <c r="I912" s="566"/>
      <c r="J912" s="194"/>
      <c r="K912" s="194"/>
      <c r="L912" s="194"/>
      <c r="M912" s="194"/>
      <c r="N912" s="200"/>
      <c r="O912" s="156"/>
      <c r="P912" s="8"/>
    </row>
    <row r="913" spans="1:16" s="3" customFormat="1" ht="29.45" hidden="1" customHeight="1" x14ac:dyDescent="0.3">
      <c r="A913" s="583">
        <v>909</v>
      </c>
      <c r="B913" s="164"/>
      <c r="C913" s="554"/>
      <c r="D913" s="166" t="s">
        <v>457</v>
      </c>
      <c r="E913" s="163"/>
      <c r="F913" s="163"/>
      <c r="G913" s="1746"/>
      <c r="H913" s="600" t="s">
        <v>24</v>
      </c>
      <c r="I913" s="566"/>
      <c r="J913" s="194"/>
      <c r="K913" s="194"/>
      <c r="L913" s="194"/>
      <c r="M913" s="194"/>
      <c r="N913" s="200"/>
      <c r="O913" s="8"/>
      <c r="P913" s="8"/>
    </row>
    <row r="914" spans="1:16" s="3" customFormat="1" ht="18" hidden="1" customHeight="1" x14ac:dyDescent="0.3">
      <c r="A914" s="583">
        <v>910</v>
      </c>
      <c r="B914" s="181"/>
      <c r="C914" s="161"/>
      <c r="D914" s="166" t="s">
        <v>549</v>
      </c>
      <c r="E914" s="195"/>
      <c r="F914" s="195"/>
      <c r="G914" s="1745"/>
      <c r="H914" s="600" t="s">
        <v>24</v>
      </c>
      <c r="I914" s="566"/>
      <c r="J914" s="194"/>
      <c r="K914" s="194"/>
      <c r="L914" s="194"/>
      <c r="M914" s="194"/>
      <c r="N914" s="200"/>
      <c r="O914" s="8"/>
      <c r="P914" s="8"/>
    </row>
    <row r="915" spans="1:16" s="183" customFormat="1" ht="18" hidden="1" customHeight="1" x14ac:dyDescent="0.3">
      <c r="A915" s="583">
        <v>911</v>
      </c>
      <c r="B915" s="182"/>
      <c r="C915" s="161"/>
      <c r="D915" s="162" t="s">
        <v>391</v>
      </c>
      <c r="E915" s="195"/>
      <c r="F915" s="195"/>
      <c r="G915" s="1745"/>
      <c r="H915" s="600" t="s">
        <v>24</v>
      </c>
      <c r="I915" s="566"/>
      <c r="J915" s="194"/>
      <c r="K915" s="194"/>
      <c r="L915" s="194"/>
      <c r="M915" s="194"/>
      <c r="N915" s="200"/>
      <c r="P915" s="8"/>
    </row>
    <row r="916" spans="1:16" s="3" customFormat="1" ht="18" hidden="1" customHeight="1" x14ac:dyDescent="0.3">
      <c r="A916" s="583">
        <v>912</v>
      </c>
      <c r="B916" s="181"/>
      <c r="C916" s="161"/>
      <c r="D916" s="162" t="s">
        <v>392</v>
      </c>
      <c r="E916" s="195"/>
      <c r="F916" s="195"/>
      <c r="G916" s="1745"/>
      <c r="H916" s="600" t="s">
        <v>24</v>
      </c>
      <c r="I916" s="566"/>
      <c r="J916" s="194"/>
      <c r="K916" s="194"/>
      <c r="L916" s="194"/>
      <c r="M916" s="194"/>
      <c r="N916" s="200"/>
      <c r="O916" s="8"/>
      <c r="P916" s="8"/>
    </row>
    <row r="917" spans="1:16" s="8" customFormat="1" ht="18" hidden="1" customHeight="1" x14ac:dyDescent="0.3">
      <c r="A917" s="583">
        <v>913</v>
      </c>
      <c r="B917" s="164"/>
      <c r="C917" s="161"/>
      <c r="D917" s="166" t="s">
        <v>403</v>
      </c>
      <c r="E917" s="163"/>
      <c r="F917" s="163"/>
      <c r="G917" s="1746"/>
      <c r="H917" s="600" t="s">
        <v>24</v>
      </c>
      <c r="I917" s="566"/>
      <c r="J917" s="194"/>
      <c r="K917" s="194"/>
      <c r="L917" s="194"/>
      <c r="M917" s="194"/>
      <c r="N917" s="200"/>
    </row>
    <row r="918" spans="1:16" s="3" customFormat="1" ht="18" hidden="1" customHeight="1" x14ac:dyDescent="0.3">
      <c r="A918" s="583">
        <v>914</v>
      </c>
      <c r="B918" s="164"/>
      <c r="C918" s="161"/>
      <c r="D918" s="166" t="s">
        <v>402</v>
      </c>
      <c r="E918" s="163"/>
      <c r="F918" s="163"/>
      <c r="G918" s="1746"/>
      <c r="H918" s="600" t="s">
        <v>24</v>
      </c>
      <c r="I918" s="566"/>
      <c r="J918" s="194"/>
      <c r="K918" s="194"/>
      <c r="L918" s="194"/>
      <c r="M918" s="194"/>
      <c r="N918" s="200"/>
      <c r="O918" s="8"/>
      <c r="P918" s="8"/>
    </row>
    <row r="919" spans="1:16" s="3" customFormat="1" ht="18" hidden="1" customHeight="1" x14ac:dyDescent="0.3">
      <c r="A919" s="583">
        <v>915</v>
      </c>
      <c r="B919" s="164"/>
      <c r="C919" s="161"/>
      <c r="D919" s="166" t="s">
        <v>570</v>
      </c>
      <c r="E919" s="163"/>
      <c r="F919" s="163"/>
      <c r="G919" s="1746"/>
      <c r="H919" s="600" t="s">
        <v>24</v>
      </c>
      <c r="I919" s="566"/>
      <c r="J919" s="194"/>
      <c r="K919" s="194"/>
      <c r="L919" s="194"/>
      <c r="M919" s="194"/>
      <c r="N919" s="200"/>
      <c r="O919" s="8"/>
      <c r="P919" s="8"/>
    </row>
    <row r="920" spans="1:16" s="3" customFormat="1" ht="18" hidden="1" customHeight="1" x14ac:dyDescent="0.3">
      <c r="A920" s="583">
        <v>916</v>
      </c>
      <c r="B920" s="181"/>
      <c r="C920" s="161"/>
      <c r="D920" s="166" t="s">
        <v>491</v>
      </c>
      <c r="E920" s="195"/>
      <c r="F920" s="195"/>
      <c r="G920" s="1745"/>
      <c r="H920" s="600" t="s">
        <v>24</v>
      </c>
      <c r="I920" s="566"/>
      <c r="J920" s="194"/>
      <c r="K920" s="194"/>
      <c r="L920" s="194"/>
      <c r="M920" s="194"/>
      <c r="N920" s="200"/>
      <c r="O920" s="8"/>
      <c r="P920" s="8"/>
    </row>
    <row r="921" spans="1:16" s="3" customFormat="1" ht="29.45" hidden="1" customHeight="1" x14ac:dyDescent="0.3">
      <c r="A921" s="583">
        <v>917</v>
      </c>
      <c r="B921" s="181"/>
      <c r="C921" s="554"/>
      <c r="D921" s="166" t="s">
        <v>465</v>
      </c>
      <c r="E921" s="195"/>
      <c r="F921" s="195"/>
      <c r="G921" s="1745"/>
      <c r="H921" s="623" t="s">
        <v>24</v>
      </c>
      <c r="I921" s="566"/>
      <c r="J921" s="194"/>
      <c r="K921" s="194"/>
      <c r="L921" s="194"/>
      <c r="M921" s="194"/>
      <c r="N921" s="200"/>
      <c r="O921" s="8"/>
      <c r="P921" s="8"/>
    </row>
    <row r="922" spans="1:16" s="3" customFormat="1" ht="29.45" hidden="1" customHeight="1" x14ac:dyDescent="0.3">
      <c r="A922" s="583">
        <v>918</v>
      </c>
      <c r="B922" s="181"/>
      <c r="C922" s="554"/>
      <c r="D922" s="166" t="s">
        <v>571</v>
      </c>
      <c r="E922" s="195"/>
      <c r="F922" s="195"/>
      <c r="G922" s="1745"/>
      <c r="H922" s="623" t="s">
        <v>24</v>
      </c>
      <c r="I922" s="566"/>
      <c r="J922" s="194"/>
      <c r="K922" s="194"/>
      <c r="L922" s="194"/>
      <c r="M922" s="194"/>
      <c r="N922" s="200"/>
      <c r="O922" s="8"/>
      <c r="P922" s="8"/>
    </row>
    <row r="923" spans="1:16" s="3" customFormat="1" ht="18" hidden="1" customHeight="1" x14ac:dyDescent="0.3">
      <c r="A923" s="583">
        <v>919</v>
      </c>
      <c r="B923" s="181"/>
      <c r="C923" s="161"/>
      <c r="D923" s="166" t="s">
        <v>572</v>
      </c>
      <c r="E923" s="195"/>
      <c r="F923" s="195"/>
      <c r="G923" s="1745"/>
      <c r="H923" s="623" t="s">
        <v>24</v>
      </c>
      <c r="I923" s="566"/>
      <c r="J923" s="194"/>
      <c r="K923" s="194"/>
      <c r="L923" s="194"/>
      <c r="M923" s="194"/>
      <c r="N923" s="200"/>
      <c r="O923" s="8"/>
      <c r="P923" s="8"/>
    </row>
    <row r="924" spans="1:16" s="3" customFormat="1" ht="18" hidden="1" customHeight="1" x14ac:dyDescent="0.3">
      <c r="A924" s="583">
        <v>920</v>
      </c>
      <c r="B924" s="181"/>
      <c r="C924" s="161"/>
      <c r="D924" s="166" t="s">
        <v>573</v>
      </c>
      <c r="E924" s="195"/>
      <c r="F924" s="195"/>
      <c r="G924" s="1745"/>
      <c r="H924" s="623" t="s">
        <v>24</v>
      </c>
      <c r="I924" s="566"/>
      <c r="J924" s="194"/>
      <c r="K924" s="194"/>
      <c r="L924" s="194"/>
      <c r="M924" s="194"/>
      <c r="N924" s="200"/>
      <c r="O924" s="8"/>
      <c r="P924" s="8"/>
    </row>
    <row r="925" spans="1:16" s="3" customFormat="1" ht="18" hidden="1" customHeight="1" x14ac:dyDescent="0.3">
      <c r="A925" s="583">
        <v>921</v>
      </c>
      <c r="B925" s="181"/>
      <c r="C925" s="161"/>
      <c r="D925" s="166" t="s">
        <v>574</v>
      </c>
      <c r="E925" s="195"/>
      <c r="F925" s="195"/>
      <c r="G925" s="1745"/>
      <c r="H925" s="623" t="s">
        <v>24</v>
      </c>
      <c r="I925" s="566"/>
      <c r="J925" s="194"/>
      <c r="K925" s="194"/>
      <c r="L925" s="194"/>
      <c r="M925" s="194"/>
      <c r="N925" s="200"/>
      <c r="O925" s="8"/>
      <c r="P925" s="8"/>
    </row>
    <row r="926" spans="1:16" s="3" customFormat="1" ht="18" hidden="1" customHeight="1" x14ac:dyDescent="0.3">
      <c r="A926" s="583">
        <v>922</v>
      </c>
      <c r="B926" s="181"/>
      <c r="C926" s="161"/>
      <c r="D926" s="166" t="s">
        <v>492</v>
      </c>
      <c r="E926" s="195"/>
      <c r="F926" s="195"/>
      <c r="G926" s="1745"/>
      <c r="H926" s="600" t="s">
        <v>24</v>
      </c>
      <c r="I926" s="566"/>
      <c r="J926" s="194"/>
      <c r="K926" s="194"/>
      <c r="L926" s="194"/>
      <c r="M926" s="194"/>
      <c r="N926" s="200"/>
      <c r="O926" s="8"/>
      <c r="P926" s="8"/>
    </row>
    <row r="927" spans="1:16" s="3" customFormat="1" ht="18" hidden="1" customHeight="1" x14ac:dyDescent="0.3">
      <c r="A927" s="583">
        <v>923</v>
      </c>
      <c r="B927" s="181"/>
      <c r="C927" s="161"/>
      <c r="D927" s="166" t="s">
        <v>575</v>
      </c>
      <c r="E927" s="195"/>
      <c r="F927" s="195"/>
      <c r="G927" s="1745"/>
      <c r="H927" s="600" t="s">
        <v>24</v>
      </c>
      <c r="I927" s="566"/>
      <c r="J927" s="194"/>
      <c r="K927" s="194"/>
      <c r="L927" s="194"/>
      <c r="M927" s="194"/>
      <c r="N927" s="200"/>
      <c r="O927" s="8"/>
      <c r="P927" s="8"/>
    </row>
    <row r="928" spans="1:16" s="3" customFormat="1" ht="29.45" hidden="1" customHeight="1" x14ac:dyDescent="0.3">
      <c r="A928" s="583">
        <v>924</v>
      </c>
      <c r="B928" s="181"/>
      <c r="C928" s="554"/>
      <c r="D928" s="166" t="s">
        <v>506</v>
      </c>
      <c r="E928" s="195"/>
      <c r="F928" s="195"/>
      <c r="G928" s="1745"/>
      <c r="H928" s="623" t="s">
        <v>24</v>
      </c>
      <c r="I928" s="566"/>
      <c r="J928" s="194"/>
      <c r="K928" s="194"/>
      <c r="L928" s="194"/>
      <c r="M928" s="194"/>
      <c r="N928" s="200"/>
      <c r="O928" s="8"/>
      <c r="P928" s="8"/>
    </row>
    <row r="929" spans="1:16" s="3" customFormat="1" ht="18" hidden="1" customHeight="1" x14ac:dyDescent="0.3">
      <c r="A929" s="583">
        <v>925</v>
      </c>
      <c r="B929" s="181"/>
      <c r="C929" s="161"/>
      <c r="D929" s="166" t="s">
        <v>505</v>
      </c>
      <c r="E929" s="195"/>
      <c r="F929" s="195"/>
      <c r="G929" s="1745"/>
      <c r="H929" s="600" t="s">
        <v>24</v>
      </c>
      <c r="I929" s="566"/>
      <c r="J929" s="194"/>
      <c r="K929" s="194"/>
      <c r="L929" s="194"/>
      <c r="M929" s="194"/>
      <c r="N929" s="200"/>
      <c r="O929" s="8"/>
      <c r="P929" s="8"/>
    </row>
    <row r="930" spans="1:16" s="3" customFormat="1" ht="18" hidden="1" customHeight="1" x14ac:dyDescent="0.3">
      <c r="A930" s="583">
        <v>926</v>
      </c>
      <c r="B930" s="181"/>
      <c r="C930" s="161"/>
      <c r="D930" s="166" t="s">
        <v>508</v>
      </c>
      <c r="E930" s="195"/>
      <c r="F930" s="195"/>
      <c r="G930" s="1745"/>
      <c r="H930" s="600" t="s">
        <v>24</v>
      </c>
      <c r="I930" s="566"/>
      <c r="J930" s="194"/>
      <c r="K930" s="194"/>
      <c r="L930" s="194"/>
      <c r="M930" s="194"/>
      <c r="N930" s="200"/>
      <c r="O930" s="8"/>
      <c r="P930" s="8"/>
    </row>
    <row r="931" spans="1:16" s="3" customFormat="1" ht="18" hidden="1" customHeight="1" x14ac:dyDescent="0.3">
      <c r="A931" s="583">
        <v>927</v>
      </c>
      <c r="B931" s="181"/>
      <c r="C931" s="161"/>
      <c r="D931" s="166" t="s">
        <v>576</v>
      </c>
      <c r="E931" s="195"/>
      <c r="F931" s="195"/>
      <c r="G931" s="1745"/>
      <c r="H931" s="600" t="s">
        <v>24</v>
      </c>
      <c r="I931" s="566"/>
      <c r="J931" s="194"/>
      <c r="K931" s="194"/>
      <c r="L931" s="194"/>
      <c r="M931" s="194"/>
      <c r="N931" s="200"/>
      <c r="O931" s="8"/>
      <c r="P931" s="8"/>
    </row>
    <row r="932" spans="1:16" s="3" customFormat="1" ht="18" hidden="1" customHeight="1" x14ac:dyDescent="0.3">
      <c r="A932" s="583">
        <v>928</v>
      </c>
      <c r="B932" s="181"/>
      <c r="C932" s="161"/>
      <c r="D932" s="166" t="s">
        <v>577</v>
      </c>
      <c r="E932" s="195"/>
      <c r="F932" s="195"/>
      <c r="G932" s="1745"/>
      <c r="H932" s="600" t="s">
        <v>24</v>
      </c>
      <c r="I932" s="566"/>
      <c r="J932" s="194"/>
      <c r="K932" s="194"/>
      <c r="L932" s="194"/>
      <c r="M932" s="194"/>
      <c r="N932" s="200"/>
      <c r="O932" s="8"/>
      <c r="P932" s="8"/>
    </row>
    <row r="933" spans="1:16" s="3" customFormat="1" ht="18" hidden="1" customHeight="1" x14ac:dyDescent="0.3">
      <c r="A933" s="583">
        <v>929</v>
      </c>
      <c r="B933" s="181"/>
      <c r="C933" s="161"/>
      <c r="D933" s="166" t="s">
        <v>578</v>
      </c>
      <c r="E933" s="195"/>
      <c r="F933" s="195"/>
      <c r="G933" s="1745"/>
      <c r="H933" s="600" t="s">
        <v>24</v>
      </c>
      <c r="I933" s="566"/>
      <c r="J933" s="194"/>
      <c r="K933" s="194"/>
      <c r="L933" s="194"/>
      <c r="M933" s="194"/>
      <c r="N933" s="200"/>
      <c r="O933" s="8"/>
      <c r="P933" s="8"/>
    </row>
    <row r="934" spans="1:16" s="3" customFormat="1" ht="18" hidden="1" customHeight="1" x14ac:dyDescent="0.3">
      <c r="A934" s="583">
        <v>930</v>
      </c>
      <c r="B934" s="181"/>
      <c r="C934" s="161"/>
      <c r="D934" s="166" t="s">
        <v>579</v>
      </c>
      <c r="E934" s="195"/>
      <c r="F934" s="195"/>
      <c r="G934" s="1745"/>
      <c r="H934" s="600" t="s">
        <v>24</v>
      </c>
      <c r="I934" s="566"/>
      <c r="J934" s="194"/>
      <c r="K934" s="194"/>
      <c r="L934" s="194"/>
      <c r="M934" s="194"/>
      <c r="N934" s="200"/>
      <c r="O934" s="8"/>
      <c r="P934" s="8"/>
    </row>
    <row r="935" spans="1:16" s="3" customFormat="1" ht="18" hidden="1" customHeight="1" x14ac:dyDescent="0.3">
      <c r="A935" s="583">
        <v>931</v>
      </c>
      <c r="B935" s="181"/>
      <c r="C935" s="161"/>
      <c r="D935" s="166" t="s">
        <v>580</v>
      </c>
      <c r="E935" s="195"/>
      <c r="F935" s="195"/>
      <c r="G935" s="1745"/>
      <c r="H935" s="600" t="s">
        <v>24</v>
      </c>
      <c r="I935" s="566"/>
      <c r="J935" s="194"/>
      <c r="K935" s="194"/>
      <c r="L935" s="194"/>
      <c r="M935" s="194"/>
      <c r="N935" s="200"/>
      <c r="O935" s="8"/>
      <c r="P935" s="8"/>
    </row>
    <row r="936" spans="1:16" s="3" customFormat="1" ht="18" hidden="1" customHeight="1" x14ac:dyDescent="0.3">
      <c r="A936" s="583">
        <v>932</v>
      </c>
      <c r="B936" s="181"/>
      <c r="C936" s="161"/>
      <c r="D936" s="166" t="s">
        <v>581</v>
      </c>
      <c r="E936" s="195"/>
      <c r="F936" s="195"/>
      <c r="G936" s="1745"/>
      <c r="H936" s="600" t="s">
        <v>24</v>
      </c>
      <c r="I936" s="566"/>
      <c r="J936" s="194"/>
      <c r="K936" s="194"/>
      <c r="L936" s="194"/>
      <c r="M936" s="194"/>
      <c r="N936" s="200"/>
      <c r="O936" s="8"/>
      <c r="P936" s="8"/>
    </row>
    <row r="937" spans="1:16" s="3" customFormat="1" ht="29.45" hidden="1" customHeight="1" x14ac:dyDescent="0.3">
      <c r="A937" s="583">
        <v>933</v>
      </c>
      <c r="B937" s="181"/>
      <c r="C937" s="554"/>
      <c r="D937" s="166" t="s">
        <v>502</v>
      </c>
      <c r="E937" s="195"/>
      <c r="F937" s="195"/>
      <c r="G937" s="1745"/>
      <c r="H937" s="623" t="s">
        <v>24</v>
      </c>
      <c r="I937" s="566"/>
      <c r="J937" s="194"/>
      <c r="K937" s="194"/>
      <c r="L937" s="194"/>
      <c r="M937" s="194"/>
      <c r="N937" s="200"/>
      <c r="O937" s="8"/>
      <c r="P937" s="8"/>
    </row>
    <row r="938" spans="1:16" s="183" customFormat="1" ht="18" hidden="1" customHeight="1" x14ac:dyDescent="0.3">
      <c r="A938" s="583">
        <v>934</v>
      </c>
      <c r="B938" s="182"/>
      <c r="C938" s="161"/>
      <c r="D938" s="162" t="s">
        <v>119</v>
      </c>
      <c r="E938" s="195"/>
      <c r="F938" s="195"/>
      <c r="G938" s="1745"/>
      <c r="H938" s="600" t="s">
        <v>24</v>
      </c>
      <c r="I938" s="566"/>
      <c r="J938" s="194"/>
      <c r="K938" s="194"/>
      <c r="L938" s="194"/>
      <c r="M938" s="194"/>
      <c r="N938" s="200"/>
      <c r="O938" s="156"/>
      <c r="P938" s="8"/>
    </row>
    <row r="939" spans="1:16" s="183" customFormat="1" ht="18" hidden="1" customHeight="1" x14ac:dyDescent="0.3">
      <c r="A939" s="583">
        <v>935</v>
      </c>
      <c r="B939" s="182"/>
      <c r="C939" s="161"/>
      <c r="D939" s="166" t="s">
        <v>488</v>
      </c>
      <c r="E939" s="195"/>
      <c r="F939" s="195"/>
      <c r="G939" s="1745"/>
      <c r="H939" s="600" t="s">
        <v>24</v>
      </c>
      <c r="I939" s="566"/>
      <c r="J939" s="194"/>
      <c r="K939" s="194"/>
      <c r="L939" s="194"/>
      <c r="M939" s="194"/>
      <c r="N939" s="200"/>
      <c r="O939" s="156"/>
      <c r="P939" s="8"/>
    </row>
    <row r="940" spans="1:16" s="183" customFormat="1" ht="18" hidden="1" customHeight="1" x14ac:dyDescent="0.3">
      <c r="A940" s="583">
        <v>936</v>
      </c>
      <c r="B940" s="182"/>
      <c r="C940" s="161"/>
      <c r="D940" s="166" t="s">
        <v>589</v>
      </c>
      <c r="E940" s="195"/>
      <c r="F940" s="195"/>
      <c r="G940" s="1745"/>
      <c r="H940" s="600" t="s">
        <v>24</v>
      </c>
      <c r="I940" s="566"/>
      <c r="J940" s="194"/>
      <c r="K940" s="194"/>
      <c r="L940" s="194"/>
      <c r="M940" s="194"/>
      <c r="N940" s="200"/>
      <c r="O940" s="156"/>
      <c r="P940" s="8"/>
    </row>
    <row r="941" spans="1:16" s="183" customFormat="1" ht="18" hidden="1" customHeight="1" x14ac:dyDescent="0.3">
      <c r="A941" s="583">
        <v>937</v>
      </c>
      <c r="B941" s="182"/>
      <c r="C941" s="161"/>
      <c r="D941" s="166" t="s">
        <v>590</v>
      </c>
      <c r="E941" s="195"/>
      <c r="F941" s="195"/>
      <c r="G941" s="1745"/>
      <c r="H941" s="600" t="s">
        <v>24</v>
      </c>
      <c r="I941" s="566"/>
      <c r="J941" s="194"/>
      <c r="K941" s="194"/>
      <c r="L941" s="194"/>
      <c r="M941" s="194"/>
      <c r="N941" s="200"/>
      <c r="O941" s="156"/>
      <c r="P941" s="8"/>
    </row>
    <row r="942" spans="1:16" s="3" customFormat="1" ht="29.45" hidden="1" customHeight="1" x14ac:dyDescent="0.3">
      <c r="A942" s="583">
        <v>938</v>
      </c>
      <c r="B942" s="181"/>
      <c r="C942" s="554"/>
      <c r="D942" s="166" t="s">
        <v>593</v>
      </c>
      <c r="E942" s="195"/>
      <c r="F942" s="195"/>
      <c r="G942" s="1745"/>
      <c r="H942" s="623" t="s">
        <v>23</v>
      </c>
      <c r="I942" s="566"/>
      <c r="J942" s="194"/>
      <c r="K942" s="194"/>
      <c r="L942" s="194"/>
      <c r="M942" s="194"/>
      <c r="N942" s="200"/>
      <c r="O942" s="8"/>
      <c r="P942" s="8"/>
    </row>
    <row r="943" spans="1:16" s="8" customFormat="1" ht="22.5" hidden="1" customHeight="1" x14ac:dyDescent="0.3">
      <c r="A943" s="583">
        <v>939</v>
      </c>
      <c r="B943" s="164"/>
      <c r="C943" s="161"/>
      <c r="D943" s="180" t="s">
        <v>272</v>
      </c>
      <c r="E943" s="163"/>
      <c r="F943" s="163"/>
      <c r="G943" s="1746"/>
      <c r="H943" s="600"/>
      <c r="I943" s="566"/>
      <c r="J943" s="194"/>
      <c r="K943" s="194"/>
      <c r="L943" s="194"/>
      <c r="M943" s="194"/>
      <c r="N943" s="200"/>
    </row>
    <row r="944" spans="1:16" s="3" customFormat="1" ht="18" hidden="1" customHeight="1" x14ac:dyDescent="0.3">
      <c r="A944" s="583">
        <v>940</v>
      </c>
      <c r="B944" s="164"/>
      <c r="C944" s="161"/>
      <c r="D944" s="162" t="s">
        <v>582</v>
      </c>
      <c r="E944" s="163"/>
      <c r="F944" s="163"/>
      <c r="G944" s="1746"/>
      <c r="H944" s="598" t="s">
        <v>24</v>
      </c>
      <c r="I944" s="567"/>
      <c r="J944" s="170"/>
      <c r="K944" s="170"/>
      <c r="L944" s="170"/>
      <c r="M944" s="170"/>
      <c r="N944" s="171"/>
      <c r="O944" s="8"/>
      <c r="P944" s="8"/>
    </row>
    <row r="945" spans="1:16" s="3" customFormat="1" ht="18" hidden="1" customHeight="1" x14ac:dyDescent="0.3">
      <c r="A945" s="583">
        <v>941</v>
      </c>
      <c r="B945" s="164"/>
      <c r="C945" s="161"/>
      <c r="D945" s="162" t="s">
        <v>275</v>
      </c>
      <c r="E945" s="163"/>
      <c r="F945" s="163"/>
      <c r="G945" s="1746"/>
      <c r="H945" s="598" t="s">
        <v>24</v>
      </c>
      <c r="I945" s="567"/>
      <c r="J945" s="170"/>
      <c r="K945" s="170"/>
      <c r="L945" s="170"/>
      <c r="M945" s="170"/>
      <c r="N945" s="171"/>
      <c r="O945" s="8"/>
      <c r="P945" s="8"/>
    </row>
    <row r="946" spans="1:16" s="3" customFormat="1" ht="18" hidden="1" customHeight="1" x14ac:dyDescent="0.3">
      <c r="A946" s="583">
        <v>942</v>
      </c>
      <c r="B946" s="164"/>
      <c r="C946" s="161"/>
      <c r="D946" s="162" t="s">
        <v>583</v>
      </c>
      <c r="E946" s="163"/>
      <c r="F946" s="163"/>
      <c r="G946" s="1746"/>
      <c r="H946" s="598" t="s">
        <v>24</v>
      </c>
      <c r="I946" s="567"/>
      <c r="J946" s="170"/>
      <c r="K946" s="170"/>
      <c r="L946" s="170"/>
      <c r="M946" s="170"/>
      <c r="N946" s="171"/>
      <c r="O946" s="8"/>
      <c r="P946" s="8"/>
    </row>
    <row r="947" spans="1:16" s="3" customFormat="1" ht="18" hidden="1" customHeight="1" x14ac:dyDescent="0.3">
      <c r="A947" s="583">
        <v>943</v>
      </c>
      <c r="B947" s="164"/>
      <c r="C947" s="161"/>
      <c r="D947" s="162" t="s">
        <v>32</v>
      </c>
      <c r="E947" s="163"/>
      <c r="F947" s="163"/>
      <c r="G947" s="1746"/>
      <c r="H947" s="598" t="s">
        <v>24</v>
      </c>
      <c r="I947" s="567"/>
      <c r="J947" s="170"/>
      <c r="K947" s="170"/>
      <c r="L947" s="170"/>
      <c r="M947" s="170"/>
      <c r="N947" s="171"/>
      <c r="O947" s="8"/>
      <c r="P947" s="8"/>
    </row>
    <row r="948" spans="1:16" s="3" customFormat="1" ht="18" hidden="1" customHeight="1" x14ac:dyDescent="0.3">
      <c r="A948" s="583">
        <v>944</v>
      </c>
      <c r="B948" s="164"/>
      <c r="C948" s="161"/>
      <c r="D948" s="162" t="s">
        <v>495</v>
      </c>
      <c r="E948" s="163"/>
      <c r="F948" s="163"/>
      <c r="G948" s="1746"/>
      <c r="H948" s="598" t="s">
        <v>24</v>
      </c>
      <c r="I948" s="567"/>
      <c r="J948" s="170"/>
      <c r="K948" s="170"/>
      <c r="L948" s="170"/>
      <c r="M948" s="170"/>
      <c r="N948" s="171"/>
      <c r="O948" s="8"/>
      <c r="P948" s="8"/>
    </row>
    <row r="949" spans="1:16" s="3" customFormat="1" ht="18" hidden="1" customHeight="1" x14ac:dyDescent="0.3">
      <c r="A949" s="583">
        <v>945</v>
      </c>
      <c r="B949" s="164"/>
      <c r="C949" s="161"/>
      <c r="D949" s="162" t="s">
        <v>496</v>
      </c>
      <c r="E949" s="163"/>
      <c r="F949" s="163"/>
      <c r="G949" s="1746"/>
      <c r="H949" s="598" t="s">
        <v>24</v>
      </c>
      <c r="I949" s="567"/>
      <c r="J949" s="170"/>
      <c r="K949" s="170"/>
      <c r="L949" s="170"/>
      <c r="M949" s="170"/>
      <c r="N949" s="171"/>
      <c r="O949" s="8"/>
      <c r="P949" s="8"/>
    </row>
    <row r="950" spans="1:16" s="3" customFormat="1" ht="18" hidden="1" customHeight="1" x14ac:dyDescent="0.3">
      <c r="A950" s="583">
        <v>946</v>
      </c>
      <c r="B950" s="164"/>
      <c r="C950" s="161"/>
      <c r="D950" s="162" t="s">
        <v>497</v>
      </c>
      <c r="E950" s="163"/>
      <c r="F950" s="163"/>
      <c r="G950" s="1746"/>
      <c r="H950" s="598" t="s">
        <v>24</v>
      </c>
      <c r="I950" s="567"/>
      <c r="J950" s="170"/>
      <c r="K950" s="170"/>
      <c r="L950" s="170"/>
      <c r="M950" s="170"/>
      <c r="N950" s="171"/>
      <c r="O950" s="8"/>
      <c r="P950" s="8"/>
    </row>
    <row r="951" spans="1:16" s="3" customFormat="1" ht="18" hidden="1" customHeight="1" x14ac:dyDescent="0.3">
      <c r="A951" s="583">
        <v>947</v>
      </c>
      <c r="B951" s="164"/>
      <c r="C951" s="161"/>
      <c r="D951" s="162" t="s">
        <v>498</v>
      </c>
      <c r="E951" s="163"/>
      <c r="F951" s="163"/>
      <c r="G951" s="1746"/>
      <c r="H951" s="598" t="s">
        <v>24</v>
      </c>
      <c r="I951" s="567"/>
      <c r="J951" s="170"/>
      <c r="K951" s="170"/>
      <c r="L951" s="170"/>
      <c r="M951" s="170"/>
      <c r="N951" s="171"/>
      <c r="O951" s="8"/>
      <c r="P951" s="8"/>
    </row>
    <row r="952" spans="1:16" s="3" customFormat="1" ht="18" hidden="1" customHeight="1" x14ac:dyDescent="0.3">
      <c r="A952" s="583">
        <v>948</v>
      </c>
      <c r="B952" s="164"/>
      <c r="C952" s="161"/>
      <c r="D952" s="162" t="s">
        <v>712</v>
      </c>
      <c r="E952" s="163"/>
      <c r="F952" s="163"/>
      <c r="G952" s="1746"/>
      <c r="H952" s="598" t="s">
        <v>24</v>
      </c>
      <c r="I952" s="566"/>
      <c r="J952" s="170"/>
      <c r="K952" s="170"/>
      <c r="L952" s="170"/>
      <c r="M952" s="170"/>
      <c r="N952" s="171"/>
      <c r="O952" s="8"/>
      <c r="P952" s="8"/>
    </row>
    <row r="953" spans="1:16" s="3" customFormat="1" ht="18" hidden="1" customHeight="1" x14ac:dyDescent="0.3">
      <c r="A953" s="583">
        <v>949</v>
      </c>
      <c r="B953" s="164"/>
      <c r="C953" s="161"/>
      <c r="D953" s="162" t="s">
        <v>713</v>
      </c>
      <c r="E953" s="163"/>
      <c r="F953" s="163"/>
      <c r="G953" s="1746"/>
      <c r="H953" s="598" t="s">
        <v>24</v>
      </c>
      <c r="I953" s="567"/>
      <c r="J953" s="170"/>
      <c r="K953" s="170"/>
      <c r="L953" s="170"/>
      <c r="M953" s="170"/>
      <c r="N953" s="171"/>
      <c r="O953" s="8"/>
      <c r="P953" s="8"/>
    </row>
    <row r="954" spans="1:16" s="3" customFormat="1" ht="18" hidden="1" customHeight="1" x14ac:dyDescent="0.3">
      <c r="A954" s="583">
        <v>950</v>
      </c>
      <c r="B954" s="164"/>
      <c r="C954" s="161"/>
      <c r="D954" s="162" t="s">
        <v>584</v>
      </c>
      <c r="E954" s="163"/>
      <c r="F954" s="163"/>
      <c r="G954" s="1746"/>
      <c r="H954" s="598" t="s">
        <v>24</v>
      </c>
      <c r="I954" s="567"/>
      <c r="J954" s="170"/>
      <c r="K954" s="170"/>
      <c r="L954" s="170"/>
      <c r="M954" s="170"/>
      <c r="N954" s="171"/>
      <c r="O954" s="8"/>
      <c r="P954" s="8"/>
    </row>
    <row r="955" spans="1:16" s="3" customFormat="1" ht="22.5" hidden="1" customHeight="1" x14ac:dyDescent="0.3">
      <c r="A955" s="583">
        <v>951</v>
      </c>
      <c r="B955" s="164"/>
      <c r="C955" s="161"/>
      <c r="D955" s="180" t="s">
        <v>277</v>
      </c>
      <c r="E955" s="163"/>
      <c r="F955" s="163"/>
      <c r="G955" s="1746"/>
      <c r="H955" s="598"/>
      <c r="I955" s="567"/>
      <c r="J955" s="170"/>
      <c r="K955" s="170"/>
      <c r="L955" s="170"/>
      <c r="M955" s="170"/>
      <c r="N955" s="171"/>
      <c r="O955" s="8"/>
      <c r="P955" s="8"/>
    </row>
    <row r="956" spans="1:16" s="3" customFormat="1" ht="18" hidden="1" customHeight="1" x14ac:dyDescent="0.3">
      <c r="A956" s="583">
        <v>952</v>
      </c>
      <c r="B956" s="164"/>
      <c r="C956" s="161"/>
      <c r="D956" s="162" t="s">
        <v>586</v>
      </c>
      <c r="E956" s="163"/>
      <c r="F956" s="163"/>
      <c r="G956" s="1746"/>
      <c r="H956" s="598" t="s">
        <v>24</v>
      </c>
      <c r="I956" s="567"/>
      <c r="J956" s="170"/>
      <c r="K956" s="170"/>
      <c r="L956" s="170"/>
      <c r="M956" s="170"/>
      <c r="N956" s="171"/>
      <c r="O956" s="8"/>
      <c r="P956" s="8"/>
    </row>
    <row r="957" spans="1:16" s="3" customFormat="1" ht="18" hidden="1" customHeight="1" x14ac:dyDescent="0.3">
      <c r="A957" s="583">
        <v>953</v>
      </c>
      <c r="B957" s="164"/>
      <c r="C957" s="161"/>
      <c r="D957" s="162" t="s">
        <v>289</v>
      </c>
      <c r="E957" s="163"/>
      <c r="F957" s="163"/>
      <c r="G957" s="1746"/>
      <c r="H957" s="598" t="s">
        <v>24</v>
      </c>
      <c r="I957" s="567"/>
      <c r="J957" s="170"/>
      <c r="K957" s="170"/>
      <c r="L957" s="170"/>
      <c r="M957" s="170"/>
      <c r="N957" s="171"/>
      <c r="O957" s="8"/>
      <c r="P957" s="8"/>
    </row>
    <row r="958" spans="1:16" s="3" customFormat="1" ht="18" hidden="1" customHeight="1" x14ac:dyDescent="0.3">
      <c r="A958" s="583">
        <v>954</v>
      </c>
      <c r="B958" s="164"/>
      <c r="C958" s="161"/>
      <c r="D958" s="162" t="s">
        <v>313</v>
      </c>
      <c r="E958" s="163"/>
      <c r="F958" s="163"/>
      <c r="G958" s="1746"/>
      <c r="H958" s="598" t="s">
        <v>24</v>
      </c>
      <c r="I958" s="567"/>
      <c r="J958" s="170"/>
      <c r="K958" s="170"/>
      <c r="L958" s="170"/>
      <c r="M958" s="170"/>
      <c r="N958" s="171"/>
      <c r="O958" s="8"/>
      <c r="P958" s="8"/>
    </row>
    <row r="959" spans="1:16" s="3" customFormat="1" ht="18" hidden="1" customHeight="1" x14ac:dyDescent="0.3">
      <c r="A959" s="583">
        <v>955</v>
      </c>
      <c r="B959" s="164"/>
      <c r="C959" s="161"/>
      <c r="D959" s="162" t="s">
        <v>587</v>
      </c>
      <c r="E959" s="163"/>
      <c r="F959" s="163"/>
      <c r="G959" s="1746"/>
      <c r="H959" s="598" t="s">
        <v>24</v>
      </c>
      <c r="I959" s="567"/>
      <c r="J959" s="170"/>
      <c r="K959" s="170"/>
      <c r="L959" s="170"/>
      <c r="M959" s="170"/>
      <c r="N959" s="171"/>
      <c r="O959" s="8"/>
      <c r="P959" s="8"/>
    </row>
    <row r="960" spans="1:16" s="3" customFormat="1" ht="18" hidden="1" customHeight="1" x14ac:dyDescent="0.3">
      <c r="A960" s="583">
        <v>956</v>
      </c>
      <c r="B960" s="164"/>
      <c r="C960" s="161"/>
      <c r="D960" s="162" t="s">
        <v>588</v>
      </c>
      <c r="E960" s="163"/>
      <c r="F960" s="163"/>
      <c r="G960" s="1746"/>
      <c r="H960" s="598" t="s">
        <v>24</v>
      </c>
      <c r="I960" s="567"/>
      <c r="J960" s="170"/>
      <c r="K960" s="170"/>
      <c r="L960" s="170"/>
      <c r="M960" s="170"/>
      <c r="N960" s="171"/>
      <c r="O960" s="8"/>
      <c r="P960" s="8"/>
    </row>
    <row r="961" spans="1:14" s="8" customFormat="1" ht="19.5" hidden="1" customHeight="1" x14ac:dyDescent="0.3">
      <c r="A961" s="583">
        <v>957</v>
      </c>
      <c r="B961" s="444"/>
      <c r="C961" s="161"/>
      <c r="D961" s="445"/>
      <c r="E961" s="675"/>
      <c r="F961" s="675"/>
      <c r="G961" s="1784"/>
      <c r="H961" s="598" t="s">
        <v>24</v>
      </c>
      <c r="I961" s="446"/>
      <c r="J961" s="447"/>
      <c r="K961" s="447"/>
      <c r="L961" s="447"/>
      <c r="M961" s="447"/>
      <c r="N961" s="528"/>
    </row>
    <row r="962" spans="1:14" s="8" customFormat="1" ht="20.100000000000001" hidden="1" customHeight="1" x14ac:dyDescent="0.3">
      <c r="A962" s="583">
        <v>958</v>
      </c>
      <c r="B962" s="181"/>
      <c r="C962" s="161"/>
      <c r="D962" s="555" t="s">
        <v>458</v>
      </c>
      <c r="E962" s="195"/>
      <c r="F962" s="195"/>
      <c r="G962" s="1745"/>
      <c r="H962" s="598" t="s">
        <v>24</v>
      </c>
      <c r="I962" s="582"/>
      <c r="J962" s="624"/>
      <c r="K962" s="624"/>
      <c r="L962" s="624"/>
      <c r="M962" s="624"/>
      <c r="N962" s="628"/>
    </row>
    <row r="963" spans="1:14" s="8" customFormat="1" ht="19.5" hidden="1" customHeight="1" x14ac:dyDescent="0.3">
      <c r="A963" s="583">
        <v>959</v>
      </c>
      <c r="B963" s="164"/>
      <c r="C963" s="161"/>
      <c r="D963" s="162" t="s">
        <v>486</v>
      </c>
      <c r="E963" s="163"/>
      <c r="F963" s="163"/>
      <c r="G963" s="1746"/>
      <c r="H963" s="598" t="s">
        <v>24</v>
      </c>
      <c r="I963" s="625"/>
      <c r="J963" s="170"/>
      <c r="K963" s="170"/>
      <c r="L963" s="170"/>
      <c r="M963" s="170"/>
      <c r="N963" s="171"/>
    </row>
    <row r="964" spans="1:14" s="8" customFormat="1" ht="19.5" hidden="1" customHeight="1" x14ac:dyDescent="0.3">
      <c r="A964" s="583">
        <v>960</v>
      </c>
      <c r="B964" s="164"/>
      <c r="C964" s="161"/>
      <c r="D964" s="162" t="s">
        <v>487</v>
      </c>
      <c r="E964" s="163"/>
      <c r="F964" s="163"/>
      <c r="G964" s="1746"/>
      <c r="H964" s="598" t="s">
        <v>24</v>
      </c>
      <c r="I964" s="625"/>
      <c r="J964" s="170"/>
      <c r="K964" s="170"/>
      <c r="L964" s="170"/>
      <c r="M964" s="170"/>
      <c r="N964" s="171"/>
    </row>
    <row r="965" spans="1:14" s="8" customFormat="1" ht="19.5" hidden="1" customHeight="1" x14ac:dyDescent="0.3">
      <c r="A965" s="583">
        <v>961</v>
      </c>
      <c r="B965" s="164"/>
      <c r="C965" s="161"/>
      <c r="D965" s="162" t="s">
        <v>489</v>
      </c>
      <c r="E965" s="163"/>
      <c r="F965" s="163"/>
      <c r="G965" s="1746"/>
      <c r="H965" s="598" t="s">
        <v>24</v>
      </c>
      <c r="I965" s="625"/>
      <c r="J965" s="170"/>
      <c r="K965" s="170"/>
      <c r="L965" s="170"/>
      <c r="M965" s="170"/>
      <c r="N965" s="171"/>
    </row>
    <row r="966" spans="1:14" s="8" customFormat="1" ht="19.5" hidden="1" customHeight="1" x14ac:dyDescent="0.3">
      <c r="A966" s="583">
        <v>962</v>
      </c>
      <c r="B966" s="164"/>
      <c r="C966" s="161"/>
      <c r="D966" s="162" t="s">
        <v>393</v>
      </c>
      <c r="E966" s="163"/>
      <c r="F966" s="163"/>
      <c r="G966" s="1746"/>
      <c r="H966" s="598" t="s">
        <v>24</v>
      </c>
      <c r="I966" s="625"/>
      <c r="J966" s="170"/>
      <c r="K966" s="170"/>
      <c r="L966" s="170"/>
      <c r="M966" s="170"/>
      <c r="N966" s="171"/>
    </row>
    <row r="967" spans="1:14" s="8" customFormat="1" ht="19.5" hidden="1" customHeight="1" x14ac:dyDescent="0.3">
      <c r="A967" s="583">
        <v>963</v>
      </c>
      <c r="B967" s="164"/>
      <c r="C967" s="161"/>
      <c r="D967" s="162" t="s">
        <v>301</v>
      </c>
      <c r="E967" s="163"/>
      <c r="F967" s="163"/>
      <c r="G967" s="1746"/>
      <c r="H967" s="598" t="s">
        <v>24</v>
      </c>
      <c r="I967" s="625"/>
      <c r="J967" s="170"/>
      <c r="K967" s="170"/>
      <c r="L967" s="170"/>
      <c r="M967" s="170"/>
      <c r="N967" s="171"/>
    </row>
    <row r="968" spans="1:14" s="8" customFormat="1" ht="29.45" hidden="1" customHeight="1" x14ac:dyDescent="0.3">
      <c r="A968" s="583">
        <v>964</v>
      </c>
      <c r="B968" s="164"/>
      <c r="C968" s="554"/>
      <c r="D968" s="162" t="s">
        <v>404</v>
      </c>
      <c r="E968" s="163"/>
      <c r="F968" s="163"/>
      <c r="G968" s="1746"/>
      <c r="H968" s="598" t="s">
        <v>24</v>
      </c>
      <c r="I968" s="625"/>
      <c r="J968" s="170"/>
      <c r="K968" s="170"/>
      <c r="L968" s="170"/>
      <c r="M968" s="170"/>
      <c r="N968" s="171"/>
    </row>
    <row r="969" spans="1:14" s="8" customFormat="1" ht="29.45" hidden="1" customHeight="1" x14ac:dyDescent="0.3">
      <c r="A969" s="583">
        <v>965</v>
      </c>
      <c r="B969" s="164"/>
      <c r="C969" s="554"/>
      <c r="D969" s="162" t="s">
        <v>493</v>
      </c>
      <c r="E969" s="163"/>
      <c r="F969" s="163"/>
      <c r="G969" s="1746"/>
      <c r="H969" s="598" t="s">
        <v>24</v>
      </c>
      <c r="I969" s="625"/>
      <c r="J969" s="170"/>
      <c r="K969" s="170"/>
      <c r="L969" s="170"/>
      <c r="M969" s="170"/>
      <c r="N969" s="171"/>
    </row>
    <row r="970" spans="1:14" s="8" customFormat="1" ht="19.5" hidden="1" customHeight="1" x14ac:dyDescent="0.3">
      <c r="A970" s="583">
        <v>966</v>
      </c>
      <c r="B970" s="164"/>
      <c r="C970" s="161"/>
      <c r="D970" s="162" t="s">
        <v>274</v>
      </c>
      <c r="E970" s="163"/>
      <c r="F970" s="163"/>
      <c r="G970" s="1746"/>
      <c r="H970" s="598" t="s">
        <v>24</v>
      </c>
      <c r="I970" s="625"/>
      <c r="J970" s="170"/>
      <c r="K970" s="170"/>
      <c r="L970" s="170"/>
      <c r="M970" s="170"/>
      <c r="N970" s="171"/>
    </row>
    <row r="971" spans="1:14" s="8" customFormat="1" ht="19.5" hidden="1" customHeight="1" x14ac:dyDescent="0.3">
      <c r="A971" s="583">
        <v>967</v>
      </c>
      <c r="B971" s="164"/>
      <c r="C971" s="161"/>
      <c r="D971" s="162" t="s">
        <v>276</v>
      </c>
      <c r="E971" s="163"/>
      <c r="F971" s="163"/>
      <c r="G971" s="1746"/>
      <c r="H971" s="598" t="s">
        <v>24</v>
      </c>
      <c r="I971" s="625"/>
      <c r="J971" s="170"/>
      <c r="K971" s="170"/>
      <c r="L971" s="170"/>
      <c r="M971" s="170"/>
      <c r="N971" s="171"/>
    </row>
    <row r="972" spans="1:14" s="8" customFormat="1" ht="19.5" hidden="1" customHeight="1" x14ac:dyDescent="0.3">
      <c r="A972" s="583">
        <v>968</v>
      </c>
      <c r="B972" s="164"/>
      <c r="C972" s="161"/>
      <c r="D972" s="162" t="s">
        <v>591</v>
      </c>
      <c r="E972" s="163"/>
      <c r="F972" s="163"/>
      <c r="G972" s="1746"/>
      <c r="H972" s="598" t="s">
        <v>24</v>
      </c>
      <c r="I972" s="625"/>
      <c r="J972" s="170"/>
      <c r="K972" s="170"/>
      <c r="L972" s="170"/>
      <c r="M972" s="170"/>
      <c r="N972" s="171"/>
    </row>
    <row r="973" spans="1:14" s="8" customFormat="1" ht="19.5" hidden="1" customHeight="1" x14ac:dyDescent="0.3">
      <c r="A973" s="583">
        <v>969</v>
      </c>
      <c r="B973" s="164"/>
      <c r="C973" s="161"/>
      <c r="D973" s="162" t="s">
        <v>300</v>
      </c>
      <c r="E973" s="163"/>
      <c r="F973" s="163"/>
      <c r="G973" s="1746"/>
      <c r="H973" s="598" t="s">
        <v>24</v>
      </c>
      <c r="I973" s="625"/>
      <c r="J973" s="170"/>
      <c r="K973" s="170"/>
      <c r="L973" s="170"/>
      <c r="M973" s="170"/>
      <c r="N973" s="171"/>
    </row>
    <row r="974" spans="1:14" s="8" customFormat="1" ht="19.5" hidden="1" customHeight="1" x14ac:dyDescent="0.3">
      <c r="A974" s="583">
        <v>970</v>
      </c>
      <c r="B974" s="164"/>
      <c r="C974" s="161"/>
      <c r="D974" s="162" t="s">
        <v>429</v>
      </c>
      <c r="E974" s="163"/>
      <c r="F974" s="163"/>
      <c r="G974" s="1746"/>
      <c r="H974" s="598" t="s">
        <v>24</v>
      </c>
      <c r="I974" s="625"/>
      <c r="J974" s="170"/>
      <c r="K974" s="170"/>
      <c r="L974" s="170"/>
      <c r="M974" s="170"/>
      <c r="N974" s="171"/>
    </row>
    <row r="975" spans="1:14" s="8" customFormat="1" ht="19.5" hidden="1" customHeight="1" x14ac:dyDescent="0.3">
      <c r="A975" s="583">
        <v>971</v>
      </c>
      <c r="B975" s="164"/>
      <c r="C975" s="161"/>
      <c r="D975" s="162" t="s">
        <v>33</v>
      </c>
      <c r="E975" s="163"/>
      <c r="F975" s="163"/>
      <c r="G975" s="1746"/>
      <c r="H975" s="598" t="s">
        <v>24</v>
      </c>
      <c r="I975" s="625"/>
      <c r="J975" s="170"/>
      <c r="K975" s="170"/>
      <c r="L975" s="170"/>
      <c r="M975" s="170"/>
      <c r="N975" s="171"/>
    </row>
    <row r="976" spans="1:14" s="8" customFormat="1" ht="19.5" hidden="1" customHeight="1" x14ac:dyDescent="0.3">
      <c r="A976" s="583">
        <v>972</v>
      </c>
      <c r="B976" s="164"/>
      <c r="C976" s="161"/>
      <c r="D976" s="162" t="s">
        <v>494</v>
      </c>
      <c r="E976" s="163"/>
      <c r="F976" s="163"/>
      <c r="G976" s="1746"/>
      <c r="H976" s="598" t="s">
        <v>24</v>
      </c>
      <c r="I976" s="625"/>
      <c r="J976" s="170"/>
      <c r="K976" s="170"/>
      <c r="L976" s="170"/>
      <c r="M976" s="170"/>
      <c r="N976" s="171"/>
    </row>
    <row r="977" spans="1:16" s="8" customFormat="1" ht="19.5" hidden="1" customHeight="1" x14ac:dyDescent="0.3">
      <c r="A977" s="583">
        <v>973</v>
      </c>
      <c r="B977" s="164"/>
      <c r="C977" s="161"/>
      <c r="D977" s="162" t="s">
        <v>431</v>
      </c>
      <c r="E977" s="163"/>
      <c r="F977" s="163"/>
      <c r="G977" s="1746"/>
      <c r="H977" s="598" t="s">
        <v>24</v>
      </c>
      <c r="I977" s="625"/>
      <c r="J977" s="170"/>
      <c r="K977" s="170"/>
      <c r="L977" s="170"/>
      <c r="M977" s="170"/>
      <c r="N977" s="171"/>
    </row>
    <row r="978" spans="1:16" s="8" customFormat="1" ht="19.5" hidden="1" customHeight="1" x14ac:dyDescent="0.3">
      <c r="A978" s="583">
        <v>974</v>
      </c>
      <c r="B978" s="164"/>
      <c r="C978" s="161"/>
      <c r="D978" s="162" t="s">
        <v>430</v>
      </c>
      <c r="E978" s="163"/>
      <c r="F978" s="163"/>
      <c r="G978" s="1746"/>
      <c r="H978" s="598" t="s">
        <v>24</v>
      </c>
      <c r="I978" s="625"/>
      <c r="J978" s="170"/>
      <c r="K978" s="170"/>
      <c r="L978" s="170"/>
      <c r="M978" s="170"/>
      <c r="N978" s="171"/>
    </row>
    <row r="979" spans="1:16" s="8" customFormat="1" ht="19.5" hidden="1" customHeight="1" x14ac:dyDescent="0.3">
      <c r="A979" s="583">
        <v>975</v>
      </c>
      <c r="B979" s="164"/>
      <c r="C979" s="161"/>
      <c r="D979" s="162" t="s">
        <v>432</v>
      </c>
      <c r="E979" s="163"/>
      <c r="F979" s="163"/>
      <c r="G979" s="1746"/>
      <c r="H979" s="598" t="s">
        <v>24</v>
      </c>
      <c r="I979" s="625"/>
      <c r="J979" s="170"/>
      <c r="K979" s="170"/>
      <c r="L979" s="170"/>
      <c r="M979" s="170"/>
      <c r="N979" s="171"/>
    </row>
    <row r="980" spans="1:16" s="8" customFormat="1" ht="29.45" hidden="1" customHeight="1" x14ac:dyDescent="0.3">
      <c r="A980" s="583">
        <v>976</v>
      </c>
      <c r="B980" s="164"/>
      <c r="C980" s="554"/>
      <c r="D980" s="162" t="s">
        <v>499</v>
      </c>
      <c r="E980" s="163"/>
      <c r="F980" s="163"/>
      <c r="G980" s="1746"/>
      <c r="H980" s="626" t="s">
        <v>24</v>
      </c>
      <c r="I980" s="625"/>
      <c r="J980" s="170"/>
      <c r="K980" s="170"/>
      <c r="L980" s="170"/>
      <c r="M980" s="170"/>
      <c r="N980" s="171"/>
    </row>
    <row r="981" spans="1:16" s="8" customFormat="1" ht="19.5" hidden="1" customHeight="1" x14ac:dyDescent="0.3">
      <c r="A981" s="583">
        <v>977</v>
      </c>
      <c r="B981" s="164"/>
      <c r="C981" s="161"/>
      <c r="D981" s="162" t="s">
        <v>587</v>
      </c>
      <c r="E981" s="163"/>
      <c r="F981" s="163"/>
      <c r="G981" s="1746"/>
      <c r="H981" s="598" t="s">
        <v>24</v>
      </c>
      <c r="I981" s="625"/>
      <c r="J981" s="170"/>
      <c r="K981" s="170"/>
      <c r="L981" s="170"/>
      <c r="M981" s="170"/>
      <c r="N981" s="171"/>
    </row>
    <row r="982" spans="1:16" s="8" customFormat="1" ht="19.5" hidden="1" customHeight="1" thickBot="1" x14ac:dyDescent="0.35">
      <c r="A982" s="583">
        <v>978</v>
      </c>
      <c r="B982" s="1332"/>
      <c r="C982" s="1333"/>
      <c r="D982" s="1958" t="s">
        <v>592</v>
      </c>
      <c r="E982" s="1675"/>
      <c r="F982" s="1674"/>
      <c r="G982" s="1674"/>
      <c r="H982" s="1334"/>
      <c r="I982" s="1959"/>
      <c r="J982" s="1960"/>
      <c r="K982" s="1960"/>
      <c r="L982" s="1960"/>
      <c r="M982" s="1960"/>
      <c r="N982" s="1961"/>
    </row>
    <row r="983" spans="1:16" s="2026" customFormat="1" ht="20.100000000000001" customHeight="1" thickTop="1" x14ac:dyDescent="0.35">
      <c r="A983" s="583">
        <v>836</v>
      </c>
      <c r="B983" s="2290" t="s">
        <v>1051</v>
      </c>
      <c r="C983" s="2291"/>
      <c r="D983" s="2291"/>
      <c r="E983" s="2291"/>
      <c r="F983" s="2291"/>
      <c r="G983" s="2292"/>
      <c r="H983" s="1678"/>
      <c r="I983" s="1679"/>
      <c r="J983" s="1679"/>
      <c r="K983" s="1679"/>
      <c r="L983" s="1679"/>
      <c r="M983" s="1679"/>
      <c r="N983" s="1680"/>
      <c r="O983" s="2027"/>
      <c r="P983" s="8"/>
    </row>
    <row r="984" spans="1:16" s="2026" customFormat="1" ht="20.100000000000001" customHeight="1" x14ac:dyDescent="0.35">
      <c r="A984" s="583">
        <v>837</v>
      </c>
      <c r="B984" s="575"/>
      <c r="C984" s="1341"/>
      <c r="D984" s="2280" t="s">
        <v>308</v>
      </c>
      <c r="E984" s="2293"/>
      <c r="F984" s="2293"/>
      <c r="G984" s="2294"/>
      <c r="H984" s="598"/>
      <c r="I984" s="1183">
        <f>SUM(J984:N984)</f>
        <v>5630577</v>
      </c>
      <c r="J984" s="1878">
        <f>J828+J823+J818+J813+J808+J803+J798+J793+J788+J783+J778+J773+J768+J763+J758+J753+J748+J743+J738+J733+J728+J698+J689+J684+J679+J674+J669+J664+J659+J654+J649+J644+J639+J634+J629+J624+J619+J614+J609+J604+J599+J593+J588+J583+J578+J572+J567+J562+J557+J552+J547+J542+J537+J531+J526+J521+J516+J500+J495+J490+J485+J480+J475+J470+J465+J460+J455+J450+J445+J440+J435+J430+J425+J420+J415+J410+J405+J400+J395+J390+J385+J380+J375+J370+J365+J360+J355+J301+J296+J291+J286+J281+J256+J231+J226+J221+J216+J211+J206+J201+J196+J191+J182+J176+J171+J166+J159+J154+J149+J144+J114+J108+J103+J98+J93+J88+J61+J56+J51+J29+J20+J507+J841</f>
        <v>165592</v>
      </c>
      <c r="K984" s="1878">
        <f>K828+K823+K818+K813+K808+K803+K798+K793+K788+K783+K778+K773+K768+K763+K758+K753+K748+K743+K738+K733+K728+K698+K689+K684+K679+K674+K669+K664+K659+K654+K649+K644+K639+K634+K629+K624+K619+K614+K609+K604+K599+K593+K588+K583+K578+K572+K567+K562+K557+K552+K547+K542+K537+K531+K526+K521+K516+K500+K495+K490+K485+K480+K475+K470+K465+K460+K455+K450+K445+K440+K435+K430+K425+K420+K415+K410+K405+K400+K395+K390+K385+K380+K375+K370+K365+K360+K355+K301+K296+K291+K286+K281+K256+K231+K226+K221+K216+K211+K206+K201+K196+K191+K182+K176+K171+K166+K159+K154+K149+K144+K114+K108+K103+K98+K93+K88+K61+K56+K51+K29+K20+K507+K841</f>
        <v>28844</v>
      </c>
      <c r="L984" s="1878">
        <f>L828+L823+L818+L813+L808+L803+L798+L793+L788+L783+L778+L773+L768+L763+L758+L753+L748+L743+L738+L733+L728+L698+L689+L684+L679+L674+L669+L664+L659+L654+L649+L644+L639+L634+L629+L624+L619+L614+L609+L604+L599+L593+L588+L583+L578+L572+L567+L562+L557+L552+L547+L542+L537+L531+L526+L521+L516+L500+L495+L490+L485+L480+L475+L470+L465+L460+L455+L450+L445+L440+L435+L430+L425+L420+L415+L410+L405+L400+L395+L390+L385+L380+L375+L370+L365+L360+L355+L301+L296+L291+L286+L281+L256+L231+L226+L221+L216+L211+L206+L201+L196+L191+L182+L176+L171+L166+L159+L154+L149+L144+L114+L108+L103+L98+L93+L88+L61+L56+L51+L29+L20+L507+L841</f>
        <v>1972869</v>
      </c>
      <c r="M984" s="1878">
        <f>M828+M823+M818+M813+M808+M803+M798+M793+M788+M783+M778+M773+M768+M763+M758+M753+M748+M743+M738+M733+M728+M698+M689+M684+M679+M674+M669+M664+M659+M654+M649+M644+M639+M634+M629+M624+M619+M614+M609+M604+M599+M593+M588+M583+M578+M572+M567+M562+M557+M552+M547+M542+M537+M531+M526+M521+M516+M500+M495+M490+M485+M480+M475+M470+M465+M460+M455+M450+M445+M440+M435+M430+M425+M420+M415+M410+M405+M400+M395+M390+M385+M380+M375+M370+M365+M360+M355+M301+M296+M291+M286+M281+M256+M231+M226+M221+M216+M211+M206+M201+M196+M191+M182+M176+M171+M166+M159+M154+M149+M144+M114+M108+M103+M98+M93+M88+M61+M56+M51+M29+M20+M507+M841</f>
        <v>23248</v>
      </c>
      <c r="N984" s="1879">
        <f>N828+N823+N818+N813+N808+N803+N798+N793+N788+N783+N778+N773+N768+N763+N758+N753+N748+N743+N738+N733+N728+N698+N689+N684+N679+N674+N669+N664+N659+N654+N649+N644+N639+N634+N629+N624+N619+N614+N609+N604+N599+N593+N588+N583+N578+N572+N567+N562+N557+N552+N547+N542+N537+N531+N526+N521+N516+N500+N495+N490+N485+N480+N475+N470+N465+N460+N455+N450+N445+N440+N435+N430+N425+N420+N415+N410+N405+N400+N395+N390+N385+N380+N375+N370+N365+N360+N355+N301+N296+N291+N286+N281+N256+N231+N226+N221+N216+N211+N206+N201+N196+N191+N182+N176+N171+N166+N159+N154+N149+N144+N114+N108+N103+N98+N93+N88+N61+N56+N51+N29+N20+N507+N841</f>
        <v>3440024</v>
      </c>
      <c r="O984" s="2027"/>
      <c r="P984" s="8"/>
    </row>
    <row r="985" spans="1:16" s="2026" customFormat="1" ht="20.100000000000001" customHeight="1" x14ac:dyDescent="0.35">
      <c r="A985" s="583">
        <v>838</v>
      </c>
      <c r="B985" s="575"/>
      <c r="C985" s="1341"/>
      <c r="D985" s="1830" t="s">
        <v>1158</v>
      </c>
      <c r="E985" s="2133"/>
      <c r="F985" s="2133"/>
      <c r="G985" s="2134"/>
      <c r="H985" s="600"/>
      <c r="I985" s="566">
        <f>SUM(J985:N985)</f>
        <v>5761196</v>
      </c>
      <c r="J985" s="1342">
        <f>J829+J824+J819+J814+J809+J804+J799+J794+J789+J784+J779+J774+J769+J764+J759+J754+J749+J744+J739+J734+J729+J699+J690+J685+J680+J675+J670+J665+J660+J655+J650+J645+J640+J635+J630+J625+J620+J615+J610+J605+J600+J594+J589+J584+J579+J573+J568+J563+J558+J553+J548+J543+J538+J532+J527+J522+J517+J501+J496+J491+J486+J481+J476+J471+J466+J461+J456+J451+J446+J441+J436+J431+J426+J421+J416+J411+J406+J401+J396+J391+J386+J381+J376+J371+J366+J361+J356+J302+J297+J292+J287+J282+J257+J232+J227+J222+J217+J212+J207+J202+J197+J192+J183+J177+J172+J167+J160+J155+J150+J145+J115+J109+J104+J99+J94+J89+J62+J57+J52+J30+J21+J508+J842+J837+J833+J694+J512+J46+J42+J25+J16+J12+J187</f>
        <v>170057</v>
      </c>
      <c r="K985" s="1342">
        <f>K829+K824+K819+K814+K809+K804+K799+K794+K789+K784+K779+K774+K769+K764+K759+K754+K749+K744+K739+K734+K729+K699+K690+K685+K680+K675+K670+K665+K660+K655+K650+K645+K640+K635+K630+K625+K620+K615+K610+K605+K600+K594+K589+K584+K579+K573+K568+K563+K558+K553+K548+K543+K538+K532+K527+K522+K517+K501+K496+K491+K486+K481+K476+K471+K466+K461+K456+K451+K446+K441+K436+K431+K426+K421+K416+K411+K406+K401+K396+K391+K386+K381+K376+K371+K366+K361+K356+K302+K297+K292+K287+K282+K257+K232+K227+K222+K217+K212+K207+K202+K197+K192+K183+K177+K172+K167+K160+K155+K150+K145+K115+K109+K104+K99+K94+K89+K62+K57+K52+K30+K21+K508+K842+K837+K833+K694+K512+K46+K42+K25+K16+K12+K187</f>
        <v>33195</v>
      </c>
      <c r="L985" s="1342">
        <f>L829+L824+L819+L814+L809+L804+L799+L794+L789+L784+L779+L774+L769+L764+L759+L754+L749+L744+L739+L734+L729+L699+L690+L685+L680+L675+L670+L665+L660+L655+L650+L645+L640+L635+L630+L625+L620+L615+L610+L605+L600+L594+L589+L584+L579+L573+L568+L563+L558+L553+L548+L543+L538+L532+L527+L522+L517+L501+L496+L491+L486+L481+L476+L471+L466+L461+L456+L451+L446+L441+L436+L431+L426+L421+L416+L411+L406+L401+L396+L391+L386+L381+L376+L371+L366+L361+L356+L302+L297+L292+L287+L282+L257+L232+L227+L222+L217+L212+L207+L202+L197+L192+L183+L177+L172+L167+L160+L155+L150+L145+L115+L109+L104+L99+L94+L89+L62+L57+L52+L30+L21+L508+L842+L837+L833+L694+L512+L46+L42+L25+L16+L12+L187</f>
        <v>1885325</v>
      </c>
      <c r="M985" s="1342">
        <f>M829+M824+M819+M814+M809+M804+M799+M794+M789+M784+M779+M774+M769+M764+M759+M754+M749+M744+M739+M734+M729+M699+M690+M685+M680+M675+M670+M665+M660+M655+M650+M645+M640+M635+M630+M625+M620+M615+M610+M605+M600+M594+M589+M584+M579+M573+M568+M563+M558+M553+M548+M543+M538+M532+M527+M522+M517+M501+M496+M491+M486+M481+M476+M471+M466+M461+M456+M451+M446+M441+M436+M431+M426+M421+M416+M411+M406+M401+M396+M391+M386+M381+M376+M371+M366+M361+M356+M302+M297+M292+M287+M282+M257+M232+M227+M222+M217+M212+M207+M202+M197+M192+M183+M177+M172+M167+M160+M155+M150+M145+M115+M109+M104+M99+M94+M89+M62+M57+M52+M30+M21+M508+M842+M837+M833+M694+M512+M46+M42+M25+M16+M12+M187</f>
        <v>32338</v>
      </c>
      <c r="N985" s="2138">
        <f>N829+N824+N819+N814+N809+N804+N799+N794+N789+N784+N779+N774+N769+N764+N759+N754+N749+N744+N739+N734+N729+N699+N690+N685+N680+N675+N670+N665+N660+N655+N650+N645+N640+N635+N630+N625+N620+N615+N610+N605+N600+N594+N589+N584+N579+N573+N568+N563+N558+N553+N548+N543+N538+N532+N527+N522+N517+N501+N496+N491+N486+N481+N476+N471+N466+N461+N456+N451+N446+N441+N436+N431+N426+N421+N416+N411+N406+N401+N396+N391+N386+N381+N376+N371+N366+N361+N356+N302+N297+N292+N287+N282+N257+N232+N227+N222+N217+N212+N207+N202+N197+N192+N183+N177+N172+N167+N160+N155+N150+N145+N115+N109+N104+N99+N94+N89+N62+N57+N52+N30+N21+N508+N842+N837+N833+N694+N512+N46+N42+N25+N16+N12+N187</f>
        <v>3640281</v>
      </c>
      <c r="O985" s="2027"/>
      <c r="P985" s="8"/>
    </row>
    <row r="986" spans="1:16" s="2026" customFormat="1" ht="20.100000000000001" customHeight="1" x14ac:dyDescent="0.35">
      <c r="A986" s="583">
        <v>839</v>
      </c>
      <c r="B986" s="575"/>
      <c r="C986" s="1341"/>
      <c r="D986" s="2283" t="s">
        <v>947</v>
      </c>
      <c r="E986" s="2281"/>
      <c r="F986" s="2281"/>
      <c r="G986" s="2282"/>
      <c r="H986" s="600"/>
      <c r="I986" s="1321">
        <f>SUM(J986:N986)</f>
        <v>7698</v>
      </c>
      <c r="J986" s="1681">
        <f>J830+J825+J820+J815+J810+J805+J800+J795+J790+J785+J780+J775+J770+J765+J760+J755+J750+J745+J740+J735+J730+J700+J695+J691+J686+J681+J676+J671+J666+J661+J656+J651+J646+J641+J636+J631+J626+J621+J616+J611+J606+J601+J595+J590+J585+J580+J574+J569+J564+J559+J554+J549+J544+J539+J533+J528+J523+J518+J509+J502+J497+J492+J487+J482+J477+J472+J467+J462+J452+J447+J442+J437+J432+J427+J422+J417+J412+J407+J402+J397+J387+J382+J377+J372+J367+J362+J357+J303+J298+J293+J288+J283+J258+J233+J228+J223+J218+J213+J208+J203+J198+J193+J184+J178+J173+J168+J161+J156+J151+J146+J116+J110+J105+J100+J95+J90+J63+J58+J53+J47+J43+J31+J22+J17+J13+J392+J843+J834+J513+J26+J838+J457+J188+J48</f>
        <v>27</v>
      </c>
      <c r="K986" s="1681">
        <f t="shared" ref="K986:N986" si="201">K830+K825+K820+K815+K810+K805+K800+K795+K790+K785+K780+K775+K770+K765+K760+K755+K750+K745+K740+K735+K730+K700+K695+K691+K686+K681+K676+K671+K666+K661+K656+K651+K646+K641+K636+K631+K626+K621+K616+K611+K606+K601+K595+K590+K585+K580+K574+K569+K564+K559+K554+K549+K544+K539+K533+K528+K523+K518+K509+K502+K497+K492+K487+K482+K477+K472+K467+K462+K452+K447+K442+K437+K432+K427+K422+K417+K412+K407+K402+K397+K387+K382+K377+K372+K367+K362+K357+K303+K298+K293+K288+K283+K258+K233+K228+K223+K218+K213+K208+K203+K198+K193+K184+K178+K173+K168+K161+K156+K151+K146+K116+K110+K105+K100+K95+K90+K63+K58+K53+K47+K43+K31+K22+K17+K13+K392+K843+K834+K513+K26+K838+K457+K188+K48</f>
        <v>13</v>
      </c>
      <c r="L986" s="1681">
        <f t="shared" si="201"/>
        <v>4225</v>
      </c>
      <c r="M986" s="1681">
        <f t="shared" si="201"/>
        <v>0</v>
      </c>
      <c r="N986" s="2058">
        <f t="shared" si="201"/>
        <v>3433</v>
      </c>
      <c r="O986" s="2027"/>
      <c r="P986" s="8"/>
    </row>
    <row r="987" spans="1:16" s="2026" customFormat="1" ht="20.100000000000001" customHeight="1" thickBot="1" x14ac:dyDescent="0.4">
      <c r="A987" s="583">
        <v>840</v>
      </c>
      <c r="B987" s="377"/>
      <c r="C987" s="1340"/>
      <c r="D987" s="2321" t="s">
        <v>1250</v>
      </c>
      <c r="E987" s="2322"/>
      <c r="F987" s="2322"/>
      <c r="G987" s="2323"/>
      <c r="H987" s="600"/>
      <c r="I987" s="566">
        <f t="shared" ref="I987" si="202">SUM(J987:N987)</f>
        <v>5768894</v>
      </c>
      <c r="J987" s="448">
        <f>SUM(J985:J986)</f>
        <v>170084</v>
      </c>
      <c r="K987" s="448">
        <f t="shared" ref="K987:N987" si="203">SUM(K985:K986)</f>
        <v>33208</v>
      </c>
      <c r="L987" s="448">
        <f t="shared" si="203"/>
        <v>1889550</v>
      </c>
      <c r="M987" s="448">
        <f t="shared" si="203"/>
        <v>32338</v>
      </c>
      <c r="N987" s="1913">
        <f t="shared" si="203"/>
        <v>3643714</v>
      </c>
      <c r="O987" s="2027"/>
      <c r="P987" s="8"/>
    </row>
    <row r="988" spans="1:16" s="2026" customFormat="1" ht="18" customHeight="1" thickTop="1" x14ac:dyDescent="0.35">
      <c r="A988" s="583">
        <v>841</v>
      </c>
      <c r="B988" s="116"/>
      <c r="C988" s="117"/>
      <c r="D988" s="2314" t="s">
        <v>120</v>
      </c>
      <c r="E988" s="2315"/>
      <c r="F988" s="2315"/>
      <c r="G988" s="2316"/>
      <c r="H988" s="601"/>
      <c r="I988" s="570"/>
      <c r="J988" s="449"/>
      <c r="K988" s="449"/>
      <c r="L988" s="449"/>
      <c r="M988" s="449"/>
      <c r="N988" s="611"/>
      <c r="O988" s="2027"/>
      <c r="P988" s="8"/>
    </row>
    <row r="989" spans="1:16" s="1229" customFormat="1" ht="18" customHeight="1" x14ac:dyDescent="0.35">
      <c r="A989" s="583">
        <v>842</v>
      </c>
      <c r="B989" s="1188"/>
      <c r="C989" s="1189"/>
      <c r="D989" s="2280" t="s">
        <v>308</v>
      </c>
      <c r="E989" s="2281"/>
      <c r="F989" s="2281"/>
      <c r="G989" s="2282"/>
      <c r="H989" s="1192"/>
      <c r="I989" s="1183">
        <f>SUM(J989:N989)</f>
        <v>4410268</v>
      </c>
      <c r="J989" s="1184">
        <v>153862</v>
      </c>
      <c r="K989" s="1184">
        <v>26611</v>
      </c>
      <c r="L989" s="1184">
        <v>1312527</v>
      </c>
      <c r="M989" s="1184">
        <v>7735</v>
      </c>
      <c r="N989" s="1185">
        <v>2909533</v>
      </c>
      <c r="O989" s="1193"/>
      <c r="P989" s="1193"/>
    </row>
    <row r="990" spans="1:16" s="1229" customFormat="1" ht="18" customHeight="1" x14ac:dyDescent="0.35">
      <c r="A990" s="583">
        <v>843</v>
      </c>
      <c r="B990" s="1188"/>
      <c r="C990" s="1189"/>
      <c r="D990" s="576" t="s">
        <v>1158</v>
      </c>
      <c r="E990" s="2131"/>
      <c r="F990" s="2131"/>
      <c r="G990" s="2132"/>
      <c r="H990" s="1192"/>
      <c r="I990" s="566">
        <f>SUM(J990:N990)</f>
        <v>4874471</v>
      </c>
      <c r="J990" s="443">
        <f>J833+J759+J699+J690+J685+J670+J665+J660+J655+J650+J645+J640+J635+J630+J625+J620+J615+J610+J605+J600+J594+J589+J584+J579+J568+J563+J558+J553+J548+J538+J481+J471+J461+J456+J451+J446+J436+J431+J396+J391+J386+J381+J376+J356+J307+J296+J292+J287+J217+J212+J207+J202+J12</f>
        <v>158556</v>
      </c>
      <c r="K990" s="443">
        <f>K833+K759+K699+K690+K685+K670+K665+K660+K655+K650+K645+K640+K635+K630+K625+K620+K615+K610+K605+K600+K594+K589+K584+K579+K568+K563+K558+K553+K548+K538+K481+K471+K461+K456+K451+K446+K436+K431+K396+K391+K386+K381+K376+K356+K307+K296+K292+K287+K217+K212+K207+K202+K12</f>
        <v>30937</v>
      </c>
      <c r="L990" s="443">
        <f>L833+L759+L699+L690+L685+L670+L665+L660+L655+L650+L645+L640+L635+L630+L625+L620+L615+L610+L605+L600+L594+L589+L584+L579+L568+L563+L558+L553+L548+L538+L481+L471+L461+L456+L451+L446+L436+L431+L396+L391+L386+L381+L376+L356+L307+L296+L292+L287+L217+L212+L207+L202+L12</f>
        <v>1476924</v>
      </c>
      <c r="M990" s="443">
        <f>M833+M759+M699+M690+M685+M670+M665+M660+M655+M650+M645+M640+M635+M630+M625+M620+M615+M610+M605+M600+M594+M589+M584+M579+M568+M563+M558+M553+M548+M538+M481+M471+M461+M456+M451+M446+M436+M431+M396+M391+M386+M381+M376+M356+M307+M296+M292+M287+M217+M212+M207+M202+M12</f>
        <v>10285</v>
      </c>
      <c r="N990" s="439">
        <f>N833+N759+N699+N690+N685+N670+N665+N660+N655+N650+N645+N640+N635+N630+N625+N620+N615+N610+N605+N600+N594+N589+N584+N579+N568+N563+N558+N553+N548+N538+N481+N471+N461+N456+N451+N446+N436+N431+N396+N391+N386+N381+N376+N356+N307+N296+N292+N287+N217+N212+N207+N202+N12</f>
        <v>3197769</v>
      </c>
      <c r="O990" s="1193"/>
      <c r="P990" s="1193"/>
    </row>
    <row r="991" spans="1:16" s="1229" customFormat="1" ht="18" customHeight="1" x14ac:dyDescent="0.35">
      <c r="A991" s="583">
        <v>844</v>
      </c>
      <c r="B991" s="1188"/>
      <c r="C991" s="1189"/>
      <c r="D991" s="2283" t="s">
        <v>947</v>
      </c>
      <c r="E991" s="2284"/>
      <c r="F991" s="2284"/>
      <c r="G991" s="2285"/>
      <c r="H991" s="1192"/>
      <c r="I991" s="1321">
        <f t="shared" ref="I991:I992" si="204">SUM(J991:N991)</f>
        <v>2329</v>
      </c>
      <c r="J991" s="184">
        <f>J834+J760+J700+J691+J671+J666+J661+J656+J651+J646+J641+J636+J631+J626+J621+J616+J611+J606+J601+J595+J590+J585+J580+J564+J559+J554+J549+J539+J482+J472+J462+J457+J452+J447+J437+J432+J397+J392+J387+J382+J377+J357+J308+J298+J293+J288+J218+J213+J208+J203+J13+J569+J686</f>
        <v>0</v>
      </c>
      <c r="K991" s="184">
        <f t="shared" ref="K991:N991" si="205">K834+K760+K700+K691+K671+K666+K661+K656+K651+K646+K641+K636+K631+K626+K621+K616+K611+K606+K601+K595+K590+K585+K580+K564+K559+K554+K549+K539+K482+K472+K462+K457+K452+K447+K437+K432+K397+K392+K387+K382+K377+K357+K308+K298+K293+K288+K218+K213+K208+K203+K13+K569+K686</f>
        <v>0</v>
      </c>
      <c r="L991" s="184">
        <f t="shared" si="205"/>
        <v>-1104</v>
      </c>
      <c r="M991" s="184">
        <f t="shared" si="205"/>
        <v>0</v>
      </c>
      <c r="N991" s="185">
        <f t="shared" si="205"/>
        <v>3433</v>
      </c>
      <c r="O991" s="1193"/>
      <c r="P991" s="1193"/>
    </row>
    <row r="992" spans="1:16" s="1229" customFormat="1" ht="18" customHeight="1" x14ac:dyDescent="0.35">
      <c r="A992" s="583">
        <v>845</v>
      </c>
      <c r="B992" s="1188"/>
      <c r="C992" s="1189"/>
      <c r="D992" s="2286" t="s">
        <v>1250</v>
      </c>
      <c r="E992" s="2281"/>
      <c r="F992" s="2281"/>
      <c r="G992" s="2282"/>
      <c r="H992" s="1192"/>
      <c r="I992" s="566">
        <f t="shared" si="204"/>
        <v>4876800</v>
      </c>
      <c r="J992" s="443">
        <f>SUM(J990:J991)</f>
        <v>158556</v>
      </c>
      <c r="K992" s="443">
        <f t="shared" ref="K992:N992" si="206">SUM(K990:K991)</f>
        <v>30937</v>
      </c>
      <c r="L992" s="443">
        <f t="shared" si="206"/>
        <v>1475820</v>
      </c>
      <c r="M992" s="443">
        <f t="shared" si="206"/>
        <v>10285</v>
      </c>
      <c r="N992" s="439">
        <f t="shared" si="206"/>
        <v>3201202</v>
      </c>
      <c r="O992" s="1193"/>
      <c r="P992" s="1193"/>
    </row>
    <row r="993" spans="1:16" s="2026" customFormat="1" ht="18" customHeight="1" x14ac:dyDescent="0.35">
      <c r="A993" s="583">
        <v>846</v>
      </c>
      <c r="B993" s="118"/>
      <c r="C993" s="119"/>
      <c r="D993" s="2317" t="s">
        <v>121</v>
      </c>
      <c r="E993" s="2281"/>
      <c r="F993" s="2281"/>
      <c r="G993" s="2282"/>
      <c r="H993" s="602"/>
      <c r="I993" s="574"/>
      <c r="J993" s="167"/>
      <c r="K993" s="167"/>
      <c r="L993" s="167"/>
      <c r="M993" s="167"/>
      <c r="N993" s="168"/>
      <c r="O993" s="2027"/>
      <c r="P993" s="8"/>
    </row>
    <row r="994" spans="1:16" s="2026" customFormat="1" ht="18" customHeight="1" x14ac:dyDescent="0.35">
      <c r="A994" s="583">
        <v>847</v>
      </c>
      <c r="B994" s="1343"/>
      <c r="C994" s="1344"/>
      <c r="D994" s="2280" t="s">
        <v>308</v>
      </c>
      <c r="E994" s="2281"/>
      <c r="F994" s="2281"/>
      <c r="G994" s="2282"/>
      <c r="H994" s="1345"/>
      <c r="I994" s="1183">
        <f>SUM(J994:N994)</f>
        <v>1220309</v>
      </c>
      <c r="J994" s="1778">
        <v>11730</v>
      </c>
      <c r="K994" s="1778">
        <v>2233</v>
      </c>
      <c r="L994" s="1778">
        <v>660342</v>
      </c>
      <c r="M994" s="1778">
        <v>15513</v>
      </c>
      <c r="N994" s="1779">
        <v>530491</v>
      </c>
      <c r="O994" s="2027"/>
      <c r="P994" s="8"/>
    </row>
    <row r="995" spans="1:16" s="2026" customFormat="1" ht="18" customHeight="1" x14ac:dyDescent="0.35">
      <c r="A995" s="583">
        <v>848</v>
      </c>
      <c r="B995" s="1343"/>
      <c r="C995" s="1344"/>
      <c r="D995" s="576" t="s">
        <v>1158</v>
      </c>
      <c r="E995" s="2131"/>
      <c r="F995" s="2131"/>
      <c r="G995" s="2132"/>
      <c r="H995" s="1345"/>
      <c r="I995" s="566">
        <f>SUM(J995:N995)</f>
        <v>886725</v>
      </c>
      <c r="J995" s="1835">
        <f>J842+J837+J829+J824+J819+J814+J809+J804+J799+J794+J789+J784+J779+J774+J769+J764+J754+J749+J744+J739+J734+J729+J694+J680+J675+J573+J543+J532+J527+J522+J517+J512+J508+J501+J496+J491+J486+J476+J466+J441+J426+J421+J416+J411+J406+J401+J371+J366+J361+J351+J346+J341+J336+J331+J326+J321+J316+J311+J282+J257+J232+J227+J222+J197+J192+J183+J177+J172+J167+J160+J155+J150+J145+J115+J109+J104+J99+J94+J89+J62+J57+J52+J46+J42+J30+J25+J21+J16+J187</f>
        <v>11501</v>
      </c>
      <c r="K995" s="1835">
        <f>K842+K837+K829+K824+K819+K814+K809+K804+K799+K794+K789+K784+K779+K774+K769+K764+K754+K749+K744+K739+K734+K729+K694+K680+K675+K573+K543+K532+K527+K522+K517+K512+K508+K501+K496+K491+K486+K476+K466+K441+K426+K421+K416+K411+K406+K401+K371+K366+K361+K351+K346+K341+K336+K331+K326+K321+K316+K311+K282+K257+K232+K227+K222+K197+K192+K183+K177+K172+K167+K160+K155+K150+K145+K115+K109+K104+K99+K94+K89+K62+K57+K52+K46+K42+K30+K25+K21+K16+K187</f>
        <v>2258</v>
      </c>
      <c r="L995" s="1835">
        <f>L842+L837+L829+L824+L819+L814+L809+L804+L799+L794+L789+L784+L779+L774+L769+L764+L754+L749+L744+L739+L734+L729+L694+L680+L675+L573+L543+L532+L527+L522+L517+L512+L508+L501+L496+L491+L486+L476+L466+L441+L426+L421+L416+L411+L406+L401+L371+L366+L361+L351+L346+L341+L336+L331+L326+L321+L316+L311+L282+L257+L232+L227+L222+L197+L192+L183+L177+L172+L167+L160+L155+L150+L145+L115+L109+L104+L99+L94+L89+L62+L57+L52+L46+L42+L30+L25+L21+L16+L187</f>
        <v>408401</v>
      </c>
      <c r="M995" s="1835">
        <f>M842+M837+M829+M824+M819+M814+M809+M804+M799+M794+M789+M784+M779+M774+M769+M764+M754+M749+M744+M739+M734+M729+M694+M680+M675+M573+M543+M532+M527+M522+M517+M512+M508+M501+M496+M491+M486+M476+M466+M441+M426+M421+M416+M411+M406+M401+M371+M366+M361+M351+M346+M341+M336+M331+M326+M321+M316+M311+M282+M257+M232+M227+M222+M197+M192+M183+M177+M172+M167+M160+M155+M150+M145+M115+M109+M104+M99+M94+M89+M62+M57+M52+M46+M42+M30+M25+M21+M16+M187</f>
        <v>22053</v>
      </c>
      <c r="N995" s="2139">
        <f>N842+N837+N829+N824+N819+N814+N809+N804+N799+N794+N789+N784+N779+N774+N769+N764+N754+N749+N744+N739+N734+N729+N694+N680+N675+N573+N543+N532+N527+N522+N517+N512+N508+N501+N496+N491+N486+N476+N466+N441+N426+N421+N416+N411+N406+N401+N371+N366+N361+N351+N346+N341+N336+N331+N326+N321+N316+N311+N282+N257+N232+N227+N222+N197+N192+N183+N177+N172+N167+N160+N155+N150+N145+N115+N109+N104+N99+N94+N89+N62+N57+N52+N46+N42+N30+N25+N21+N16+N187</f>
        <v>442512</v>
      </c>
      <c r="O995" s="2027"/>
      <c r="P995" s="8"/>
    </row>
    <row r="996" spans="1:16" s="2026" customFormat="1" ht="18" customHeight="1" x14ac:dyDescent="0.35">
      <c r="A996" s="583">
        <v>849</v>
      </c>
      <c r="B996" s="1343"/>
      <c r="C996" s="1344"/>
      <c r="D996" s="2283" t="s">
        <v>947</v>
      </c>
      <c r="E996" s="2281"/>
      <c r="F996" s="2281"/>
      <c r="G996" s="2282"/>
      <c r="H996" s="1345"/>
      <c r="I996" s="1321">
        <f t="shared" ref="I996:I997" si="207">SUM(J996:N996)</f>
        <v>5369</v>
      </c>
      <c r="J996" s="1346">
        <f>J838+J843+J830+J825+J820+J815+J810+J805+J800+J795+J790+J785+J780+J775+J770+J765+J755+J750+J745+J740+J735+J730+J695+J681+J676+J574+J544+J533+J528+J523+J518+J513+J509+J502+J497+J492+J487+J477+J467+J442+J427+J422+J417+J412+J407+J402+J372+J367+J362+J352+J347+J342+J337+J332+J327+J322+J317+J283+J258+J233+J228+J223+J198+J193+J184+J178+J173+J168+J161+J156+J151+J146+J116+J110+J105+J100+J95+J90+J63+J58+J53+J47+J43+J31+J26+J22+J17+J312+J188+J48</f>
        <v>27</v>
      </c>
      <c r="K996" s="1346">
        <f t="shared" ref="K996:N996" si="208">K838+K843+K830+K825+K820+K815+K810+K805+K800+K795+K790+K785+K780+K775+K770+K765+K755+K750+K745+K740+K735+K730+K695+K681+K676+K574+K544+K533+K528+K523+K518+K513+K509+K502+K497+K492+K487+K477+K467+K442+K427+K422+K417+K412+K407+K402+K372+K367+K362+K352+K347+K342+K337+K332+K327+K322+K317+K283+K258+K233+K228+K223+K198+K193+K184+K178+K173+K168+K161+K156+K151+K146+K116+K110+K105+K100+K95+K90+K63+K58+K53+K47+K43+K31+K26+K22+K17+K312+K188+K48</f>
        <v>13</v>
      </c>
      <c r="L996" s="1346">
        <f t="shared" si="208"/>
        <v>5329</v>
      </c>
      <c r="M996" s="1346">
        <f t="shared" si="208"/>
        <v>0</v>
      </c>
      <c r="N996" s="2059">
        <f t="shared" si="208"/>
        <v>0</v>
      </c>
      <c r="O996" s="2027"/>
      <c r="P996" s="8"/>
    </row>
    <row r="997" spans="1:16" s="1234" customFormat="1" ht="18" customHeight="1" thickBot="1" x14ac:dyDescent="0.35">
      <c r="A997" s="583">
        <v>850</v>
      </c>
      <c r="B997" s="1230"/>
      <c r="C997" s="1231"/>
      <c r="D997" s="2318" t="s">
        <v>1250</v>
      </c>
      <c r="E997" s="2319"/>
      <c r="F997" s="2319"/>
      <c r="G997" s="2320"/>
      <c r="H997" s="1232"/>
      <c r="I997" s="1347">
        <f t="shared" si="207"/>
        <v>892094</v>
      </c>
      <c r="J997" s="1777">
        <f>SUM(J995:J996)</f>
        <v>11528</v>
      </c>
      <c r="K997" s="1777">
        <f t="shared" ref="K997:N997" si="209">SUM(K995:K996)</f>
        <v>2271</v>
      </c>
      <c r="L997" s="1777">
        <f t="shared" si="209"/>
        <v>413730</v>
      </c>
      <c r="M997" s="1777">
        <f t="shared" si="209"/>
        <v>22053</v>
      </c>
      <c r="N997" s="1914">
        <f t="shared" si="209"/>
        <v>442512</v>
      </c>
      <c r="O997" s="1233"/>
      <c r="P997" s="1193"/>
    </row>
    <row r="998" spans="1:16" ht="18" customHeight="1" x14ac:dyDescent="0.3">
      <c r="A998" s="584"/>
      <c r="B998" s="2287" t="s">
        <v>27</v>
      </c>
      <c r="C998" s="2287"/>
      <c r="D998" s="2287"/>
      <c r="E998" s="158"/>
      <c r="F998" s="158"/>
      <c r="G998" s="158"/>
      <c r="H998" s="573"/>
      <c r="I998" s="159"/>
      <c r="J998" s="158"/>
      <c r="K998" s="158"/>
      <c r="L998" s="158"/>
      <c r="M998" s="158"/>
      <c r="N998" s="158"/>
    </row>
    <row r="999" spans="1:16" ht="18" customHeight="1" x14ac:dyDescent="0.3">
      <c r="A999" s="584"/>
      <c r="B999" s="627" t="s">
        <v>28</v>
      </c>
      <c r="C999" s="627"/>
      <c r="D999" s="627"/>
      <c r="E999" s="158"/>
      <c r="F999" s="158"/>
      <c r="G999" s="158"/>
      <c r="H999" s="573"/>
      <c r="I999" s="159"/>
      <c r="J999" s="158"/>
      <c r="K999" s="158"/>
      <c r="L999" s="158"/>
      <c r="M999" s="158"/>
      <c r="N999" s="158"/>
    </row>
    <row r="1000" spans="1:16" ht="18" customHeight="1" x14ac:dyDescent="0.3">
      <c r="A1000" s="584"/>
      <c r="B1000" s="2287" t="s">
        <v>29</v>
      </c>
      <c r="C1000" s="2287"/>
      <c r="D1000" s="2287"/>
      <c r="E1000" s="158"/>
      <c r="F1000" s="158"/>
      <c r="G1000" s="158"/>
      <c r="H1000" s="573"/>
      <c r="I1000" s="159"/>
      <c r="J1000" s="158"/>
      <c r="K1000" s="158"/>
      <c r="L1000" s="158"/>
      <c r="M1000" s="158"/>
      <c r="N1000" s="158"/>
    </row>
    <row r="1001" spans="1:16" ht="18" customHeight="1" x14ac:dyDescent="0.3">
      <c r="D1001" s="11"/>
      <c r="E1001" s="376"/>
      <c r="F1001" s="376"/>
      <c r="G1001" s="376"/>
      <c r="H1001" s="12"/>
      <c r="I1001" s="376">
        <f>+I983-I988-I993</f>
        <v>0</v>
      </c>
      <c r="J1001" s="376">
        <f>+J983-J988-J993</f>
        <v>0</v>
      </c>
      <c r="K1001" s="376">
        <f t="shared" ref="K1001:N1001" si="210">+K983-K988-K993</f>
        <v>0</v>
      </c>
      <c r="L1001" s="376">
        <f t="shared" si="210"/>
        <v>0</v>
      </c>
      <c r="M1001" s="376">
        <f t="shared" si="210"/>
        <v>0</v>
      </c>
      <c r="N1001" s="376">
        <f t="shared" si="210"/>
        <v>0</v>
      </c>
    </row>
    <row r="1002" spans="1:16" ht="18" customHeight="1" x14ac:dyDescent="0.35">
      <c r="D1002" s="11"/>
      <c r="E1002" s="376"/>
      <c r="F1002" s="376"/>
      <c r="G1002" s="376"/>
      <c r="H1002" s="12"/>
    </row>
    <row r="1003" spans="1:16" ht="18" customHeight="1" x14ac:dyDescent="0.35">
      <c r="D1003" s="11"/>
      <c r="E1003" s="376"/>
      <c r="F1003" s="376"/>
      <c r="G1003" s="376"/>
      <c r="H1003" s="12"/>
    </row>
    <row r="1004" spans="1:16" s="13" customFormat="1" ht="18" customHeight="1" x14ac:dyDescent="0.35">
      <c r="A1004" s="583"/>
      <c r="B1004" s="3"/>
      <c r="C1004" s="7"/>
      <c r="D1004" s="11"/>
      <c r="E1004" s="376"/>
      <c r="F1004" s="376"/>
      <c r="G1004" s="376"/>
      <c r="H1004" s="12"/>
      <c r="J1004" s="376"/>
      <c r="K1004" s="376"/>
      <c r="L1004" s="376"/>
      <c r="M1004" s="376"/>
      <c r="N1004" s="376"/>
      <c r="O1004" s="4"/>
    </row>
    <row r="1005" spans="1:16" s="13" customFormat="1" ht="18" customHeight="1" x14ac:dyDescent="0.35">
      <c r="A1005" s="583"/>
      <c r="B1005" s="3"/>
      <c r="C1005" s="7"/>
      <c r="D1005" s="11"/>
      <c r="E1005" s="376"/>
      <c r="F1005" s="376"/>
      <c r="G1005" s="376"/>
      <c r="H1005" s="12"/>
      <c r="J1005" s="376"/>
      <c r="K1005" s="376"/>
      <c r="L1005" s="376"/>
      <c r="M1005" s="376"/>
      <c r="N1005" s="376"/>
      <c r="O1005" s="4"/>
    </row>
    <row r="1006" spans="1:16" s="13" customFormat="1" ht="18" customHeight="1" x14ac:dyDescent="0.35">
      <c r="A1006" s="583"/>
      <c r="B1006" s="3"/>
      <c r="C1006" s="7"/>
      <c r="D1006" s="11"/>
      <c r="E1006" s="376"/>
      <c r="F1006" s="376"/>
      <c r="G1006" s="376"/>
      <c r="H1006" s="12"/>
      <c r="J1006" s="376"/>
      <c r="K1006" s="376"/>
      <c r="L1006" s="376"/>
      <c r="M1006" s="376"/>
      <c r="N1006" s="376"/>
      <c r="O1006" s="4"/>
    </row>
    <row r="1007" spans="1:16" s="13" customFormat="1" ht="18" customHeight="1" x14ac:dyDescent="0.35">
      <c r="A1007" s="583"/>
      <c r="B1007" s="3"/>
      <c r="C1007" s="7"/>
      <c r="D1007" s="11"/>
      <c r="E1007" s="376"/>
      <c r="F1007" s="376"/>
      <c r="G1007" s="376"/>
      <c r="H1007" s="12"/>
      <c r="J1007" s="376"/>
      <c r="K1007" s="376"/>
      <c r="L1007" s="376"/>
      <c r="M1007" s="376"/>
      <c r="N1007" s="376"/>
      <c r="O1007" s="4"/>
    </row>
    <row r="1008" spans="1:16" s="13" customFormat="1" ht="18" customHeight="1" x14ac:dyDescent="0.35">
      <c r="A1008" s="583"/>
      <c r="B1008" s="3"/>
      <c r="C1008" s="7"/>
      <c r="D1008" s="11"/>
      <c r="E1008" s="376"/>
      <c r="F1008" s="376"/>
      <c r="G1008" s="376"/>
      <c r="H1008" s="12"/>
      <c r="J1008" s="376"/>
      <c r="K1008" s="376"/>
      <c r="L1008" s="376"/>
      <c r="M1008" s="376"/>
      <c r="N1008" s="376"/>
      <c r="O1008" s="4"/>
    </row>
    <row r="1009" spans="1:15" s="13" customFormat="1" ht="18" customHeight="1" x14ac:dyDescent="0.35">
      <c r="A1009" s="583"/>
      <c r="B1009" s="3"/>
      <c r="C1009" s="7"/>
      <c r="D1009" s="14"/>
      <c r="E1009" s="376"/>
      <c r="F1009" s="376"/>
      <c r="G1009" s="376"/>
      <c r="H1009" s="12"/>
      <c r="J1009" s="376"/>
      <c r="K1009" s="376"/>
      <c r="L1009" s="376"/>
      <c r="M1009" s="376"/>
      <c r="N1009" s="376"/>
      <c r="O1009" s="4"/>
    </row>
    <row r="1010" spans="1:15" s="13" customFormat="1" ht="18" customHeight="1" x14ac:dyDescent="0.35">
      <c r="A1010" s="583"/>
      <c r="B1010" s="3"/>
      <c r="C1010" s="7"/>
      <c r="D1010" s="14"/>
      <c r="E1010" s="376"/>
      <c r="F1010" s="376"/>
      <c r="G1010" s="376"/>
      <c r="H1010" s="12"/>
      <c r="J1010" s="376"/>
      <c r="K1010" s="376"/>
      <c r="L1010" s="376"/>
      <c r="M1010" s="376"/>
      <c r="N1010" s="376"/>
      <c r="O1010" s="4"/>
    </row>
    <row r="1011" spans="1:15" s="13" customFormat="1" ht="18" customHeight="1" x14ac:dyDescent="0.35">
      <c r="A1011" s="583"/>
      <c r="B1011" s="3"/>
      <c r="C1011" s="7"/>
      <c r="D1011" s="11"/>
      <c r="E1011" s="376"/>
      <c r="F1011" s="376"/>
      <c r="G1011" s="376"/>
      <c r="H1011" s="12"/>
      <c r="J1011" s="376"/>
      <c r="K1011" s="376"/>
      <c r="L1011" s="376"/>
      <c r="M1011" s="376"/>
      <c r="N1011" s="376"/>
      <c r="O1011" s="4"/>
    </row>
    <row r="1012" spans="1:15" s="13" customFormat="1" ht="18" customHeight="1" x14ac:dyDescent="0.35">
      <c r="A1012" s="583"/>
      <c r="B1012" s="3"/>
      <c r="C1012" s="7"/>
      <c r="D1012" s="11"/>
      <c r="E1012" s="376"/>
      <c r="F1012" s="376"/>
      <c r="G1012" s="376"/>
      <c r="H1012" s="12"/>
      <c r="J1012" s="376"/>
      <c r="K1012" s="376"/>
      <c r="L1012" s="376"/>
      <c r="M1012" s="376"/>
      <c r="N1012" s="376"/>
      <c r="O1012" s="4"/>
    </row>
    <row r="1013" spans="1:15" s="13" customFormat="1" ht="18" customHeight="1" x14ac:dyDescent="0.35">
      <c r="A1013" s="583"/>
      <c r="B1013" s="3"/>
      <c r="C1013" s="7"/>
      <c r="D1013" s="16"/>
      <c r="E1013" s="4"/>
      <c r="F1013" s="4"/>
      <c r="G1013" s="4"/>
      <c r="H1013" s="3"/>
      <c r="J1013" s="376"/>
      <c r="K1013" s="376"/>
      <c r="L1013" s="376"/>
      <c r="M1013" s="376"/>
      <c r="N1013" s="376"/>
      <c r="O1013" s="4"/>
    </row>
    <row r="1014" spans="1:15" s="13" customFormat="1" ht="18" customHeight="1" x14ac:dyDescent="0.35">
      <c r="A1014" s="583"/>
      <c r="B1014" s="3"/>
      <c r="C1014" s="7"/>
      <c r="D1014" s="16"/>
      <c r="E1014" s="4"/>
      <c r="F1014" s="4"/>
      <c r="G1014" s="4"/>
      <c r="H1014" s="3"/>
      <c r="J1014" s="376"/>
      <c r="K1014" s="376"/>
      <c r="L1014" s="376"/>
      <c r="M1014" s="376"/>
      <c r="N1014" s="376"/>
      <c r="O1014" s="4"/>
    </row>
    <row r="1015" spans="1:15" s="13" customFormat="1" ht="18" customHeight="1" x14ac:dyDescent="0.35">
      <c r="A1015" s="583"/>
      <c r="B1015" s="3"/>
      <c r="C1015" s="7"/>
      <c r="D1015" s="16"/>
      <c r="E1015" s="4"/>
      <c r="F1015" s="4"/>
      <c r="G1015" s="4"/>
      <c r="H1015" s="3"/>
      <c r="J1015" s="376"/>
      <c r="K1015" s="376"/>
      <c r="L1015" s="376"/>
      <c r="M1015" s="376"/>
      <c r="N1015" s="376"/>
      <c r="O1015" s="4"/>
    </row>
    <row r="1016" spans="1:15" s="13" customFormat="1" ht="18" customHeight="1" x14ac:dyDescent="0.35">
      <c r="A1016" s="583"/>
      <c r="B1016" s="3"/>
      <c r="C1016" s="7"/>
      <c r="D1016" s="16"/>
      <c r="E1016" s="4"/>
      <c r="F1016" s="4"/>
      <c r="G1016" s="4"/>
      <c r="H1016" s="3"/>
      <c r="J1016" s="376"/>
      <c r="K1016" s="376"/>
      <c r="L1016" s="376"/>
      <c r="M1016" s="376"/>
      <c r="N1016" s="376"/>
      <c r="O1016" s="4"/>
    </row>
    <row r="1017" spans="1:15" s="13" customFormat="1" ht="18" customHeight="1" x14ac:dyDescent="0.35">
      <c r="A1017" s="583"/>
      <c r="B1017" s="3"/>
      <c r="C1017" s="7"/>
      <c r="D1017" s="16"/>
      <c r="E1017" s="4"/>
      <c r="F1017" s="4"/>
      <c r="G1017" s="4"/>
      <c r="H1017" s="3"/>
      <c r="J1017" s="376"/>
      <c r="K1017" s="376"/>
      <c r="L1017" s="376"/>
      <c r="M1017" s="376"/>
      <c r="N1017" s="376"/>
      <c r="O1017" s="4"/>
    </row>
    <row r="1018" spans="1:15" s="13" customFormat="1" ht="18" customHeight="1" x14ac:dyDescent="0.35">
      <c r="A1018" s="583"/>
      <c r="B1018" s="3"/>
      <c r="C1018" s="7"/>
      <c r="D1018" s="16"/>
      <c r="E1018" s="4"/>
      <c r="F1018" s="4"/>
      <c r="G1018" s="4"/>
      <c r="H1018" s="3"/>
      <c r="J1018" s="376"/>
      <c r="K1018" s="376"/>
      <c r="L1018" s="376"/>
      <c r="M1018" s="376"/>
      <c r="N1018" s="376"/>
      <c r="O1018" s="4"/>
    </row>
    <row r="1019" spans="1:15" s="13" customFormat="1" ht="18" customHeight="1" x14ac:dyDescent="0.35">
      <c r="A1019" s="583"/>
      <c r="B1019" s="3"/>
      <c r="C1019" s="7"/>
      <c r="D1019" s="16"/>
      <c r="E1019" s="4"/>
      <c r="F1019" s="4"/>
      <c r="G1019" s="4"/>
      <c r="H1019" s="3"/>
      <c r="J1019" s="376"/>
      <c r="K1019" s="376"/>
      <c r="L1019" s="376"/>
      <c r="M1019" s="376"/>
      <c r="N1019" s="376"/>
      <c r="O1019" s="4"/>
    </row>
    <row r="1020" spans="1:15" ht="18" customHeight="1" x14ac:dyDescent="0.35"/>
    <row r="1021" spans="1:15" ht="18" customHeight="1" x14ac:dyDescent="0.35"/>
    <row r="1022" spans="1:15" ht="18" customHeight="1" x14ac:dyDescent="0.35"/>
    <row r="1023" spans="1:15" ht="18" customHeight="1" x14ac:dyDescent="0.35"/>
    <row r="1024" spans="1:15" ht="18" customHeight="1" x14ac:dyDescent="0.35"/>
    <row r="1025" spans="4:14" ht="18" customHeight="1" x14ac:dyDescent="0.35"/>
    <row r="1026" spans="4:14" ht="18" customHeight="1" x14ac:dyDescent="0.35"/>
    <row r="1027" spans="4:14" ht="18" customHeight="1" x14ac:dyDescent="0.35"/>
    <row r="1028" spans="4:14" ht="18" customHeight="1" x14ac:dyDescent="0.35"/>
    <row r="1029" spans="4:14" ht="18" customHeight="1" x14ac:dyDescent="0.35"/>
    <row r="1030" spans="4:14" ht="18" customHeight="1" x14ac:dyDescent="0.35"/>
    <row r="1031" spans="4:14" ht="18" customHeight="1" x14ac:dyDescent="0.35"/>
    <row r="1032" spans="4:14" ht="18" customHeight="1" x14ac:dyDescent="0.35">
      <c r="D1032" s="11"/>
      <c r="E1032" s="376"/>
      <c r="F1032" s="376"/>
      <c r="G1032" s="376"/>
      <c r="H1032" s="12"/>
    </row>
    <row r="1033" spans="4:14" ht="18" customHeight="1" x14ac:dyDescent="0.35">
      <c r="D1033" s="11"/>
      <c r="E1033" s="376"/>
      <c r="F1033" s="376"/>
      <c r="G1033" s="376"/>
      <c r="H1033" s="12"/>
    </row>
    <row r="1034" spans="4:14" ht="18" customHeight="1" x14ac:dyDescent="0.35">
      <c r="D1034" s="11"/>
      <c r="E1034" s="376"/>
      <c r="F1034" s="376"/>
      <c r="G1034" s="376"/>
      <c r="H1034" s="12"/>
    </row>
    <row r="1035" spans="4:14" ht="18" customHeight="1" x14ac:dyDescent="0.35">
      <c r="D1035" s="17"/>
      <c r="E1035" s="12"/>
      <c r="F1035" s="12"/>
      <c r="G1035" s="12"/>
      <c r="H1035" s="12"/>
      <c r="I1035" s="15"/>
      <c r="J1035" s="12"/>
      <c r="K1035" s="12"/>
      <c r="L1035" s="12"/>
      <c r="M1035" s="12"/>
      <c r="N1035" s="12"/>
    </row>
    <row r="1036" spans="4:14" ht="18" customHeight="1" x14ac:dyDescent="0.35">
      <c r="D1036" s="17"/>
      <c r="E1036" s="12"/>
      <c r="F1036" s="12"/>
      <c r="G1036" s="12"/>
      <c r="H1036" s="12"/>
      <c r="I1036" s="15"/>
      <c r="J1036" s="12"/>
      <c r="K1036" s="12"/>
      <c r="L1036" s="12"/>
      <c r="M1036" s="12"/>
      <c r="N1036" s="12"/>
    </row>
    <row r="1037" spans="4:14" ht="18" customHeight="1" x14ac:dyDescent="0.35">
      <c r="D1037" s="17"/>
      <c r="E1037" s="12"/>
      <c r="F1037" s="12"/>
      <c r="G1037" s="12"/>
      <c r="H1037" s="12"/>
      <c r="I1037" s="15"/>
      <c r="J1037" s="12"/>
      <c r="K1037" s="12"/>
      <c r="L1037" s="12"/>
      <c r="M1037" s="12"/>
      <c r="N1037" s="12"/>
    </row>
    <row r="1038" spans="4:14" ht="18" customHeight="1" x14ac:dyDescent="0.35">
      <c r="D1038" s="17"/>
      <c r="E1038" s="12"/>
      <c r="F1038" s="12"/>
      <c r="G1038" s="12"/>
      <c r="H1038" s="12"/>
      <c r="I1038" s="15"/>
      <c r="J1038" s="12"/>
      <c r="K1038" s="12"/>
      <c r="L1038" s="12"/>
      <c r="M1038" s="12"/>
      <c r="N1038" s="12"/>
    </row>
    <row r="1039" spans="4:14" ht="18" customHeight="1" x14ac:dyDescent="0.35">
      <c r="D1039" s="11"/>
      <c r="E1039" s="376"/>
      <c r="F1039" s="376"/>
      <c r="G1039" s="376"/>
      <c r="H1039" s="12"/>
    </row>
    <row r="1040" spans="4:14" ht="18" customHeight="1" x14ac:dyDescent="0.35">
      <c r="D1040" s="11"/>
      <c r="E1040" s="376"/>
      <c r="F1040" s="376"/>
      <c r="G1040" s="376"/>
      <c r="H1040" s="12"/>
    </row>
    <row r="1041" spans="1:14" ht="18" customHeight="1" x14ac:dyDescent="0.35">
      <c r="D1041" s="11"/>
      <c r="E1041" s="376"/>
      <c r="F1041" s="376"/>
      <c r="G1041" s="376"/>
      <c r="H1041" s="12"/>
    </row>
    <row r="1042" spans="1:14" ht="18" customHeight="1" x14ac:dyDescent="0.35">
      <c r="D1042" s="11"/>
      <c r="E1042" s="376"/>
      <c r="F1042" s="376"/>
      <c r="G1042" s="376"/>
      <c r="H1042" s="12"/>
    </row>
    <row r="1043" spans="1:14" ht="18" customHeight="1" x14ac:dyDescent="0.35">
      <c r="D1043" s="11"/>
      <c r="E1043" s="376"/>
      <c r="F1043" s="376"/>
      <c r="G1043" s="376"/>
      <c r="H1043" s="12"/>
    </row>
    <row r="1044" spans="1:14" ht="18" customHeight="1" x14ac:dyDescent="0.35">
      <c r="D1044" s="14"/>
      <c r="E1044" s="376"/>
      <c r="F1044" s="376"/>
      <c r="G1044" s="376"/>
      <c r="H1044" s="12"/>
    </row>
    <row r="1045" spans="1:14" ht="18" customHeight="1" x14ac:dyDescent="0.35">
      <c r="D1045" s="14"/>
      <c r="E1045" s="376"/>
      <c r="F1045" s="376"/>
      <c r="G1045" s="376"/>
      <c r="H1045" s="12"/>
    </row>
    <row r="1046" spans="1:14" s="5" customFormat="1" ht="18" customHeight="1" x14ac:dyDescent="0.35">
      <c r="A1046" s="583"/>
      <c r="B1046" s="3"/>
      <c r="C1046" s="7"/>
      <c r="D1046" s="18"/>
      <c r="E1046" s="4"/>
      <c r="F1046" s="4"/>
      <c r="G1046" s="4"/>
      <c r="H1046" s="3"/>
      <c r="I1046" s="13"/>
      <c r="J1046" s="376"/>
      <c r="K1046" s="376"/>
      <c r="L1046" s="376"/>
      <c r="M1046" s="376"/>
      <c r="N1046" s="376"/>
    </row>
    <row r="1047" spans="1:14" s="5" customFormat="1" ht="18" customHeight="1" x14ac:dyDescent="0.35">
      <c r="A1047" s="583"/>
      <c r="B1047" s="3"/>
      <c r="C1047" s="7"/>
      <c r="D1047" s="18"/>
      <c r="E1047" s="4"/>
      <c r="F1047" s="4"/>
      <c r="G1047" s="4"/>
      <c r="H1047" s="3"/>
      <c r="I1047" s="13"/>
      <c r="J1047" s="376"/>
      <c r="K1047" s="376"/>
      <c r="L1047" s="376"/>
      <c r="M1047" s="376"/>
      <c r="N1047" s="376"/>
    </row>
    <row r="1048" spans="1:14" s="5" customFormat="1" ht="18" customHeight="1" x14ac:dyDescent="0.35">
      <c r="A1048" s="583"/>
      <c r="B1048" s="3"/>
      <c r="C1048" s="7"/>
      <c r="D1048" s="14"/>
      <c r="E1048" s="376"/>
      <c r="F1048" s="376"/>
      <c r="G1048" s="376"/>
      <c r="H1048" s="12"/>
      <c r="I1048" s="13"/>
      <c r="J1048" s="376"/>
      <c r="K1048" s="376"/>
      <c r="L1048" s="376"/>
      <c r="M1048" s="376"/>
      <c r="N1048" s="376"/>
    </row>
    <row r="1049" spans="1:14" s="5" customFormat="1" ht="18" customHeight="1" x14ac:dyDescent="0.35">
      <c r="A1049" s="583"/>
      <c r="B1049" s="3"/>
      <c r="C1049" s="7"/>
      <c r="D1049" s="14"/>
      <c r="E1049" s="376"/>
      <c r="F1049" s="376"/>
      <c r="G1049" s="376"/>
      <c r="H1049" s="12"/>
      <c r="I1049" s="13"/>
      <c r="J1049" s="376"/>
      <c r="K1049" s="376"/>
      <c r="L1049" s="376"/>
      <c r="M1049" s="376"/>
      <c r="N1049" s="376"/>
    </row>
    <row r="1050" spans="1:14" s="5" customFormat="1" ht="18" customHeight="1" x14ac:dyDescent="0.35">
      <c r="A1050" s="583"/>
      <c r="B1050" s="3"/>
      <c r="C1050" s="7"/>
      <c r="D1050" s="14"/>
      <c r="E1050" s="376"/>
      <c r="F1050" s="376"/>
      <c r="G1050" s="376"/>
      <c r="H1050" s="12"/>
      <c r="I1050" s="13"/>
      <c r="J1050" s="376"/>
      <c r="K1050" s="376"/>
      <c r="L1050" s="376"/>
      <c r="M1050" s="376"/>
      <c r="N1050" s="376"/>
    </row>
    <row r="1051" spans="1:14" s="5" customFormat="1" ht="18" customHeight="1" x14ac:dyDescent="0.35">
      <c r="A1051" s="583"/>
      <c r="B1051" s="3"/>
      <c r="C1051" s="7"/>
      <c r="D1051" s="14"/>
      <c r="E1051" s="376"/>
      <c r="F1051" s="376"/>
      <c r="G1051" s="376"/>
      <c r="H1051" s="12"/>
      <c r="I1051" s="13"/>
      <c r="J1051" s="376"/>
      <c r="K1051" s="376"/>
      <c r="L1051" s="376"/>
      <c r="M1051" s="376"/>
      <c r="N1051" s="376"/>
    </row>
    <row r="1052" spans="1:14" s="5" customFormat="1" ht="18" customHeight="1" x14ac:dyDescent="0.35">
      <c r="A1052" s="583"/>
      <c r="B1052" s="3"/>
      <c r="C1052" s="7"/>
      <c r="D1052" s="14"/>
      <c r="E1052" s="376"/>
      <c r="F1052" s="376"/>
      <c r="G1052" s="376"/>
      <c r="H1052" s="12"/>
      <c r="I1052" s="13"/>
      <c r="J1052" s="376"/>
      <c r="K1052" s="376"/>
      <c r="L1052" s="376"/>
      <c r="M1052" s="376"/>
      <c r="N1052" s="376"/>
    </row>
    <row r="1053" spans="1:14" ht="18" customHeight="1" x14ac:dyDescent="0.35">
      <c r="D1053" s="11"/>
      <c r="E1053" s="376"/>
      <c r="F1053" s="376"/>
      <c r="G1053" s="376"/>
      <c r="H1053" s="12"/>
    </row>
    <row r="1054" spans="1:14" ht="18" customHeight="1" x14ac:dyDescent="0.35">
      <c r="D1054" s="11"/>
      <c r="E1054" s="376"/>
      <c r="F1054" s="376"/>
      <c r="G1054" s="376"/>
      <c r="H1054" s="12"/>
    </row>
    <row r="1055" spans="1:14" ht="18" customHeight="1" x14ac:dyDescent="0.35">
      <c r="D1055" s="11"/>
      <c r="E1055" s="376"/>
      <c r="F1055" s="376"/>
      <c r="G1055" s="376"/>
      <c r="H1055" s="12"/>
    </row>
    <row r="1056" spans="1:14" ht="18" customHeight="1" x14ac:dyDescent="0.35">
      <c r="D1056" s="11"/>
      <c r="E1056" s="376"/>
      <c r="F1056" s="376"/>
      <c r="G1056" s="376"/>
      <c r="H1056" s="12"/>
    </row>
    <row r="1057" spans="1:15" ht="18" customHeight="1" x14ac:dyDescent="0.35">
      <c r="D1057" s="11"/>
      <c r="E1057" s="376"/>
      <c r="F1057" s="376"/>
      <c r="G1057" s="376"/>
      <c r="H1057" s="12"/>
    </row>
    <row r="1058" spans="1:15" ht="18" customHeight="1" x14ac:dyDescent="0.35">
      <c r="D1058" s="11"/>
      <c r="E1058" s="376"/>
      <c r="F1058" s="376"/>
      <c r="G1058" s="376"/>
      <c r="H1058" s="12"/>
    </row>
    <row r="1059" spans="1:15" ht="18" customHeight="1" x14ac:dyDescent="0.35">
      <c r="D1059" s="11"/>
      <c r="E1059" s="376"/>
      <c r="F1059" s="376"/>
      <c r="G1059" s="376"/>
      <c r="H1059" s="12"/>
    </row>
    <row r="1060" spans="1:15" ht="18" customHeight="1" x14ac:dyDescent="0.35">
      <c r="D1060" s="11"/>
      <c r="E1060" s="376"/>
      <c r="F1060" s="376"/>
      <c r="G1060" s="376"/>
      <c r="H1060" s="12"/>
    </row>
    <row r="1061" spans="1:15" ht="18" customHeight="1" x14ac:dyDescent="0.35">
      <c r="D1061" s="11"/>
      <c r="E1061" s="376"/>
      <c r="F1061" s="376"/>
      <c r="G1061" s="376"/>
      <c r="H1061" s="12"/>
    </row>
    <row r="1062" spans="1:15" ht="18" customHeight="1" x14ac:dyDescent="0.35">
      <c r="D1062" s="11"/>
      <c r="E1062" s="376"/>
      <c r="F1062" s="376"/>
      <c r="G1062" s="376"/>
      <c r="H1062" s="12"/>
    </row>
    <row r="1063" spans="1:15" ht="18" customHeight="1" x14ac:dyDescent="0.35">
      <c r="D1063" s="11"/>
      <c r="E1063" s="376"/>
      <c r="F1063" s="376"/>
      <c r="G1063" s="376"/>
      <c r="H1063" s="12"/>
    </row>
    <row r="1064" spans="1:15" ht="18" customHeight="1" x14ac:dyDescent="0.35">
      <c r="D1064" s="11"/>
      <c r="E1064" s="376"/>
      <c r="F1064" s="376"/>
      <c r="G1064" s="376"/>
      <c r="H1064" s="12"/>
    </row>
    <row r="1065" spans="1:15" ht="18" customHeight="1" x14ac:dyDescent="0.35">
      <c r="D1065" s="11"/>
      <c r="E1065" s="376"/>
      <c r="F1065" s="376"/>
      <c r="G1065" s="376"/>
      <c r="H1065" s="12"/>
    </row>
    <row r="1066" spans="1:15" s="5" customFormat="1" ht="18" customHeight="1" x14ac:dyDescent="0.35">
      <c r="A1066" s="583"/>
      <c r="B1066" s="3"/>
      <c r="C1066" s="7"/>
      <c r="D1066" s="14"/>
      <c r="E1066" s="376"/>
      <c r="F1066" s="376"/>
      <c r="G1066" s="376"/>
      <c r="H1066" s="12"/>
      <c r="I1066" s="13"/>
      <c r="J1066" s="376"/>
      <c r="K1066" s="376"/>
      <c r="L1066" s="376"/>
      <c r="M1066" s="376"/>
      <c r="N1066" s="376"/>
    </row>
    <row r="1067" spans="1:15" ht="18" customHeight="1" x14ac:dyDescent="0.35">
      <c r="D1067" s="11"/>
      <c r="E1067" s="376"/>
      <c r="F1067" s="376"/>
      <c r="G1067" s="376"/>
      <c r="H1067" s="12"/>
    </row>
    <row r="1068" spans="1:15" s="13" customFormat="1" ht="18" customHeight="1" x14ac:dyDescent="0.35">
      <c r="A1068" s="583"/>
      <c r="B1068" s="3"/>
      <c r="C1068" s="7"/>
      <c r="D1068" s="11"/>
      <c r="E1068" s="376"/>
      <c r="F1068" s="376"/>
      <c r="G1068" s="376"/>
      <c r="H1068" s="12"/>
      <c r="J1068" s="376"/>
      <c r="K1068" s="376"/>
      <c r="L1068" s="376"/>
      <c r="M1068" s="376"/>
      <c r="N1068" s="376"/>
      <c r="O1068" s="4"/>
    </row>
    <row r="1069" spans="1:15" s="13" customFormat="1" ht="18" customHeight="1" x14ac:dyDescent="0.35">
      <c r="A1069" s="583"/>
      <c r="B1069" s="3"/>
      <c r="C1069" s="7"/>
      <c r="D1069" s="11"/>
      <c r="E1069" s="376"/>
      <c r="F1069" s="376"/>
      <c r="G1069" s="376"/>
      <c r="H1069" s="12"/>
      <c r="J1069" s="376"/>
      <c r="K1069" s="376"/>
      <c r="L1069" s="376"/>
      <c r="M1069" s="376"/>
      <c r="N1069" s="376"/>
      <c r="O1069" s="4"/>
    </row>
    <row r="1070" spans="1:15" s="13" customFormat="1" x14ac:dyDescent="0.35">
      <c r="A1070" s="583"/>
      <c r="B1070" s="3"/>
      <c r="C1070" s="7"/>
      <c r="D1070" s="11"/>
      <c r="E1070" s="376"/>
      <c r="F1070" s="376"/>
      <c r="G1070" s="376"/>
      <c r="H1070" s="12"/>
      <c r="J1070" s="376"/>
      <c r="K1070" s="376"/>
      <c r="L1070" s="376"/>
      <c r="M1070" s="376"/>
      <c r="N1070" s="376"/>
      <c r="O1070" s="4"/>
    </row>
    <row r="1071" spans="1:15" s="13" customFormat="1" x14ac:dyDescent="0.35">
      <c r="A1071" s="583"/>
      <c r="B1071" s="3"/>
      <c r="C1071" s="7"/>
      <c r="D1071" s="11"/>
      <c r="E1071" s="376"/>
      <c r="F1071" s="376"/>
      <c r="G1071" s="376"/>
      <c r="H1071" s="12"/>
      <c r="J1071" s="376"/>
      <c r="K1071" s="376"/>
      <c r="L1071" s="376"/>
      <c r="M1071" s="376"/>
      <c r="N1071" s="376"/>
      <c r="O1071" s="4"/>
    </row>
    <row r="1072" spans="1:15" s="13" customFormat="1" x14ac:dyDescent="0.35">
      <c r="A1072" s="583"/>
      <c r="B1072" s="3"/>
      <c r="C1072" s="7"/>
      <c r="D1072" s="11"/>
      <c r="E1072" s="376"/>
      <c r="F1072" s="376"/>
      <c r="G1072" s="376"/>
      <c r="H1072" s="12"/>
      <c r="J1072" s="376"/>
      <c r="K1072" s="376"/>
      <c r="L1072" s="376"/>
      <c r="M1072" s="376"/>
      <c r="N1072" s="376"/>
      <c r="O1072" s="4"/>
    </row>
    <row r="1073" spans="1:15" s="13" customFormat="1" x14ac:dyDescent="0.35">
      <c r="A1073" s="583"/>
      <c r="B1073" s="3"/>
      <c r="C1073" s="7"/>
      <c r="D1073" s="11"/>
      <c r="E1073" s="376"/>
      <c r="F1073" s="376"/>
      <c r="G1073" s="376"/>
      <c r="H1073" s="12"/>
      <c r="J1073" s="376"/>
      <c r="K1073" s="376"/>
      <c r="L1073" s="376"/>
      <c r="M1073" s="376"/>
      <c r="N1073" s="376"/>
      <c r="O1073" s="4"/>
    </row>
    <row r="1074" spans="1:15" s="13" customFormat="1" x14ac:dyDescent="0.35">
      <c r="A1074" s="583"/>
      <c r="B1074" s="3"/>
      <c r="C1074" s="7"/>
      <c r="D1074" s="11"/>
      <c r="E1074" s="376"/>
      <c r="F1074" s="376"/>
      <c r="G1074" s="376"/>
      <c r="H1074" s="12"/>
      <c r="J1074" s="376"/>
      <c r="K1074" s="376"/>
      <c r="L1074" s="376"/>
      <c r="M1074" s="376"/>
      <c r="N1074" s="376"/>
      <c r="O1074" s="4"/>
    </row>
    <row r="1075" spans="1:15" s="13" customFormat="1" x14ac:dyDescent="0.35">
      <c r="A1075" s="583"/>
      <c r="B1075" s="3"/>
      <c r="C1075" s="7"/>
      <c r="D1075" s="11"/>
      <c r="E1075" s="376"/>
      <c r="F1075" s="376"/>
      <c r="G1075" s="376"/>
      <c r="H1075" s="12"/>
      <c r="J1075" s="376"/>
      <c r="K1075" s="376"/>
      <c r="L1075" s="376"/>
      <c r="M1075" s="376"/>
      <c r="N1075" s="376"/>
      <c r="O1075" s="4"/>
    </row>
    <row r="1076" spans="1:15" s="13" customFormat="1" x14ac:dyDescent="0.35">
      <c r="A1076" s="583"/>
      <c r="B1076" s="3"/>
      <c r="C1076" s="7"/>
      <c r="D1076" s="11"/>
      <c r="E1076" s="376"/>
      <c r="F1076" s="376"/>
      <c r="G1076" s="376"/>
      <c r="H1076" s="12"/>
      <c r="J1076" s="376"/>
      <c r="K1076" s="376"/>
      <c r="L1076" s="376"/>
      <c r="M1076" s="376"/>
      <c r="N1076" s="376"/>
      <c r="O1076" s="4"/>
    </row>
    <row r="1077" spans="1:15" s="13" customFormat="1" x14ac:dyDescent="0.35">
      <c r="A1077" s="583"/>
      <c r="B1077" s="3"/>
      <c r="C1077" s="7"/>
      <c r="D1077" s="11"/>
      <c r="E1077" s="376"/>
      <c r="F1077" s="376"/>
      <c r="G1077" s="376"/>
      <c r="H1077" s="12"/>
      <c r="J1077" s="376"/>
      <c r="K1077" s="376"/>
      <c r="L1077" s="376"/>
      <c r="M1077" s="376"/>
      <c r="N1077" s="376"/>
      <c r="O1077" s="4"/>
    </row>
    <row r="1078" spans="1:15" s="13" customFormat="1" x14ac:dyDescent="0.35">
      <c r="A1078" s="583"/>
      <c r="B1078" s="3"/>
      <c r="C1078" s="7"/>
      <c r="D1078" s="11"/>
      <c r="E1078" s="376"/>
      <c r="F1078" s="376"/>
      <c r="G1078" s="376"/>
      <c r="H1078" s="12"/>
      <c r="J1078" s="376"/>
      <c r="K1078" s="376"/>
      <c r="L1078" s="376"/>
      <c r="M1078" s="376"/>
      <c r="N1078" s="376"/>
      <c r="O1078" s="4"/>
    </row>
    <row r="1079" spans="1:15" s="13" customFormat="1" x14ac:dyDescent="0.35">
      <c r="A1079" s="583"/>
      <c r="B1079" s="3"/>
      <c r="C1079" s="7"/>
      <c r="D1079" s="11"/>
      <c r="E1079" s="376"/>
      <c r="F1079" s="376"/>
      <c r="G1079" s="376"/>
      <c r="H1079" s="12"/>
      <c r="J1079" s="376"/>
      <c r="K1079" s="376"/>
      <c r="L1079" s="376"/>
      <c r="M1079" s="376"/>
      <c r="N1079" s="376"/>
      <c r="O1079" s="4"/>
    </row>
    <row r="1080" spans="1:15" s="13" customFormat="1" x14ac:dyDescent="0.35">
      <c r="A1080" s="583"/>
      <c r="B1080" s="3"/>
      <c r="C1080" s="7"/>
      <c r="D1080" s="11"/>
      <c r="E1080" s="376"/>
      <c r="F1080" s="376"/>
      <c r="G1080" s="376"/>
      <c r="H1080" s="12"/>
      <c r="J1080" s="376"/>
      <c r="K1080" s="376"/>
      <c r="L1080" s="376"/>
      <c r="M1080" s="376"/>
      <c r="N1080" s="376"/>
      <c r="O1080" s="4"/>
    </row>
    <row r="1081" spans="1:15" s="13" customFormat="1" x14ac:dyDescent="0.35">
      <c r="A1081" s="583"/>
      <c r="B1081" s="3"/>
      <c r="C1081" s="7"/>
      <c r="D1081" s="11"/>
      <c r="E1081" s="376"/>
      <c r="F1081" s="376"/>
      <c r="G1081" s="376"/>
      <c r="H1081" s="12"/>
      <c r="J1081" s="376"/>
      <c r="K1081" s="376"/>
      <c r="L1081" s="376"/>
      <c r="M1081" s="376"/>
      <c r="N1081" s="376"/>
      <c r="O1081" s="4"/>
    </row>
    <row r="1082" spans="1:15" s="13" customFormat="1" x14ac:dyDescent="0.35">
      <c r="A1082" s="583"/>
      <c r="B1082" s="3"/>
      <c r="C1082" s="7"/>
      <c r="D1082" s="11"/>
      <c r="E1082" s="376"/>
      <c r="F1082" s="376"/>
      <c r="G1082" s="376"/>
      <c r="H1082" s="12"/>
      <c r="J1082" s="376"/>
      <c r="K1082" s="376"/>
      <c r="L1082" s="376"/>
      <c r="M1082" s="376"/>
      <c r="N1082" s="376"/>
      <c r="O1082" s="4"/>
    </row>
    <row r="1083" spans="1:15" s="13" customFormat="1" x14ac:dyDescent="0.35">
      <c r="A1083" s="583"/>
      <c r="B1083" s="3"/>
      <c r="C1083" s="7"/>
      <c r="D1083" s="11"/>
      <c r="E1083" s="376"/>
      <c r="F1083" s="376"/>
      <c r="G1083" s="376"/>
      <c r="H1083" s="12"/>
      <c r="J1083" s="376"/>
      <c r="K1083" s="376"/>
      <c r="L1083" s="376"/>
      <c r="M1083" s="376"/>
      <c r="N1083" s="376"/>
      <c r="O1083" s="4"/>
    </row>
    <row r="1084" spans="1:15" s="13" customFormat="1" x14ac:dyDescent="0.35">
      <c r="A1084" s="583"/>
      <c r="B1084" s="3"/>
      <c r="C1084" s="7"/>
      <c r="D1084" s="11"/>
      <c r="E1084" s="376"/>
      <c r="F1084" s="376"/>
      <c r="G1084" s="376"/>
      <c r="H1084" s="12"/>
      <c r="J1084" s="376"/>
      <c r="K1084" s="376"/>
      <c r="L1084" s="376"/>
      <c r="M1084" s="376"/>
      <c r="N1084" s="376"/>
      <c r="O1084" s="4"/>
    </row>
    <row r="1085" spans="1:15" s="13" customFormat="1" x14ac:dyDescent="0.35">
      <c r="A1085" s="583"/>
      <c r="B1085" s="3"/>
      <c r="C1085" s="7"/>
      <c r="D1085" s="11"/>
      <c r="E1085" s="376"/>
      <c r="F1085" s="376"/>
      <c r="G1085" s="376"/>
      <c r="H1085" s="12"/>
      <c r="J1085" s="376"/>
      <c r="K1085" s="376"/>
      <c r="L1085" s="376"/>
      <c r="M1085" s="376"/>
      <c r="N1085" s="376"/>
      <c r="O1085" s="4"/>
    </row>
    <row r="1086" spans="1:15" s="13" customFormat="1" x14ac:dyDescent="0.35">
      <c r="A1086" s="583"/>
      <c r="B1086" s="3"/>
      <c r="C1086" s="7"/>
      <c r="D1086" s="11"/>
      <c r="E1086" s="376"/>
      <c r="F1086" s="376"/>
      <c r="G1086" s="376"/>
      <c r="H1086" s="12"/>
      <c r="J1086" s="376"/>
      <c r="K1086" s="376"/>
      <c r="L1086" s="376"/>
      <c r="M1086" s="376"/>
      <c r="N1086" s="376"/>
      <c r="O1086" s="4"/>
    </row>
    <row r="1087" spans="1:15" s="13" customFormat="1" x14ac:dyDescent="0.35">
      <c r="A1087" s="583"/>
      <c r="B1087" s="3"/>
      <c r="C1087" s="7"/>
      <c r="D1087" s="11"/>
      <c r="E1087" s="376"/>
      <c r="F1087" s="376"/>
      <c r="G1087" s="376"/>
      <c r="H1087" s="12"/>
      <c r="J1087" s="376"/>
      <c r="K1087" s="376"/>
      <c r="L1087" s="376"/>
      <c r="M1087" s="376"/>
      <c r="N1087" s="376"/>
      <c r="O1087" s="4"/>
    </row>
    <row r="1088" spans="1:15" s="13" customFormat="1" x14ac:dyDescent="0.35">
      <c r="A1088" s="583"/>
      <c r="B1088" s="3"/>
      <c r="C1088" s="7"/>
      <c r="D1088" s="11"/>
      <c r="E1088" s="376"/>
      <c r="F1088" s="376"/>
      <c r="G1088" s="376"/>
      <c r="H1088" s="12"/>
      <c r="J1088" s="376"/>
      <c r="K1088" s="376"/>
      <c r="L1088" s="376"/>
      <c r="M1088" s="376"/>
      <c r="N1088" s="376"/>
      <c r="O1088" s="4"/>
    </row>
    <row r="1089" spans="1:15" s="13" customFormat="1" x14ac:dyDescent="0.35">
      <c r="A1089" s="583"/>
      <c r="B1089" s="3"/>
      <c r="C1089" s="7"/>
      <c r="D1089" s="11"/>
      <c r="E1089" s="376"/>
      <c r="F1089" s="376"/>
      <c r="G1089" s="376"/>
      <c r="H1089" s="12"/>
      <c r="J1089" s="376"/>
      <c r="K1089" s="376"/>
      <c r="L1089" s="376"/>
      <c r="M1089" s="376"/>
      <c r="N1089" s="376"/>
      <c r="O1089" s="4"/>
    </row>
    <row r="1090" spans="1:15" s="13" customFormat="1" x14ac:dyDescent="0.35">
      <c r="A1090" s="583"/>
      <c r="B1090" s="3"/>
      <c r="C1090" s="7"/>
      <c r="D1090" s="11"/>
      <c r="E1090" s="376"/>
      <c r="F1090" s="376"/>
      <c r="G1090" s="376"/>
      <c r="H1090" s="12"/>
      <c r="J1090" s="376"/>
      <c r="K1090" s="376"/>
      <c r="L1090" s="376"/>
      <c r="M1090" s="376"/>
      <c r="N1090" s="376"/>
      <c r="O1090" s="4"/>
    </row>
    <row r="1091" spans="1:15" s="13" customFormat="1" x14ac:dyDescent="0.35">
      <c r="A1091" s="583"/>
      <c r="B1091" s="3"/>
      <c r="C1091" s="7"/>
      <c r="D1091" s="11"/>
      <c r="E1091" s="376"/>
      <c r="F1091" s="376"/>
      <c r="G1091" s="376"/>
      <c r="H1091" s="12"/>
      <c r="J1091" s="376"/>
      <c r="K1091" s="376"/>
      <c r="L1091" s="376"/>
      <c r="M1091" s="376"/>
      <c r="N1091" s="376"/>
      <c r="O1091" s="4"/>
    </row>
    <row r="1092" spans="1:15" s="13" customFormat="1" x14ac:dyDescent="0.35">
      <c r="A1092" s="583"/>
      <c r="B1092" s="3"/>
      <c r="C1092" s="7"/>
      <c r="D1092" s="11"/>
      <c r="E1092" s="376"/>
      <c r="F1092" s="376"/>
      <c r="G1092" s="376"/>
      <c r="H1092" s="12"/>
      <c r="J1092" s="376"/>
      <c r="K1092" s="376"/>
      <c r="L1092" s="376"/>
      <c r="M1092" s="376"/>
      <c r="N1092" s="376"/>
      <c r="O1092" s="4"/>
    </row>
    <row r="1093" spans="1:15" s="13" customFormat="1" x14ac:dyDescent="0.35">
      <c r="A1093" s="583"/>
      <c r="B1093" s="3"/>
      <c r="C1093" s="7"/>
      <c r="D1093" s="11"/>
      <c r="E1093" s="376"/>
      <c r="F1093" s="376"/>
      <c r="G1093" s="376"/>
      <c r="H1093" s="12"/>
      <c r="J1093" s="376"/>
      <c r="K1093" s="376"/>
      <c r="L1093" s="376"/>
      <c r="M1093" s="376"/>
      <c r="N1093" s="376"/>
      <c r="O1093" s="4"/>
    </row>
    <row r="1094" spans="1:15" s="13" customFormat="1" x14ac:dyDescent="0.35">
      <c r="A1094" s="583"/>
      <c r="B1094" s="3"/>
      <c r="C1094" s="7"/>
      <c r="D1094" s="11"/>
      <c r="E1094" s="376"/>
      <c r="F1094" s="376"/>
      <c r="G1094" s="376"/>
      <c r="H1094" s="12"/>
      <c r="J1094" s="376"/>
      <c r="K1094" s="376"/>
      <c r="L1094" s="376"/>
      <c r="M1094" s="376"/>
      <c r="N1094" s="376"/>
      <c r="O1094" s="4"/>
    </row>
    <row r="1095" spans="1:15" s="13" customFormat="1" x14ac:dyDescent="0.35">
      <c r="A1095" s="583"/>
      <c r="B1095" s="3"/>
      <c r="C1095" s="7"/>
      <c r="D1095" s="11"/>
      <c r="E1095" s="376"/>
      <c r="F1095" s="376"/>
      <c r="G1095" s="376"/>
      <c r="H1095" s="12"/>
      <c r="J1095" s="376"/>
      <c r="K1095" s="376"/>
      <c r="L1095" s="376"/>
      <c r="M1095" s="376"/>
      <c r="N1095" s="376"/>
      <c r="O1095" s="4"/>
    </row>
    <row r="1096" spans="1:15" s="13" customFormat="1" x14ac:dyDescent="0.35">
      <c r="A1096" s="583"/>
      <c r="B1096" s="3"/>
      <c r="C1096" s="7"/>
      <c r="D1096" s="11"/>
      <c r="E1096" s="376"/>
      <c r="F1096" s="376"/>
      <c r="G1096" s="376"/>
      <c r="H1096" s="12"/>
      <c r="J1096" s="376"/>
      <c r="K1096" s="376"/>
      <c r="L1096" s="376"/>
      <c r="M1096" s="376"/>
      <c r="N1096" s="376"/>
      <c r="O1096" s="4"/>
    </row>
    <row r="1097" spans="1:15" s="13" customFormat="1" x14ac:dyDescent="0.35">
      <c r="A1097" s="583"/>
      <c r="B1097" s="3"/>
      <c r="C1097" s="7"/>
      <c r="D1097" s="11"/>
      <c r="E1097" s="376"/>
      <c r="F1097" s="376"/>
      <c r="G1097" s="376"/>
      <c r="H1097" s="12"/>
      <c r="J1097" s="376"/>
      <c r="K1097" s="376"/>
      <c r="L1097" s="376"/>
      <c r="M1097" s="376"/>
      <c r="N1097" s="376"/>
      <c r="O1097" s="4"/>
    </row>
    <row r="1098" spans="1:15" s="13" customFormat="1" x14ac:dyDescent="0.35">
      <c r="A1098" s="583"/>
      <c r="B1098" s="3"/>
      <c r="C1098" s="7"/>
      <c r="D1098" s="11"/>
      <c r="E1098" s="376"/>
      <c r="F1098" s="376"/>
      <c r="G1098" s="376"/>
      <c r="H1098" s="12"/>
      <c r="J1098" s="376"/>
      <c r="K1098" s="376"/>
      <c r="L1098" s="376"/>
      <c r="M1098" s="376"/>
      <c r="N1098" s="376"/>
      <c r="O1098" s="4"/>
    </row>
    <row r="1099" spans="1:15" s="13" customFormat="1" x14ac:dyDescent="0.35">
      <c r="A1099" s="583"/>
      <c r="B1099" s="3"/>
      <c r="C1099" s="7"/>
      <c r="D1099" s="11"/>
      <c r="E1099" s="376"/>
      <c r="F1099" s="376"/>
      <c r="G1099" s="376"/>
      <c r="H1099" s="12"/>
      <c r="J1099" s="376"/>
      <c r="K1099" s="376"/>
      <c r="L1099" s="376"/>
      <c r="M1099" s="376"/>
      <c r="N1099" s="376"/>
      <c r="O1099" s="4"/>
    </row>
    <row r="1100" spans="1:15" s="13" customFormat="1" x14ac:dyDescent="0.35">
      <c r="A1100" s="583"/>
      <c r="B1100" s="3"/>
      <c r="C1100" s="7"/>
      <c r="D1100" s="11"/>
      <c r="E1100" s="376"/>
      <c r="F1100" s="376"/>
      <c r="G1100" s="376"/>
      <c r="H1100" s="12"/>
      <c r="J1100" s="376"/>
      <c r="K1100" s="376"/>
      <c r="L1100" s="376"/>
      <c r="M1100" s="376"/>
      <c r="N1100" s="376"/>
      <c r="O1100" s="4"/>
    </row>
    <row r="1101" spans="1:15" s="13" customFormat="1" x14ac:dyDescent="0.35">
      <c r="A1101" s="583"/>
      <c r="B1101" s="3"/>
      <c r="C1101" s="7"/>
      <c r="D1101" s="11"/>
      <c r="E1101" s="376"/>
      <c r="F1101" s="376"/>
      <c r="G1101" s="376"/>
      <c r="H1101" s="12"/>
      <c r="J1101" s="376"/>
      <c r="K1101" s="376"/>
      <c r="L1101" s="376"/>
      <c r="M1101" s="376"/>
      <c r="N1101" s="376"/>
      <c r="O1101" s="4"/>
    </row>
    <row r="1102" spans="1:15" s="13" customFormat="1" x14ac:dyDescent="0.35">
      <c r="A1102" s="583"/>
      <c r="B1102" s="3"/>
      <c r="C1102" s="7"/>
      <c r="D1102" s="11"/>
      <c r="E1102" s="376"/>
      <c r="F1102" s="376"/>
      <c r="G1102" s="376"/>
      <c r="H1102" s="12"/>
      <c r="J1102" s="376"/>
      <c r="K1102" s="376"/>
      <c r="L1102" s="376"/>
      <c r="M1102" s="376"/>
      <c r="N1102" s="376"/>
      <c r="O1102" s="4"/>
    </row>
    <row r="1103" spans="1:15" s="13" customFormat="1" x14ac:dyDescent="0.35">
      <c r="A1103" s="583"/>
      <c r="B1103" s="3"/>
      <c r="C1103" s="7"/>
      <c r="D1103" s="11"/>
      <c r="E1103" s="376"/>
      <c r="F1103" s="376"/>
      <c r="G1103" s="376"/>
      <c r="H1103" s="12"/>
      <c r="J1103" s="376"/>
      <c r="K1103" s="376"/>
      <c r="L1103" s="376"/>
      <c r="M1103" s="376"/>
      <c r="N1103" s="376"/>
      <c r="O1103" s="4"/>
    </row>
    <row r="1104" spans="1:15" s="13" customFormat="1" x14ac:dyDescent="0.35">
      <c r="A1104" s="583"/>
      <c r="B1104" s="3"/>
      <c r="C1104" s="7"/>
      <c r="D1104" s="11"/>
      <c r="E1104" s="376"/>
      <c r="F1104" s="376"/>
      <c r="G1104" s="376"/>
      <c r="H1104" s="12"/>
      <c r="J1104" s="376"/>
      <c r="K1104" s="376"/>
      <c r="L1104" s="376"/>
      <c r="M1104" s="376"/>
      <c r="N1104" s="376"/>
      <c r="O1104" s="4"/>
    </row>
    <row r="1105" spans="1:15" s="13" customFormat="1" x14ac:dyDescent="0.35">
      <c r="A1105" s="583"/>
      <c r="B1105" s="3"/>
      <c r="C1105" s="7"/>
      <c r="D1105" s="11"/>
      <c r="E1105" s="376"/>
      <c r="F1105" s="376"/>
      <c r="G1105" s="376"/>
      <c r="H1105" s="12"/>
      <c r="J1105" s="376"/>
      <c r="K1105" s="376"/>
      <c r="L1105" s="376"/>
      <c r="M1105" s="376"/>
      <c r="N1105" s="376"/>
      <c r="O1105" s="4"/>
    </row>
    <row r="1106" spans="1:15" s="13" customFormat="1" x14ac:dyDescent="0.35">
      <c r="A1106" s="583"/>
      <c r="B1106" s="3"/>
      <c r="C1106" s="7"/>
      <c r="D1106" s="11"/>
      <c r="E1106" s="376"/>
      <c r="F1106" s="376"/>
      <c r="G1106" s="376"/>
      <c r="H1106" s="12"/>
      <c r="J1106" s="376"/>
      <c r="K1106" s="376"/>
      <c r="L1106" s="376"/>
      <c r="M1106" s="376"/>
      <c r="N1106" s="376"/>
      <c r="O1106" s="4"/>
    </row>
    <row r="1107" spans="1:15" s="13" customFormat="1" x14ac:dyDescent="0.35">
      <c r="A1107" s="583"/>
      <c r="B1107" s="3"/>
      <c r="C1107" s="7"/>
      <c r="D1107" s="11"/>
      <c r="E1107" s="376"/>
      <c r="F1107" s="376"/>
      <c r="G1107" s="376"/>
      <c r="H1107" s="12"/>
      <c r="J1107" s="376"/>
      <c r="K1107" s="376"/>
      <c r="L1107" s="376"/>
      <c r="M1107" s="376"/>
      <c r="N1107" s="376"/>
      <c r="O1107" s="4"/>
    </row>
    <row r="1108" spans="1:15" s="13" customFormat="1" x14ac:dyDescent="0.35">
      <c r="A1108" s="583"/>
      <c r="B1108" s="3"/>
      <c r="C1108" s="7"/>
      <c r="D1108" s="11"/>
      <c r="E1108" s="376"/>
      <c r="F1108" s="376"/>
      <c r="G1108" s="376"/>
      <c r="H1108" s="12"/>
      <c r="J1108" s="376"/>
      <c r="K1108" s="376"/>
      <c r="L1108" s="376"/>
      <c r="M1108" s="376"/>
      <c r="N1108" s="376"/>
      <c r="O1108" s="4"/>
    </row>
    <row r="1109" spans="1:15" s="13" customFormat="1" x14ac:dyDescent="0.35">
      <c r="A1109" s="583"/>
      <c r="B1109" s="3"/>
      <c r="C1109" s="7"/>
      <c r="D1109" s="11"/>
      <c r="E1109" s="376"/>
      <c r="F1109" s="376"/>
      <c r="G1109" s="376"/>
      <c r="H1109" s="12"/>
      <c r="J1109" s="376"/>
      <c r="K1109" s="376"/>
      <c r="L1109" s="376"/>
      <c r="M1109" s="376"/>
      <c r="N1109" s="376"/>
      <c r="O1109" s="4"/>
    </row>
    <row r="1110" spans="1:15" s="13" customFormat="1" x14ac:dyDescent="0.35">
      <c r="A1110" s="583"/>
      <c r="B1110" s="3"/>
      <c r="C1110" s="7"/>
      <c r="D1110" s="11"/>
      <c r="E1110" s="376"/>
      <c r="F1110" s="376"/>
      <c r="G1110" s="376"/>
      <c r="H1110" s="12"/>
      <c r="J1110" s="376"/>
      <c r="K1110" s="376"/>
      <c r="L1110" s="376"/>
      <c r="M1110" s="376"/>
      <c r="N1110" s="376"/>
      <c r="O1110" s="4"/>
    </row>
    <row r="1111" spans="1:15" s="13" customFormat="1" x14ac:dyDescent="0.35">
      <c r="A1111" s="583"/>
      <c r="B1111" s="3"/>
      <c r="C1111" s="7"/>
      <c r="D1111" s="16"/>
      <c r="E1111" s="4"/>
      <c r="F1111" s="4"/>
      <c r="G1111" s="4"/>
      <c r="H1111" s="3"/>
      <c r="J1111" s="376"/>
      <c r="K1111" s="376"/>
      <c r="L1111" s="376"/>
      <c r="M1111" s="376"/>
      <c r="N1111" s="376"/>
      <c r="O1111" s="4"/>
    </row>
    <row r="1112" spans="1:15" s="13" customFormat="1" x14ac:dyDescent="0.35">
      <c r="A1112" s="583"/>
      <c r="B1112" s="3"/>
      <c r="C1112" s="7"/>
      <c r="D1112" s="16"/>
      <c r="E1112" s="4"/>
      <c r="F1112" s="4"/>
      <c r="G1112" s="4"/>
      <c r="H1112" s="3"/>
      <c r="J1112" s="376"/>
      <c r="K1112" s="376"/>
      <c r="L1112" s="376"/>
      <c r="M1112" s="376"/>
      <c r="N1112" s="376"/>
      <c r="O1112" s="4"/>
    </row>
    <row r="1113" spans="1:15" s="13" customFormat="1" x14ac:dyDescent="0.35">
      <c r="A1113" s="583"/>
      <c r="B1113" s="3"/>
      <c r="C1113" s="7"/>
      <c r="D1113" s="16"/>
      <c r="E1113" s="4"/>
      <c r="F1113" s="4"/>
      <c r="G1113" s="4"/>
      <c r="H1113" s="3"/>
      <c r="J1113" s="376"/>
      <c r="K1113" s="376"/>
      <c r="L1113" s="376"/>
      <c r="M1113" s="376"/>
      <c r="N1113" s="376"/>
      <c r="O1113" s="4"/>
    </row>
    <row r="1114" spans="1:15" s="13" customFormat="1" x14ac:dyDescent="0.35">
      <c r="A1114" s="583"/>
      <c r="B1114" s="3"/>
      <c r="C1114" s="7"/>
      <c r="D1114" s="16"/>
      <c r="E1114" s="4"/>
      <c r="F1114" s="4"/>
      <c r="G1114" s="4"/>
      <c r="H1114" s="3"/>
      <c r="J1114" s="376"/>
      <c r="K1114" s="376"/>
      <c r="L1114" s="376"/>
      <c r="M1114" s="376"/>
      <c r="N1114" s="376"/>
      <c r="O1114" s="4"/>
    </row>
    <row r="1115" spans="1:15" s="13" customFormat="1" x14ac:dyDescent="0.35">
      <c r="A1115" s="583"/>
      <c r="B1115" s="3"/>
      <c r="C1115" s="7"/>
      <c r="D1115" s="16"/>
      <c r="E1115" s="4"/>
      <c r="F1115" s="4"/>
      <c r="G1115" s="4"/>
      <c r="H1115" s="3"/>
      <c r="J1115" s="376"/>
      <c r="K1115" s="376"/>
      <c r="L1115" s="376"/>
      <c r="M1115" s="376"/>
      <c r="N1115" s="376"/>
      <c r="O1115" s="4"/>
    </row>
    <row r="1116" spans="1:15" s="13" customFormat="1" x14ac:dyDescent="0.35">
      <c r="A1116" s="583"/>
      <c r="B1116" s="3"/>
      <c r="C1116" s="7"/>
      <c r="D1116" s="16"/>
      <c r="E1116" s="4"/>
      <c r="F1116" s="4"/>
      <c r="G1116" s="4"/>
      <c r="H1116" s="3"/>
      <c r="J1116" s="376"/>
      <c r="K1116" s="376"/>
      <c r="L1116" s="376"/>
      <c r="M1116" s="376"/>
      <c r="N1116" s="376"/>
      <c r="O1116" s="4"/>
    </row>
    <row r="1117" spans="1:15" s="13" customFormat="1" x14ac:dyDescent="0.35">
      <c r="A1117" s="583"/>
      <c r="B1117" s="3"/>
      <c r="C1117" s="7"/>
      <c r="D1117" s="16"/>
      <c r="E1117" s="4"/>
      <c r="F1117" s="4"/>
      <c r="G1117" s="4"/>
      <c r="H1117" s="3"/>
      <c r="J1117" s="376"/>
      <c r="K1117" s="376"/>
      <c r="L1117" s="376"/>
      <c r="M1117" s="376"/>
      <c r="N1117" s="376"/>
      <c r="O1117" s="4"/>
    </row>
    <row r="1118" spans="1:15" s="13" customFormat="1" x14ac:dyDescent="0.35">
      <c r="A1118" s="583"/>
      <c r="B1118" s="3"/>
      <c r="C1118" s="7"/>
      <c r="D1118" s="16"/>
      <c r="E1118" s="4"/>
      <c r="F1118" s="4"/>
      <c r="G1118" s="4"/>
      <c r="H1118" s="3"/>
      <c r="J1118" s="376"/>
      <c r="K1118" s="376"/>
      <c r="L1118" s="376"/>
      <c r="M1118" s="376"/>
      <c r="N1118" s="376"/>
      <c r="O1118" s="4"/>
    </row>
    <row r="1119" spans="1:15" s="13" customFormat="1" x14ac:dyDescent="0.35">
      <c r="A1119" s="583"/>
      <c r="B1119" s="3"/>
      <c r="C1119" s="7"/>
      <c r="D1119" s="16"/>
      <c r="E1119" s="4"/>
      <c r="F1119" s="4"/>
      <c r="G1119" s="4"/>
      <c r="H1119" s="3"/>
      <c r="J1119" s="376"/>
      <c r="K1119" s="376"/>
      <c r="L1119" s="376"/>
      <c r="M1119" s="376"/>
      <c r="N1119" s="376"/>
      <c r="O1119" s="4"/>
    </row>
    <row r="1120" spans="1:15" s="13" customFormat="1" x14ac:dyDescent="0.35">
      <c r="A1120" s="583"/>
      <c r="B1120" s="3"/>
      <c r="C1120" s="7"/>
      <c r="D1120" s="16"/>
      <c r="E1120" s="4"/>
      <c r="F1120" s="4"/>
      <c r="G1120" s="4"/>
      <c r="H1120" s="3"/>
      <c r="J1120" s="376"/>
      <c r="K1120" s="376"/>
      <c r="L1120" s="376"/>
      <c r="M1120" s="376"/>
      <c r="N1120" s="376"/>
      <c r="O1120" s="4"/>
    </row>
  </sheetData>
  <mergeCells count="28">
    <mergeCell ref="B1000:D1000"/>
    <mergeCell ref="I8:I9"/>
    <mergeCell ref="J8:N8"/>
    <mergeCell ref="E8:E9"/>
    <mergeCell ref="B8:B9"/>
    <mergeCell ref="C8:C9"/>
    <mergeCell ref="G8:G9"/>
    <mergeCell ref="D8:D9"/>
    <mergeCell ref="F8:F9"/>
    <mergeCell ref="H8:H9"/>
    <mergeCell ref="D988:G988"/>
    <mergeCell ref="D989:G989"/>
    <mergeCell ref="D993:G993"/>
    <mergeCell ref="D997:G997"/>
    <mergeCell ref="D996:G996"/>
    <mergeCell ref="D987:G987"/>
    <mergeCell ref="D994:G994"/>
    <mergeCell ref="D991:G991"/>
    <mergeCell ref="D992:G992"/>
    <mergeCell ref="B998:D998"/>
    <mergeCell ref="B1:N1"/>
    <mergeCell ref="B2:N2"/>
    <mergeCell ref="B983:G983"/>
    <mergeCell ref="D984:G984"/>
    <mergeCell ref="D986:G986"/>
    <mergeCell ref="B4:N4"/>
    <mergeCell ref="B5:N5"/>
    <mergeCell ref="M6:N6"/>
  </mergeCells>
  <printOptions horizontalCentered="1"/>
  <pageMargins left="0.19685039370078741" right="0.19685039370078741" top="0.59055118110236227" bottom="0.59055118110236227" header="0.31496062992125984" footer="0.31496062992125984"/>
  <pageSetup paperSize="9" scale="65" fitToHeight="0" orientation="landscape" r:id="rId1"/>
  <headerFooter alignWithMargins="0">
    <oddFooter>&amp;C- &amp;P -</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6" baseType="variant">
      <vt:variant>
        <vt:lpstr>Munkalapok</vt:lpstr>
      </vt:variant>
      <vt:variant>
        <vt:i4>23</vt:i4>
      </vt:variant>
      <vt:variant>
        <vt:lpstr>Diagramok</vt:lpstr>
      </vt:variant>
      <vt:variant>
        <vt:i4>5</vt:i4>
      </vt:variant>
      <vt:variant>
        <vt:lpstr>Névvel ellátott tartományok</vt:lpstr>
      </vt:variant>
      <vt:variant>
        <vt:i4>38</vt:i4>
      </vt:variant>
    </vt:vector>
  </HeadingPairs>
  <TitlesOfParts>
    <vt:vector size="66" baseType="lpstr">
      <vt:lpstr>Összefoglaló </vt:lpstr>
      <vt:lpstr>1.Onbe</vt:lpstr>
      <vt:lpstr>1.A Norm</vt:lpstr>
      <vt:lpstr>2.Onki</vt:lpstr>
      <vt:lpstr>3.Inbe </vt:lpstr>
      <vt:lpstr>3A Inbe</vt:lpstr>
      <vt:lpstr>4.Inki</vt:lpstr>
      <vt:lpstr>5.Infelhki</vt:lpstr>
      <vt:lpstr>6.Önk.műk.</vt:lpstr>
      <vt:lpstr>6.A Alapítv</vt:lpstr>
      <vt:lpstr>7.Beruh.</vt:lpstr>
      <vt:lpstr>8.Felúj.</vt:lpstr>
      <vt:lpstr>8.Projekt</vt:lpstr>
      <vt:lpstr>9.MVP és hazai</vt:lpstr>
      <vt:lpstr>10.EKF</vt:lpstr>
      <vt:lpstr>11.Mérleg</vt:lpstr>
      <vt:lpstr>13.Létszám</vt:lpstr>
      <vt:lpstr>14. Többéves</vt:lpstr>
      <vt:lpstr>12.Hitel</vt:lpstr>
      <vt:lpstr>15.A Beruh.hitel</vt:lpstr>
      <vt:lpstr>15.B Beruh.hitel</vt:lpstr>
      <vt:lpstr>13.EU</vt:lpstr>
      <vt:lpstr>17.Közv.tám.</vt:lpstr>
      <vt:lpstr>Diagram_bevetelek</vt:lpstr>
      <vt:lpstr>Diagram_kiadasok</vt:lpstr>
      <vt:lpstr>Diagram_kozponti</vt:lpstr>
      <vt:lpstr>Diagram_lefedettseg</vt:lpstr>
      <vt:lpstr>Diagram_mukodesi</vt:lpstr>
      <vt:lpstr>'1.Onbe'!Nyomtatási_cím</vt:lpstr>
      <vt:lpstr>'10.EKF'!Nyomtatási_cím</vt:lpstr>
      <vt:lpstr>'13.EU'!Nyomtatási_cím</vt:lpstr>
      <vt:lpstr>'13.Létszám'!Nyomtatási_cím</vt:lpstr>
      <vt:lpstr>'14. Többéves'!Nyomtatási_cím</vt:lpstr>
      <vt:lpstr>'2.Onki'!Nyomtatási_cím</vt:lpstr>
      <vt:lpstr>'3.Inbe '!Nyomtatási_cím</vt:lpstr>
      <vt:lpstr>'3A Inbe'!Nyomtatási_cím</vt:lpstr>
      <vt:lpstr>'4.Inki'!Nyomtatási_cím</vt:lpstr>
      <vt:lpstr>'5.Infelhki'!Nyomtatási_cím</vt:lpstr>
      <vt:lpstr>'6.A Alapítv'!Nyomtatási_cím</vt:lpstr>
      <vt:lpstr>'6.Önk.műk.'!Nyomtatási_cím</vt:lpstr>
      <vt:lpstr>'7.Beruh.'!Nyomtatási_cím</vt:lpstr>
      <vt:lpstr>'8.Felúj.'!Nyomtatási_cím</vt:lpstr>
      <vt:lpstr>'8.Projekt'!Nyomtatási_cím</vt:lpstr>
      <vt:lpstr>'9.MVP és hazai'!Nyomtatási_cím</vt:lpstr>
      <vt:lpstr>'Összefoglaló '!Nyomtatási_cím</vt:lpstr>
      <vt:lpstr>'1.A Norm'!Nyomtatási_terület</vt:lpstr>
      <vt:lpstr>'1.Onbe'!Nyomtatási_terület</vt:lpstr>
      <vt:lpstr>'10.EKF'!Nyomtatási_terület</vt:lpstr>
      <vt:lpstr>'11.Mérleg'!Nyomtatási_terület</vt:lpstr>
      <vt:lpstr>'12.Hitel'!Nyomtatási_terület</vt:lpstr>
      <vt:lpstr>'13.Létszám'!Nyomtatási_terület</vt:lpstr>
      <vt:lpstr>'14. Többéves'!Nyomtatási_terület</vt:lpstr>
      <vt:lpstr>'15.A Beruh.hitel'!Nyomtatási_terület</vt:lpstr>
      <vt:lpstr>'15.B Beruh.hitel'!Nyomtatási_terület</vt:lpstr>
      <vt:lpstr>'2.Onki'!Nyomtatási_terület</vt:lpstr>
      <vt:lpstr>'3.Inbe '!Nyomtatási_terület</vt:lpstr>
      <vt:lpstr>'3A Inbe'!Nyomtatási_terület</vt:lpstr>
      <vt:lpstr>'4.Inki'!Nyomtatási_terület</vt:lpstr>
      <vt:lpstr>'5.Infelhki'!Nyomtatási_terület</vt:lpstr>
      <vt:lpstr>'6.A Alapítv'!Nyomtatási_terület</vt:lpstr>
      <vt:lpstr>'6.Önk.műk.'!Nyomtatási_terület</vt:lpstr>
      <vt:lpstr>'7.Beruh.'!Nyomtatási_terület</vt:lpstr>
      <vt:lpstr>'8.Felúj.'!Nyomtatási_terület</vt:lpstr>
      <vt:lpstr>'8.Projekt'!Nyomtatási_terület</vt:lpstr>
      <vt:lpstr>'9.MVP és hazai'!Nyomtatási_terület</vt:lpstr>
      <vt:lpstr>'Összefoglaló '!Nyomtatási_terület</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Schumacher Judit</dc:creator>
  <cp:lastModifiedBy>Kicska Andrea</cp:lastModifiedBy>
  <cp:lastPrinted>2021-02-16T13:13:53Z</cp:lastPrinted>
  <dcterms:created xsi:type="dcterms:W3CDTF">2015-02-11T07:38:58Z</dcterms:created>
  <dcterms:modified xsi:type="dcterms:W3CDTF">2021-02-24T15:00:54Z</dcterms:modified>
</cp:coreProperties>
</file>