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9440" windowHeight="9525" tabRatio="808" firstSheet="5" activeTab="11"/>
  </bookViews>
  <sheets>
    <sheet name="1 bevétel-kiadás" sheetId="1" r:id="rId1"/>
    <sheet name="2 helyi adó bev." sheetId="2" r:id="rId2"/>
    <sheet name="3 tám.ért. bev." sheetId="3" r:id="rId3"/>
    <sheet name="4 ktgvetési tám. bev." sheetId="4" r:id="rId4"/>
    <sheet name="5 EU-s pr. bev-kiad." sheetId="5" r:id="rId5"/>
    <sheet name="6 Ber-Felúj. kiad." sheetId="6" r:id="rId6"/>
    <sheet name="7 átadott pénzeszk." sheetId="7" r:id="rId7"/>
    <sheet name="8 ellátotak jutt." sheetId="8" r:id="rId8"/>
    <sheet name="9 létszám" sheetId="9" r:id="rId9"/>
    <sheet name="10 közvetett tám-ok kiad." sheetId="10" r:id="rId10"/>
    <sheet name="11 ktgvetési mérleg" sheetId="11" r:id="rId11"/>
    <sheet name="12 EI felh.terv" sheetId="12" r:id="rId12"/>
    <sheet name="Munka1" sheetId="13" r:id="rId13"/>
  </sheets>
  <externalReferences>
    <externalReference r:id="rId14"/>
  </externalReferences>
  <definedNames>
    <definedName name="_xlnm.Print_Area" localSheetId="0">'1 bevétel-kiadás'!$A$1:$P$66</definedName>
  </definedNames>
  <calcPr calcId="124519"/>
</workbook>
</file>

<file path=xl/calcChain.xml><?xml version="1.0" encoding="utf-8"?>
<calcChain xmlns="http://schemas.openxmlformats.org/spreadsheetml/2006/main">
  <c r="D12" i="5"/>
  <c r="D11"/>
  <c r="C20" i="10"/>
  <c r="D14"/>
  <c r="O8" i="9"/>
  <c r="O7"/>
  <c r="O9"/>
  <c r="M41" i="6"/>
  <c r="M42"/>
  <c r="M43"/>
  <c r="M40"/>
  <c r="J43"/>
  <c r="J42"/>
  <c r="J41"/>
  <c r="J40"/>
  <c r="M33"/>
  <c r="K33"/>
  <c r="J33"/>
  <c r="I33"/>
  <c r="M27"/>
  <c r="M28"/>
  <c r="M29"/>
  <c r="M30"/>
  <c r="M31"/>
  <c r="M32"/>
  <c r="M26"/>
  <c r="J27"/>
  <c r="J28"/>
  <c r="J29"/>
  <c r="J30"/>
  <c r="J31"/>
  <c r="J32"/>
  <c r="J26"/>
  <c r="M8"/>
  <c r="M9"/>
  <c r="M10"/>
  <c r="M11"/>
  <c r="M12"/>
  <c r="M13"/>
  <c r="M14"/>
  <c r="M15"/>
  <c r="M7"/>
  <c r="J8"/>
  <c r="J9"/>
  <c r="J10"/>
  <c r="J11"/>
  <c r="J12"/>
  <c r="J13"/>
  <c r="J14"/>
  <c r="J15"/>
  <c r="J7"/>
  <c r="I7"/>
  <c r="F22"/>
  <c r="D19"/>
  <c r="E19"/>
  <c r="D30"/>
  <c r="D28"/>
  <c r="D31"/>
  <c r="D32"/>
  <c r="D40"/>
  <c r="D14"/>
  <c r="F7" i="9"/>
  <c r="C25" i="10"/>
  <c r="C24"/>
  <c r="C12"/>
  <c r="C13"/>
  <c r="C11"/>
  <c r="C10"/>
  <c r="C9"/>
  <c r="C8"/>
  <c r="C7"/>
  <c r="C6"/>
  <c r="C14" s="1"/>
  <c r="C31" s="1"/>
  <c r="D29" i="11"/>
  <c r="D28"/>
  <c r="D37"/>
  <c r="D9"/>
  <c r="D8"/>
  <c r="H16" i="8"/>
  <c r="H15"/>
  <c r="H13"/>
  <c r="H11"/>
  <c r="H10"/>
  <c r="F11"/>
  <c r="F10"/>
  <c r="F13"/>
  <c r="F17"/>
  <c r="F16"/>
  <c r="F15"/>
  <c r="D23" i="4"/>
  <c r="D12" i="3"/>
  <c r="G11"/>
  <c r="C12"/>
  <c r="E11"/>
  <c r="E12"/>
  <c r="N47" i="1"/>
  <c r="P45"/>
  <c r="L7"/>
  <c r="H40"/>
  <c r="H7"/>
  <c r="O7"/>
  <c r="D41"/>
  <c r="D59"/>
  <c r="D52"/>
  <c r="D51"/>
  <c r="D57"/>
  <c r="D45"/>
  <c r="D43"/>
  <c r="L43"/>
  <c r="D40"/>
  <c r="D39"/>
  <c r="D38"/>
  <c r="D15"/>
  <c r="D14"/>
  <c r="D9"/>
  <c r="D7"/>
  <c r="H39"/>
  <c r="H38"/>
  <c r="J40"/>
  <c r="J39"/>
  <c r="J38"/>
  <c r="J7"/>
  <c r="F40"/>
  <c r="F38"/>
  <c r="F24" i="4"/>
  <c r="D25"/>
  <c r="F25"/>
  <c r="H10" i="12"/>
  <c r="G37" i="11"/>
  <c r="D8" i="9"/>
  <c r="D7"/>
  <c r="D14" i="2"/>
  <c r="E20" i="6"/>
  <c r="F19"/>
  <c r="D7"/>
  <c r="D41"/>
  <c r="D44"/>
  <c r="D16"/>
  <c r="E16"/>
  <c r="F16"/>
  <c r="G16"/>
  <c r="H16"/>
  <c r="I16"/>
  <c r="J16"/>
  <c r="K16"/>
  <c r="L16"/>
  <c r="M16"/>
  <c r="N16"/>
  <c r="C16"/>
  <c r="D15"/>
  <c r="K15"/>
  <c r="I15"/>
  <c r="C44"/>
  <c r="D33"/>
  <c r="D34"/>
  <c r="C48"/>
  <c r="C33"/>
  <c r="D27"/>
  <c r="D26"/>
  <c r="D13"/>
  <c r="D12"/>
  <c r="D10"/>
  <c r="D9"/>
  <c r="D8"/>
  <c r="O14" i="1"/>
  <c r="C25"/>
  <c r="G20" i="11"/>
  <c r="G17"/>
  <c r="G16"/>
  <c r="G15" s="1"/>
  <c r="G18" s="1"/>
  <c r="G35" s="1"/>
  <c r="G11"/>
  <c r="D27"/>
  <c r="D26"/>
  <c r="D30" s="1"/>
  <c r="D35" s="1"/>
  <c r="D38" s="1"/>
  <c r="D16"/>
  <c r="D13"/>
  <c r="D12"/>
  <c r="D43" i="6"/>
  <c r="D42"/>
  <c r="D11"/>
  <c r="G19" i="11"/>
  <c r="G30"/>
  <c r="D17" i="8"/>
  <c r="G13" i="11"/>
  <c r="D46" i="1"/>
  <c r="L46"/>
  <c r="G8" i="11"/>
  <c r="G7"/>
  <c r="G6"/>
  <c r="D19" i="1"/>
  <c r="O15"/>
  <c r="D14" i="11"/>
  <c r="G19" i="3"/>
  <c r="G20"/>
  <c r="D21"/>
  <c r="G21"/>
  <c r="F21"/>
  <c r="H21"/>
  <c r="G7"/>
  <c r="G8"/>
  <c r="G9"/>
  <c r="G10"/>
  <c r="O9" i="1"/>
  <c r="O10"/>
  <c r="O11"/>
  <c r="O12"/>
  <c r="O13"/>
  <c r="O16"/>
  <c r="O17"/>
  <c r="O19"/>
  <c r="O20"/>
  <c r="O21"/>
  <c r="O22"/>
  <c r="O23"/>
  <c r="O26"/>
  <c r="O27"/>
  <c r="O29"/>
  <c r="H18"/>
  <c r="F39"/>
  <c r="L38"/>
  <c r="F7"/>
  <c r="D9" i="5"/>
  <c r="E9"/>
  <c r="E8"/>
  <c r="C9"/>
  <c r="C8" i="9"/>
  <c r="K8"/>
  <c r="D8" i="12"/>
  <c r="E8"/>
  <c r="F8"/>
  <c r="G8"/>
  <c r="H8"/>
  <c r="I8"/>
  <c r="J8"/>
  <c r="K8"/>
  <c r="L8"/>
  <c r="M8"/>
  <c r="N8"/>
  <c r="C8"/>
  <c r="D10"/>
  <c r="E10"/>
  <c r="F10"/>
  <c r="G10"/>
  <c r="I10"/>
  <c r="J10"/>
  <c r="J12"/>
  <c r="K10"/>
  <c r="K12"/>
  <c r="L10"/>
  <c r="M10"/>
  <c r="N10"/>
  <c r="C10"/>
  <c r="F8" i="11"/>
  <c r="C8"/>
  <c r="J48" i="6"/>
  <c r="I29"/>
  <c r="K29"/>
  <c r="K31"/>
  <c r="I31"/>
  <c r="G7" i="1"/>
  <c r="C42"/>
  <c r="C50"/>
  <c r="C41"/>
  <c r="F14" i="11"/>
  <c r="C46" i="1"/>
  <c r="K46"/>
  <c r="K38"/>
  <c r="K39"/>
  <c r="K40"/>
  <c r="I7"/>
  <c r="C7"/>
  <c r="M7"/>
  <c r="D11" i="12"/>
  <c r="E11"/>
  <c r="F11"/>
  <c r="G11"/>
  <c r="H11"/>
  <c r="I11"/>
  <c r="J11"/>
  <c r="K11"/>
  <c r="L11"/>
  <c r="M11"/>
  <c r="N11"/>
  <c r="C11"/>
  <c r="D9"/>
  <c r="D12"/>
  <c r="E9"/>
  <c r="F9"/>
  <c r="F12"/>
  <c r="G9"/>
  <c r="H9"/>
  <c r="H12"/>
  <c r="I9"/>
  <c r="J9"/>
  <c r="K9"/>
  <c r="L9"/>
  <c r="L12"/>
  <c r="M9"/>
  <c r="N9"/>
  <c r="N12"/>
  <c r="C9"/>
  <c r="N44" i="6"/>
  <c r="M44"/>
  <c r="L44"/>
  <c r="J44"/>
  <c r="H44"/>
  <c r="G44"/>
  <c r="F44"/>
  <c r="E44"/>
  <c r="I43"/>
  <c r="K43"/>
  <c r="I32"/>
  <c r="K32"/>
  <c r="I14"/>
  <c r="K14"/>
  <c r="K40"/>
  <c r="I40"/>
  <c r="I44"/>
  <c r="I13"/>
  <c r="K13"/>
  <c r="I12"/>
  <c r="K12"/>
  <c r="C10"/>
  <c r="F7" i="11"/>
  <c r="F6"/>
  <c r="C17" i="8"/>
  <c r="C8" i="4"/>
  <c r="E8"/>
  <c r="C7"/>
  <c r="C21" i="3"/>
  <c r="C23"/>
  <c r="E8"/>
  <c r="E7"/>
  <c r="M40" i="1"/>
  <c r="C20" i="4"/>
  <c r="E20"/>
  <c r="E19"/>
  <c r="E12" i="12"/>
  <c r="I12"/>
  <c r="M12"/>
  <c r="O12"/>
  <c r="I9" i="6"/>
  <c r="K9"/>
  <c r="F16" i="4"/>
  <c r="F10"/>
  <c r="E10"/>
  <c r="C7" i="9"/>
  <c r="K7"/>
  <c r="K9"/>
  <c r="D9"/>
  <c r="E9"/>
  <c r="F9"/>
  <c r="G9"/>
  <c r="H9"/>
  <c r="I9"/>
  <c r="J9"/>
  <c r="M7"/>
  <c r="N9"/>
  <c r="P9"/>
  <c r="G7" i="8"/>
  <c r="G17"/>
  <c r="G8"/>
  <c r="G9"/>
  <c r="G12"/>
  <c r="G14"/>
  <c r="E7"/>
  <c r="E8"/>
  <c r="E9"/>
  <c r="E12"/>
  <c r="E14"/>
  <c r="E6"/>
  <c r="E17"/>
  <c r="H17"/>
  <c r="F14" i="2"/>
  <c r="H14"/>
  <c r="G7"/>
  <c r="G8"/>
  <c r="G9"/>
  <c r="G10"/>
  <c r="G11"/>
  <c r="G12"/>
  <c r="G13"/>
  <c r="E7"/>
  <c r="E8"/>
  <c r="E9"/>
  <c r="E10"/>
  <c r="E11"/>
  <c r="E12"/>
  <c r="E13"/>
  <c r="C14"/>
  <c r="K11" i="6"/>
  <c r="I11"/>
  <c r="O57" i="1"/>
  <c r="P57"/>
  <c r="D47"/>
  <c r="E47"/>
  <c r="E42"/>
  <c r="E50"/>
  <c r="F47"/>
  <c r="F42"/>
  <c r="F50"/>
  <c r="G47"/>
  <c r="G42"/>
  <c r="G50"/>
  <c r="H47"/>
  <c r="H42"/>
  <c r="H50"/>
  <c r="I47"/>
  <c r="I42"/>
  <c r="I50"/>
  <c r="J47"/>
  <c r="J42"/>
  <c r="K48"/>
  <c r="K49"/>
  <c r="K47"/>
  <c r="K43"/>
  <c r="K44"/>
  <c r="K42"/>
  <c r="K45"/>
  <c r="K41"/>
  <c r="L48"/>
  <c r="L49"/>
  <c r="L47"/>
  <c r="L44"/>
  <c r="L41"/>
  <c r="L39"/>
  <c r="M48"/>
  <c r="M47"/>
  <c r="M49"/>
  <c r="M43"/>
  <c r="M44"/>
  <c r="M42"/>
  <c r="M39"/>
  <c r="M38"/>
  <c r="N45"/>
  <c r="N42"/>
  <c r="O42"/>
  <c r="O50"/>
  <c r="O58"/>
  <c r="O60"/>
  <c r="P42"/>
  <c r="C47"/>
  <c r="F15" i="4"/>
  <c r="F20"/>
  <c r="C22"/>
  <c r="C23"/>
  <c r="C15"/>
  <c r="E15"/>
  <c r="E16"/>
  <c r="C12" i="12"/>
  <c r="G6" i="8"/>
  <c r="F7" i="4"/>
  <c r="F8"/>
  <c r="F11"/>
  <c r="F12"/>
  <c r="F13"/>
  <c r="F14"/>
  <c r="F17"/>
  <c r="F18"/>
  <c r="F21"/>
  <c r="F22"/>
  <c r="F23"/>
  <c r="F9"/>
  <c r="F6"/>
  <c r="G18" i="3"/>
  <c r="E19"/>
  <c r="E18"/>
  <c r="E21"/>
  <c r="E23"/>
  <c r="E6"/>
  <c r="E10"/>
  <c r="E9"/>
  <c r="G6"/>
  <c r="G6" i="2"/>
  <c r="E6"/>
  <c r="E14"/>
  <c r="C64" i="1"/>
  <c r="G34" i="11"/>
  <c r="F34"/>
  <c r="D34"/>
  <c r="C34"/>
  <c r="F30"/>
  <c r="C30"/>
  <c r="F15"/>
  <c r="C11"/>
  <c r="C9" s="1"/>
  <c r="C18" s="1"/>
  <c r="C35" s="1"/>
  <c r="C38" s="1"/>
  <c r="F10"/>
  <c r="F18"/>
  <c r="F35"/>
  <c r="F38"/>
  <c r="D30" i="10"/>
  <c r="C30"/>
  <c r="D26"/>
  <c r="C26"/>
  <c r="D22"/>
  <c r="C22"/>
  <c r="D18"/>
  <c r="C18"/>
  <c r="L7" i="9"/>
  <c r="L9"/>
  <c r="L8"/>
  <c r="F16" i="7"/>
  <c r="H16"/>
  <c r="F17"/>
  <c r="H17"/>
  <c r="F18"/>
  <c r="H18"/>
  <c r="F19"/>
  <c r="H19"/>
  <c r="H15"/>
  <c r="H20"/>
  <c r="F15"/>
  <c r="F20"/>
  <c r="H7"/>
  <c r="H8"/>
  <c r="H9"/>
  <c r="H10"/>
  <c r="H6"/>
  <c r="F7"/>
  <c r="F8"/>
  <c r="F9"/>
  <c r="F10"/>
  <c r="F6"/>
  <c r="F11"/>
  <c r="G20"/>
  <c r="E20"/>
  <c r="E11"/>
  <c r="D20"/>
  <c r="C20"/>
  <c r="C11"/>
  <c r="K28" i="6"/>
  <c r="K30"/>
  <c r="K27"/>
  <c r="I28"/>
  <c r="I30"/>
  <c r="I27"/>
  <c r="K7"/>
  <c r="K8"/>
  <c r="K26"/>
  <c r="I8"/>
  <c r="I26"/>
  <c r="L33"/>
  <c r="L48"/>
  <c r="N33"/>
  <c r="N48"/>
  <c r="H33"/>
  <c r="H48"/>
  <c r="G33"/>
  <c r="G48"/>
  <c r="F33"/>
  <c r="E33"/>
  <c r="E48"/>
  <c r="E7" i="4"/>
  <c r="E11"/>
  <c r="E13"/>
  <c r="E14"/>
  <c r="E17"/>
  <c r="E18"/>
  <c r="E21"/>
  <c r="E9"/>
  <c r="E6"/>
  <c r="F12" i="3"/>
  <c r="H12"/>
  <c r="F23"/>
  <c r="G12"/>
  <c r="G23"/>
  <c r="H23"/>
  <c r="L51" i="1"/>
  <c r="L52"/>
  <c r="L57"/>
  <c r="L54"/>
  <c r="L53"/>
  <c r="L55"/>
  <c r="L56"/>
  <c r="M54"/>
  <c r="M53"/>
  <c r="M57"/>
  <c r="M55"/>
  <c r="M56"/>
  <c r="K54"/>
  <c r="K53"/>
  <c r="K55"/>
  <c r="K56"/>
  <c r="N53"/>
  <c r="N57"/>
  <c r="N52"/>
  <c r="M59"/>
  <c r="M9"/>
  <c r="M10"/>
  <c r="M11"/>
  <c r="M12"/>
  <c r="M13"/>
  <c r="M14"/>
  <c r="M15"/>
  <c r="M16"/>
  <c r="M17"/>
  <c r="M19"/>
  <c r="M20"/>
  <c r="M21"/>
  <c r="M22"/>
  <c r="M23"/>
  <c r="M26"/>
  <c r="M27"/>
  <c r="M29"/>
  <c r="D24"/>
  <c r="O24"/>
  <c r="D8"/>
  <c r="F8"/>
  <c r="F18"/>
  <c r="F25"/>
  <c r="F28"/>
  <c r="H8"/>
  <c r="J8"/>
  <c r="J18"/>
  <c r="J25"/>
  <c r="K52"/>
  <c r="K59"/>
  <c r="L59"/>
  <c r="K9"/>
  <c r="L9"/>
  <c r="K10"/>
  <c r="L10"/>
  <c r="K11"/>
  <c r="L11"/>
  <c r="K12"/>
  <c r="L12"/>
  <c r="K13"/>
  <c r="L13"/>
  <c r="K14"/>
  <c r="L14"/>
  <c r="K15"/>
  <c r="L15"/>
  <c r="K16"/>
  <c r="L16"/>
  <c r="K17"/>
  <c r="L17"/>
  <c r="K19"/>
  <c r="L19"/>
  <c r="K20"/>
  <c r="L20"/>
  <c r="K21"/>
  <c r="L21"/>
  <c r="K22"/>
  <c r="L22"/>
  <c r="K23"/>
  <c r="L23"/>
  <c r="F24"/>
  <c r="H24"/>
  <c r="H25"/>
  <c r="H28"/>
  <c r="J24"/>
  <c r="K26"/>
  <c r="L26"/>
  <c r="K27"/>
  <c r="L27"/>
  <c r="K29"/>
  <c r="L29"/>
  <c r="K7"/>
  <c r="E8"/>
  <c r="E18"/>
  <c r="E24"/>
  <c r="E53"/>
  <c r="E57"/>
  <c r="E58"/>
  <c r="E60"/>
  <c r="F53"/>
  <c r="F57"/>
  <c r="F58"/>
  <c r="F60"/>
  <c r="J53"/>
  <c r="J57"/>
  <c r="I53"/>
  <c r="I57"/>
  <c r="I58"/>
  <c r="I60"/>
  <c r="H53"/>
  <c r="H57"/>
  <c r="H58"/>
  <c r="H60"/>
  <c r="G53"/>
  <c r="G57"/>
  <c r="G58"/>
  <c r="G60"/>
  <c r="D53"/>
  <c r="C53"/>
  <c r="C57"/>
  <c r="C58"/>
  <c r="C60"/>
  <c r="I24"/>
  <c r="G24"/>
  <c r="I8"/>
  <c r="I18"/>
  <c r="G8"/>
  <c r="G18"/>
  <c r="G25"/>
  <c r="G28"/>
  <c r="G30"/>
  <c r="C8"/>
  <c r="M8"/>
  <c r="C24"/>
  <c r="M24"/>
  <c r="G11" i="7"/>
  <c r="D11"/>
  <c r="K51" i="1"/>
  <c r="D31" i="10"/>
  <c r="M41" i="1"/>
  <c r="K24"/>
  <c r="M51"/>
  <c r="K8"/>
  <c r="K44" i="6"/>
  <c r="I10"/>
  <c r="K10"/>
  <c r="C12" i="4"/>
  <c r="E12"/>
  <c r="C9" i="9"/>
  <c r="E25" i="1"/>
  <c r="E28"/>
  <c r="H11" i="7"/>
  <c r="L24" i="1"/>
  <c r="J50"/>
  <c r="J58"/>
  <c r="J60"/>
  <c r="G12" i="12"/>
  <c r="D45" i="6"/>
  <c r="D46"/>
  <c r="D48"/>
  <c r="M48"/>
  <c r="F48"/>
  <c r="K50" i="1"/>
  <c r="E30"/>
  <c r="E32"/>
  <c r="E31"/>
  <c r="I25"/>
  <c r="I28"/>
  <c r="K57"/>
  <c r="K58"/>
  <c r="K60"/>
  <c r="N50"/>
  <c r="N58"/>
  <c r="N60"/>
  <c r="D10" i="11"/>
  <c r="D15"/>
  <c r="G14"/>
  <c r="L8" i="1"/>
  <c r="C18"/>
  <c r="M8" i="9"/>
  <c r="M9"/>
  <c r="M46" i="1"/>
  <c r="M50"/>
  <c r="M58"/>
  <c r="M60"/>
  <c r="L45"/>
  <c r="M18"/>
  <c r="K18"/>
  <c r="I30"/>
  <c r="I32"/>
  <c r="I31"/>
  <c r="K25"/>
  <c r="C28"/>
  <c r="M25"/>
  <c r="M28"/>
  <c r="C30"/>
  <c r="C31"/>
  <c r="C32"/>
  <c r="K48" i="6"/>
  <c r="I48"/>
  <c r="D35"/>
  <c r="D20"/>
  <c r="F20"/>
  <c r="F21"/>
  <c r="E22" i="4"/>
  <c r="E23"/>
  <c r="D23" i="3"/>
  <c r="G14" i="2"/>
  <c r="P50" i="1"/>
  <c r="P58"/>
  <c r="P60"/>
  <c r="G10" i="11"/>
  <c r="L42" i="1"/>
  <c r="D42"/>
  <c r="D50"/>
  <c r="D58"/>
  <c r="D60"/>
  <c r="L40"/>
  <c r="D18" i="11"/>
  <c r="O8" i="1"/>
  <c r="D18"/>
  <c r="D25"/>
  <c r="D28"/>
  <c r="D31"/>
  <c r="G32"/>
  <c r="K30"/>
  <c r="G31"/>
  <c r="M31"/>
  <c r="H30"/>
  <c r="H32"/>
  <c r="H31"/>
  <c r="K31"/>
  <c r="K28"/>
  <c r="J28"/>
  <c r="F30"/>
  <c r="F32"/>
  <c r="F31"/>
  <c r="M32"/>
  <c r="K32"/>
  <c r="M30"/>
  <c r="L50"/>
  <c r="L58"/>
  <c r="L60"/>
  <c r="O25"/>
  <c r="O18"/>
  <c r="L25"/>
  <c r="D30"/>
  <c r="D32"/>
  <c r="L18"/>
  <c r="J31"/>
  <c r="L28"/>
  <c r="O28"/>
  <c r="J30"/>
  <c r="O31"/>
  <c r="L31"/>
  <c r="J32"/>
  <c r="O30"/>
  <c r="L30"/>
  <c r="L32"/>
  <c r="O32"/>
  <c r="G38" i="11" l="1"/>
</calcChain>
</file>

<file path=xl/sharedStrings.xml><?xml version="1.0" encoding="utf-8"?>
<sst xmlns="http://schemas.openxmlformats.org/spreadsheetml/2006/main" count="671" uniqueCount="324">
  <si>
    <t>adatok eFt-ban</t>
  </si>
  <si>
    <t>Megnevezés</t>
  </si>
  <si>
    <t>Önkormányzat előirányzatai</t>
  </si>
  <si>
    <t>TEMÜSZ előirányzatai</t>
  </si>
  <si>
    <t>ÖSSZESEN eredeti előirányzatok</t>
  </si>
  <si>
    <t>ÖSSZESEN módosított előirányzatok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</si>
  <si>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</si>
  <si>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</si>
  <si>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</si>
  <si>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</si>
  <si>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</si>
  <si>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</si>
  <si>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</si>
  <si>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</si>
  <si>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</si>
  <si>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</si>
  <si>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</si>
  <si>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</si>
  <si>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</si>
  <si>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r>
      <t>Intézményi működési bevételek</t>
    </r>
    <r>
      <rPr>
        <sz val="11"/>
        <rFont val="Georgia"/>
        <family val="1"/>
        <charset val="238"/>
      </rPr>
      <t xml:space="preserve"> (áru- és készletértékesítés, a nyújtott szolgáltatások ellenértéke, a bérleti díj bevételek, az intézményi ellátási díjak, az alkalmazottak térítése, az általános forgalmi adó bevételek, valamint a hozam- és kamatbevételek)</t>
    </r>
  </si>
  <si>
    <r>
      <t xml:space="preserve">Közhatalmi bevételek </t>
    </r>
    <r>
      <rPr>
        <sz val="11"/>
        <rFont val="Georgia"/>
        <family val="1"/>
        <charset val="238"/>
      </rPr>
      <t>(adók, illetékek, járulékok, hozzájárulások, bírságok, díjak, és más fizetési kötelezettségek)</t>
    </r>
  </si>
  <si>
    <t xml:space="preserve">  Helyi adók  </t>
  </si>
  <si>
    <t xml:space="preserve">  Illetékek </t>
  </si>
  <si>
    <t xml:space="preserve">  Pótlékok, bírságok</t>
  </si>
  <si>
    <t>Irányító szervtől kapott működési költségvetési támogatás</t>
  </si>
  <si>
    <t>Központi költségvetésből kapott támogatás</t>
  </si>
  <si>
    <t>Működési célú támogatásértékű bevétel ÁH-n belülről</t>
  </si>
  <si>
    <t>Működési célú átvett pénzeszköz ÁH-n kívülről</t>
  </si>
  <si>
    <t xml:space="preserve">Előző évi működési célú előirányzat-maradvány, pénzmaradvány átvétel összesen </t>
  </si>
  <si>
    <t>MŰKÖDÉSI BEVÉTELEK ÖSSZESEN</t>
  </si>
  <si>
    <t>Felhalmozási célú támogatásértékű bevétel ÁH-n belülről</t>
  </si>
  <si>
    <t>Felhalmozási célú átvett pénzeszköz ÁH-n kívülről</t>
  </si>
  <si>
    <t>Felhalmozáci célú bevételek (a tárgyi eszközök és immateriális javak értékesítése és a pénzügyi befektetések bevételei)</t>
  </si>
  <si>
    <t>Előző évi felhalmozási célú előirányzat-maradvány, pénzmaradvány átvétel</t>
  </si>
  <si>
    <t>Irányító szervtől kapott felhalmozási célú költségvetési támogatás</t>
  </si>
  <si>
    <t>FELHALMOZÁSI BEVÉTELEK ÖSSZESEN</t>
  </si>
  <si>
    <t xml:space="preserve">Támogatási kölcsönök visszatérülése államháztartáson belülről </t>
  </si>
  <si>
    <t xml:space="preserve">Támogatási kölcsönök visszatérülése államháztartáson kívülről  </t>
  </si>
  <si>
    <t>Támogatási kölcsönök igénybevétele államháztartáson belülről</t>
  </si>
  <si>
    <t>KÖLCSÖNÖK ÖSSZESEN</t>
  </si>
  <si>
    <t>BEVÉTELEK ÖSSZESEN:*</t>
  </si>
  <si>
    <t xml:space="preserve">Előző évek előirányzat-maradványának, pénzmaradványának és előző évek vállalkozási maradványának igénybevétele </t>
  </si>
  <si>
    <t xml:space="preserve">Finanszírozási bevételek  </t>
  </si>
  <si>
    <t>BEVÉTELEK MINDÖSSZESEN:*</t>
  </si>
  <si>
    <t>Költségvetési hiány  (BEVÉTELEK ÖSSZESEN-KIADÁSOK ÖSSZESEN (-) )</t>
  </si>
  <si>
    <t>Költségvetési többlet (BEVÉTELEK ÖSSZESEN-KIADÁSOK ÖSSZESEN (+) )</t>
  </si>
  <si>
    <t>Előző évi előirányzat-maradvány, pénzmaradvány és előző évi vállalkozási maradvány igénybevétele utáni hiány vagy többlet (Költségvetési hiány+Előző évi maradvány igénybevétele)  (Költségvetési többlet+előző évi maradvány igénybevétele)</t>
  </si>
  <si>
    <t>Személyi juttatások</t>
  </si>
  <si>
    <t xml:space="preserve">Munkaadókat terhelő járulékok és szociális hozzájárulási adó, </t>
  </si>
  <si>
    <t>Dologi kiadások és egyéb folyó kiadások</t>
  </si>
  <si>
    <t xml:space="preserve">  irányító szerv alá tartozó költségvetési szervnek folyósított működési támogatás</t>
  </si>
  <si>
    <t>Egyéb működési célú kiadások</t>
  </si>
  <si>
    <t xml:space="preserve">   támogatásértékű működési kiadások</t>
  </si>
  <si>
    <t xml:space="preserve">   előző évi működési célú előirányzat-maradvány, pénzmaradvány átadás összesen</t>
  </si>
  <si>
    <t xml:space="preserve">   működési célú pénzeszközátadások államháztartáson kívülre</t>
  </si>
  <si>
    <t xml:space="preserve">   társadalom-, szociálpolitikai és egyéb juttatás, támogatás</t>
  </si>
  <si>
    <t xml:space="preserve">Egyéb pénzforgalom nélküli kiadások -Tartalékok </t>
  </si>
  <si>
    <t xml:space="preserve">  általános tartalék</t>
  </si>
  <si>
    <t xml:space="preserve">  céltartalék</t>
  </si>
  <si>
    <t>MŰKÖDÉSI KIADÁSOK ÖSSZESEN</t>
  </si>
  <si>
    <t xml:space="preserve">Intézményi beruházások </t>
  </si>
  <si>
    <t>Felújítások</t>
  </si>
  <si>
    <t>Kormányzati beruházások</t>
  </si>
  <si>
    <t>Lakástámogatás</t>
  </si>
  <si>
    <t>Lakásépítés</t>
  </si>
  <si>
    <t xml:space="preserve">Egyéb felhalmozási kiadások </t>
  </si>
  <si>
    <t xml:space="preserve">   befektetési célú részesedések vásárlása </t>
  </si>
  <si>
    <t xml:space="preserve">   támogatásértékű felhalmozási kiadások</t>
  </si>
  <si>
    <t xml:space="preserve">   előző évi felhalmozási célú előirányzat-maradvány, pénzmaradvány átadás</t>
  </si>
  <si>
    <t xml:space="preserve">   felhalmozási célú pénzeszközátadások államháztartáson kívülre </t>
  </si>
  <si>
    <t>FELHALMOZÁSI KIADÁSOK ÖSSZESEN</t>
  </si>
  <si>
    <t>Támogatási kölcsönök nyújtása államháztartáson belülre</t>
  </si>
  <si>
    <t>Támogatási kölcsönök nyújtása államháztartáson kívülre</t>
  </si>
  <si>
    <t>Támogatási kölcsönök törlesztése államháztartáson belülre</t>
  </si>
  <si>
    <t>KIADÁSOK ÖSSZESEN:*</t>
  </si>
  <si>
    <t xml:space="preserve">Finanszírozási kiadások </t>
  </si>
  <si>
    <t>KIADÁSOK MINDÖSSZESEN:*</t>
  </si>
  <si>
    <t>* az önkormányzati bevétel-kiadás mindösszesen összegből levonásra került az intézményeknek átadott finanszírozás, annak érdekében, hogy a végösszesen ne tartalmazzon halmozódást</t>
  </si>
  <si>
    <t>Közös Önkormányzati Hivatal előirányzatai</t>
  </si>
  <si>
    <t xml:space="preserve">Önkormányzat módosított előirányzatai </t>
  </si>
  <si>
    <t xml:space="preserve">Közös Önkormányzati Hivatal módosított előirányzatai </t>
  </si>
  <si>
    <t xml:space="preserve">TEMÜSZ módosított előirányzatai </t>
  </si>
  <si>
    <t xml:space="preserve">Napraforgó Óvoda módosított előirányzatai </t>
  </si>
  <si>
    <t>Eredeti előirányzatból KÖTELEZŐ feladatok</t>
  </si>
  <si>
    <t>Eredeti előirányzatból ÖNKÉNT vállalt feladatok</t>
  </si>
  <si>
    <t xml:space="preserve">Napraforgó Óvoda előirányzatai </t>
  </si>
  <si>
    <t>Módosított előirányzatból KÖTELEZŐ feladatok</t>
  </si>
  <si>
    <t>Módosított előirányzatból ÖNKÉNT vállalt feladatok</t>
  </si>
  <si>
    <t xml:space="preserve">  Átengedett központi adók (Gépjárműadó)</t>
  </si>
  <si>
    <t>LÉTSZÁM (FŐ)</t>
  </si>
  <si>
    <t>KÖZFOGLALKOZTATOTT</t>
  </si>
  <si>
    <t>N</t>
  </si>
  <si>
    <t>O</t>
  </si>
  <si>
    <t>Önkormányzat módosított előirányzatai</t>
  </si>
  <si>
    <t xml:space="preserve">Építményadó </t>
  </si>
  <si>
    <t xml:space="preserve">Telekadó </t>
  </si>
  <si>
    <t xml:space="preserve">Idegenforgalmi adó tartózkodás után </t>
  </si>
  <si>
    <t xml:space="preserve">Iparűzési adó állandó jelleggel végzett iparűzési tevékenység után </t>
  </si>
  <si>
    <t>Helyi adók összesen:</t>
  </si>
  <si>
    <t xml:space="preserve">E </t>
  </si>
  <si>
    <t xml:space="preserve">Támogatásértékű működési bevételek </t>
  </si>
  <si>
    <t xml:space="preserve">Támogatásértékű felhalmozási bevételek </t>
  </si>
  <si>
    <t>Támogatásértékű bevételek mindösszesen</t>
  </si>
  <si>
    <t>HELYI ADÓ BEVÉTELEK</t>
  </si>
  <si>
    <t>KÖZPONTI KÖLTSÉGVETÉSBŐL SZÁRMAZÓ TÁMOGATÁSOK</t>
  </si>
  <si>
    <t>Önkormányzati hivatal működésének támogatása</t>
  </si>
  <si>
    <t>adatok Ft-ban</t>
  </si>
  <si>
    <t>Településüzemeltetéshez kapcsolódó feladatok támogatása</t>
  </si>
  <si>
    <t>Egyéb kötelező önkormányzati feladatok támogatása</t>
  </si>
  <si>
    <t>Óvodapedagógusok, óvodapedagógusok munkáját közvetlenül segítők bértámogatása</t>
  </si>
  <si>
    <t>Óvodaműködtetési támogatás</t>
  </si>
  <si>
    <t>Hozzájárulás pénzbeli szociális ellátásokhoz</t>
  </si>
  <si>
    <t>Települési önkormányzatok szociális és gyermekjóléti feladatainak támogatása összesen</t>
  </si>
  <si>
    <t>Könyvtári, közművelődési és műzeumi feladatok támogatása</t>
  </si>
  <si>
    <t>Települési önkormányzatok kulturális feladatainak támogatása összesen</t>
  </si>
  <si>
    <t>Üdülőhelyi feladatok támogatása</t>
  </si>
  <si>
    <t>Európai Uniós Projektek</t>
  </si>
  <si>
    <t>Összesen</t>
  </si>
  <si>
    <t>Összesen:</t>
  </si>
  <si>
    <t>Támogatási bevétel</t>
  </si>
  <si>
    <t>Megvalósítás költsége</t>
  </si>
  <si>
    <t>Önkormányzat önrésze</t>
  </si>
  <si>
    <t>Megjegyzés</t>
  </si>
  <si>
    <t>BERUHÁZÁS-FELÚJÍTÁS</t>
  </si>
  <si>
    <t>Beruházás</t>
  </si>
  <si>
    <t>Felújítás</t>
  </si>
  <si>
    <t>Felhalmozási kiadások összesen</t>
  </si>
  <si>
    <t>hitel, kölcsön felvétele, átvállalása</t>
  </si>
  <si>
    <t xml:space="preserve">pénzügyi lízing </t>
  </si>
  <si>
    <t xml:space="preserve"> visszavásárlási kötelezettség kikötésével megkötött adásvételi szerződés</t>
  </si>
  <si>
    <t>TEMÜSZ módosított előirányzatai</t>
  </si>
  <si>
    <t>Napraforgó Óvoda módosított előirányzatai</t>
  </si>
  <si>
    <t xml:space="preserve">Működési célú pénzeszközátadások államháztartáson kívülre </t>
  </si>
  <si>
    <t>Felhalmozási célú pénzeszközátadások államháztartáson kívülre</t>
  </si>
  <si>
    <t>ÁTADOTT PÉNZESZKÖZÖK ÁLLAMHÁZTARTÁSON KÍVÜLRE</t>
  </si>
  <si>
    <t>Szociálpolitikai ellátások és egyéb juttatások, TB pénzbeli ellátások összesen</t>
  </si>
  <si>
    <t>LÉTSZÁM</t>
  </si>
  <si>
    <t xml:space="preserve">Létszám összesen </t>
  </si>
  <si>
    <t>KÖZVETETT TÁMOGATÁSOK</t>
  </si>
  <si>
    <t xml:space="preserve">B </t>
  </si>
  <si>
    <t>Helyi adónál, gépjárműadónál biztosított kedvezmény, mentesség összege adónemenként</t>
  </si>
  <si>
    <t>Bevétel kedvezmény nélkül</t>
  </si>
  <si>
    <t>Adott kedvezmény</t>
  </si>
  <si>
    <t>Megjegyzés/hivatkozás</t>
  </si>
  <si>
    <t>Gépjárműadó</t>
  </si>
  <si>
    <t>Adókedvezmények összesen:</t>
  </si>
  <si>
    <t>Lakosság részére lakásépítéshez, lakásfelújításhoz nyújtott kölcsönök elengedésének összege</t>
  </si>
  <si>
    <t>Kölcsönök elengedése összesen</t>
  </si>
  <si>
    <t>Ellátottak térítési díjának, illetve kártérítésének méltányossági alapon történő elengedésének összege</t>
  </si>
  <si>
    <t>Térítési díj kedveznények összesen</t>
  </si>
  <si>
    <t>Helyiségek, eszközök hasznosításából származó bevételből nyújtott kedvezmény, mentesség összege</t>
  </si>
  <si>
    <t>Bérleti díj kedveznények összesen</t>
  </si>
  <si>
    <t>egyéb nyújtott kedvezmény vagy kölcsön elengedésének összege.</t>
  </si>
  <si>
    <t>Egyéb kölcsön elengedése</t>
  </si>
  <si>
    <t>egyéb követelések elengedése</t>
  </si>
  <si>
    <t>Egyéb kedvezmények összesen</t>
  </si>
  <si>
    <t>MINDÖSSZESEN:</t>
  </si>
  <si>
    <t>MÉRLEG ÖNKORMÁNYZATI ÖSSZESEN</t>
  </si>
  <si>
    <t>Önkormányzati összesen eredeti ei.</t>
  </si>
  <si>
    <t>Önkormányzati összesen módosított ei.</t>
  </si>
  <si>
    <t xml:space="preserve">D </t>
  </si>
  <si>
    <t xml:space="preserve">  Irányító szerv alá tartozó költségvetési szervnek folyósított működési támogatás</t>
  </si>
  <si>
    <t>MŰKÖDÉSI KIADÁSOK ÖSSZESEN*</t>
  </si>
  <si>
    <t xml:space="preserve">   Irányító szerv alá tartozó költségvetési szervnek folyósított felhalmozási támogatás</t>
  </si>
  <si>
    <t>FELHALMOZÁSI KIADÁSOK ÖSSZESEN*</t>
  </si>
  <si>
    <t>BEVÉTELEK ÖSSZESEN:</t>
  </si>
  <si>
    <t>KIADÁSOK ÖSSZESEN:</t>
  </si>
  <si>
    <t>BEVÉTELEK MINDÖSSZESEN:</t>
  </si>
  <si>
    <t>KIADÁSOK MINDÖSSZESEN:</t>
  </si>
  <si>
    <t xml:space="preserve">Átfutó bevételek </t>
  </si>
  <si>
    <t>Átfutó kiadások forgalma</t>
  </si>
  <si>
    <t>* aműködési és felhalmozási kiadás összesen összegből levonásra került az intézményeknek átadott finanszírozás, annak érdekében, hogy a végösszesen ne tartalmazzon halmozódást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</si>
  <si>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</si>
  <si>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</si>
  <si>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</si>
  <si>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</si>
  <si>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</si>
  <si>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</si>
  <si>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</si>
  <si>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</si>
  <si>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</si>
  <si>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</si>
  <si>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</si>
  <si>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</si>
  <si>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ELŐIRÁNYZAT FELHASZNÁLÁSI TERV</t>
  </si>
  <si>
    <t>Alsóörs Község Önkormányzata</t>
  </si>
  <si>
    <t>Alsóörsi Közös Önkormányzati Hivatal</t>
  </si>
  <si>
    <t>Alsóörsi Településműködtetési és Községgazdálkodási Szervezet</t>
  </si>
  <si>
    <t>Napraforgó Óvoda Alsóörs</t>
  </si>
  <si>
    <t>Mindösszesen</t>
  </si>
  <si>
    <t>ÖSSZESEN:</t>
  </si>
  <si>
    <t>Talajterhelési díj</t>
  </si>
  <si>
    <t>Kistelepülések szociális feladatainak támogatása</t>
  </si>
  <si>
    <t>Helyi önkormnyzatok általános működésének támogatása összesen</t>
  </si>
  <si>
    <t>Települési önkormányzatok köznevelési feladatainak támogatása összesen</t>
  </si>
  <si>
    <t>Szociális étkeztetés</t>
  </si>
  <si>
    <t>Gyermekétkeztetés üzemeltetési támogatása</t>
  </si>
  <si>
    <t>Külterülettel kapcsolatos feladatok támogatása</t>
  </si>
  <si>
    <t>Költségvetési bevételek összesen</t>
  </si>
  <si>
    <t xml:space="preserve">  Ellátottak juttatásai,  társadalom-, szociálpolitikai és egyéb juttatás, támogatás</t>
  </si>
  <si>
    <t>Beruházások</t>
  </si>
  <si>
    <t xml:space="preserve">Új önkormányzati hivatal épület építés </t>
  </si>
  <si>
    <t xml:space="preserve">Vis Maior </t>
  </si>
  <si>
    <t xml:space="preserve">Útépítés </t>
  </si>
  <si>
    <t>Műk.c.tám. EGYHÁZ</t>
  </si>
  <si>
    <t>Műk.c.tám. NONPROFIT GAZD.TÁRS.</t>
  </si>
  <si>
    <t>Műk.c.tám. EGYÉB CIVIL SZERV. (alapítvány, egyesület, helyi szervezet)</t>
  </si>
  <si>
    <t>Műk.c.tám. HÁZTARTÁSOK</t>
  </si>
  <si>
    <t>Műk.c.tám. EGYÉB VÁLLALKOZÁSOK</t>
  </si>
  <si>
    <t>Felh.c.tám. EGYHÁZ</t>
  </si>
  <si>
    <t>Felh.c.tám. NONPROFIT GAZD.TÁRS.</t>
  </si>
  <si>
    <t>Felh.c.tám. EGYÉB CIVIL SZERV. (alapítvány, egyesület, helyi szervezet)</t>
  </si>
  <si>
    <t>Felh.c.tám. HÁZTARTÁSOK</t>
  </si>
  <si>
    <t>ELLÁTOTTAK JUTTATÁSAI</t>
  </si>
  <si>
    <t>Egyéb műk.c. támogatás (IFA kieg.tám.)</t>
  </si>
  <si>
    <t>Egyéb műk.c. támogatás (TB alapoktól és kezelőitől)</t>
  </si>
  <si>
    <t>Egyéb műk.c. támogatás (Elkülnített Állami Pénzalapoktól)</t>
  </si>
  <si>
    <t>Egyéb műk.c. támogatás Önk-tól, Önk-i ktgv.szervtől</t>
  </si>
  <si>
    <t>Felh.c. támogatás központi ktgv. Szervtől (Vis Maior)</t>
  </si>
  <si>
    <t>TÁMOGATÁSÉRTÉKŰ BEVÉTELEK</t>
  </si>
  <si>
    <t>Építményadó</t>
  </si>
  <si>
    <t>Telekadó</t>
  </si>
  <si>
    <t>Állandó jelleggel végzett ip.űzési adó</t>
  </si>
  <si>
    <r>
      <t xml:space="preserve">Gépjárműadó (beszedett összeg </t>
    </r>
    <r>
      <rPr>
        <b/>
        <sz val="10"/>
        <rFont val="Arial"/>
        <family val="2"/>
        <charset val="238"/>
      </rPr>
      <t>40 %-</t>
    </r>
    <r>
      <rPr>
        <sz val="10"/>
        <rFont val="Arial"/>
        <charset val="238"/>
      </rPr>
      <t>a marad)</t>
    </r>
  </si>
  <si>
    <t>Idegenfor.adó épület után</t>
  </si>
  <si>
    <t>Idegenfor.adó tartózkodás után</t>
  </si>
  <si>
    <t>Egyéb közhatalmi bevételek (Pótlékok, illetékek, bírságok)</t>
  </si>
  <si>
    <t>Rendszeres gyermekvéd.kedv. (5800/fő Erzsébet utalvány) Normatív</t>
  </si>
  <si>
    <t>Foglalkoztatást Helyettesítő tám. Normatív</t>
  </si>
  <si>
    <t>Lakásfenntartási tám. Normatív</t>
  </si>
  <si>
    <t>Rendszeres szociális segély Szoc.tv. 37.§ (1) a-d Normatív</t>
  </si>
  <si>
    <t>Átmeneti segély (temetési segély, rendk.gyv.tám.) Szoc.tv. 45.§ Önk.rend.</t>
  </si>
  <si>
    <t>Első lakáshoz jutók tám. Önk.rend.</t>
  </si>
  <si>
    <t>Szociális étkeztetés tám. Önk.rend. Szoc.tv. 62.§</t>
  </si>
  <si>
    <t>Méltányossági ápolási díj Önk.rend.</t>
  </si>
  <si>
    <t>Gyermek étkeztetési tám. Gyvt. 151.§ (5) Önk.rend.</t>
  </si>
  <si>
    <t>Pénzbeli beiskolázási tám. Önk.rend.</t>
  </si>
  <si>
    <t>Tankönyvtámogatás Önk.rend.</t>
  </si>
  <si>
    <t>Szakmai</t>
  </si>
  <si>
    <t xml:space="preserve">Intézmény üzemeltetéshez kapcsolódó </t>
  </si>
  <si>
    <t>könyvtáros 0,75</t>
  </si>
  <si>
    <t>IKSZT munk. 1</t>
  </si>
  <si>
    <t>polgármester 1</t>
  </si>
  <si>
    <t>védőnő 1</t>
  </si>
  <si>
    <t>kult.menedzs. 0,75</t>
  </si>
  <si>
    <t>kilátó gond. 1</t>
  </si>
  <si>
    <t>takarító 0,75</t>
  </si>
  <si>
    <t>jegyző 1</t>
  </si>
  <si>
    <t>aljegyző 1</t>
  </si>
  <si>
    <t>adóellenőr 0,44 (2 fő 6 órás 3,5 hóra)</t>
  </si>
  <si>
    <t>inform. 0,75</t>
  </si>
  <si>
    <t>szoc.ea. 1</t>
  </si>
  <si>
    <t>anyakönyvv. 1</t>
  </si>
  <si>
    <t>óvónő 4,75</t>
  </si>
  <si>
    <t>konyhai dolg. 4</t>
  </si>
  <si>
    <t>dajka 2</t>
  </si>
  <si>
    <t>karbant. 0,25</t>
  </si>
  <si>
    <t>int.vez. 1</t>
  </si>
  <si>
    <t>int.vez.h. 1</t>
  </si>
  <si>
    <t>pü.üi. 1</t>
  </si>
  <si>
    <t>Óvodai, szociális étkeztetés</t>
  </si>
  <si>
    <t>Temüsz bevételek</t>
  </si>
  <si>
    <t>Önkormányzat bevételek</t>
  </si>
  <si>
    <t xml:space="preserve">Előző évi működési célú előirányzat-maradvány, pénzmaradvány  összesen </t>
  </si>
  <si>
    <t>Gyermekétkeztetés üzemeltetési támogatása kieg.</t>
  </si>
  <si>
    <t xml:space="preserve">2015 évi költségvetés </t>
  </si>
  <si>
    <t>BEVÉTELEK 2015</t>
  </si>
  <si>
    <t>KIADÁSOK 2015</t>
  </si>
  <si>
    <t>Egyéb műk.c. támogatás EU-s progr. (IKSZT)</t>
  </si>
  <si>
    <t>Felh.c. támogatás központi ktgv. Szervtől (Skoda Yeti)</t>
  </si>
  <si>
    <t>Egyéb felh. C. támogatás ÁH-n belülről EU-s progr. (KEOP napelem)</t>
  </si>
  <si>
    <t>KEOP 2014-4.10.0/N Óvoda-Iskola-Művház napelem</t>
  </si>
  <si>
    <t>Megvalósítás 2015-ben</t>
  </si>
  <si>
    <t>pü 5</t>
  </si>
  <si>
    <t>adó 2,75</t>
  </si>
  <si>
    <t>int.üz. 16,58</t>
  </si>
  <si>
    <t>ebből strand, kemping 7,58,  temüsz 9</t>
  </si>
  <si>
    <t>Közvilágítás (Fábián u., Mihálkovics s.)</t>
  </si>
  <si>
    <t>Ingatlan vásárlás (995/4 hrsz,123 hrsz, Szerdahelyi dűlő)</t>
  </si>
  <si>
    <t>Ingalan átépítés (kertmozi</t>
  </si>
  <si>
    <t>Közbiztonság növ.pályázat (térfigyelő kamerák)</t>
  </si>
  <si>
    <t xml:space="preserve">Utánfutó </t>
  </si>
  <si>
    <t>Kisteherautó (temüsz)</t>
  </si>
  <si>
    <t>Kisértékű tárgyi eszkösz</t>
  </si>
  <si>
    <t>Bútor (új hivatal épülete,
 óvoda étterem 40 szék, 10 asztal, művház pult)</t>
  </si>
  <si>
    <t>Óvodai termek parkettázás</t>
  </si>
  <si>
    <t>Hivatal parkoló</t>
  </si>
  <si>
    <t>Endrődi u. járda</t>
  </si>
  <si>
    <t>Szépkilátó parkoló</t>
  </si>
  <si>
    <t>KEOP-Napelem Óvoda,iskola,művház</t>
  </si>
  <si>
    <t>Laptop (művház)</t>
  </si>
  <si>
    <t>Iskolai szálláshely szigetelés, ablak, tanterem parketta lakkozás</t>
  </si>
  <si>
    <t>A fenti előirányzatokból 2015. költségvetési év azon fejlesztési céljai, amelyek megvalósításához a Stabilitási tv. 3. § (1) bekezdése szerinti adósságot keletkeztető ügylet megkötése válik vagy válhat szükségessé (forrás feltüntetése ezer forintban)</t>
  </si>
  <si>
    <t>Törökház 0,48</t>
  </si>
  <si>
    <t>irodai kiseg. 1</t>
  </si>
  <si>
    <t>Laptop (pm)</t>
  </si>
  <si>
    <t>Laptop (óvoda)</t>
  </si>
  <si>
    <t>nettó</t>
  </si>
  <si>
    <t>áfa</t>
  </si>
  <si>
    <t>Kerékpár út terv</t>
  </si>
  <si>
    <t>hivatal</t>
  </si>
  <si>
    <t>egyéb</t>
  </si>
  <si>
    <t>össz</t>
  </si>
  <si>
    <t>kiegészítő támogatás</t>
  </si>
  <si>
    <t>Egyéb műk.c. támogatás társulástól, kv.sz.től</t>
  </si>
  <si>
    <t>adó 3</t>
  </si>
  <si>
    <t>közterület felügyelő 0,75</t>
  </si>
  <si>
    <t>méltányossági alapon, valamint az állandó lakosok 25 nm kedvezménye</t>
  </si>
  <si>
    <t xml:space="preserve">méltányossági alapon </t>
  </si>
  <si>
    <t>adóelőleg csökkentés méltányossági alapon</t>
  </si>
  <si>
    <t>beruházások között kimutatva</t>
  </si>
  <si>
    <t>dologi költség</t>
  </si>
  <si>
    <t>1. melléklet a 3/2015. ( II.27.) számú Önkormányzati rendelethez</t>
  </si>
  <si>
    <t>2. melléklet a 3/2015. ( II.27.) számú Önkormányzati rendelethez</t>
  </si>
  <si>
    <t>3. melléklet a  3/2015. ( II.27.) számú Önkormányzati rendelethez</t>
  </si>
  <si>
    <t>4. melléklet a  3/2015. ( II.27.) számú Önkormányzati rendelethez</t>
  </si>
  <si>
    <t>5. melléklet a  3/2015. ( II.27.) számú Önkormányzati rendelethez</t>
  </si>
  <si>
    <t>6. melléklet a 3/2015. ( II.27.) számú Önkormányzati rendelethez</t>
  </si>
  <si>
    <t>7. melléklet a  3/2015. ( II.27.) számú Önkormányzati rendelethez</t>
  </si>
  <si>
    <t>8. melléklet a 3/2015. ( II.27.) számú Önkormányzati rendelethez</t>
  </si>
  <si>
    <t>9. melléklet a  3/2015. ( II.27.) számú Önkormányzati rendelethez</t>
  </si>
  <si>
    <t>10. melléklet a 3/2015. ( II.27.) számú Önkormányzati rendelethez</t>
  </si>
  <si>
    <t>11. melléklet a 3/2015. ( II.27.) számú Önkormányzati rendelethez</t>
  </si>
  <si>
    <t>12. melléklet a 3/2015. ( II.27.) számú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</si>
</sst>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0__"/>
    <numFmt numFmtId="168" formatCode="_-* #,##0\ _F_t_-;\-* #,##0\ _F_t_-;_-* &quot;-&quot;??\ _F_t_-;_-@_-"/>
  </numFmts>
  <fonts count="51">
    <font>
      <sz val="10"/>
      <name val="Arial"/>
      <charset val="238"/>
    </font>
    <font>
      <b/>
      <i/>
      <sz val="11"/>
      <name val="Georgia"/>
      <family val="1"/>
      <charset val="238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0"/>
      <name val="Times New Roman CE"/>
      <charset val="238"/>
    </font>
    <font>
      <sz val="11"/>
      <color indexed="8"/>
      <name val="Georgia"/>
      <family val="1"/>
      <charset val="238"/>
    </font>
    <font>
      <b/>
      <sz val="11"/>
      <color indexed="8"/>
      <name val="Georgia"/>
      <family val="1"/>
      <charset val="238"/>
    </font>
    <font>
      <i/>
      <sz val="11"/>
      <name val="Georgia"/>
      <family val="1"/>
      <charset val="238"/>
    </font>
    <font>
      <b/>
      <i/>
      <sz val="11"/>
      <color indexed="8"/>
      <name val="Georgia"/>
      <family val="1"/>
      <charset val="238"/>
    </font>
    <font>
      <sz val="12"/>
      <name val="Georgia"/>
      <family val="1"/>
      <charset val="238"/>
    </font>
    <font>
      <sz val="10"/>
      <name val="Arial"/>
      <family val="2"/>
      <charset val="238"/>
    </font>
    <font>
      <b/>
      <sz val="10"/>
      <name val="Georgia"/>
      <family val="1"/>
      <charset val="238"/>
    </font>
    <font>
      <sz val="10"/>
      <color indexed="8"/>
      <name val="Georgia"/>
      <family val="1"/>
      <charset val="238"/>
    </font>
    <font>
      <sz val="13"/>
      <color indexed="8"/>
      <name val="Arial"/>
      <family val="2"/>
      <charset val="238"/>
    </font>
    <font>
      <b/>
      <i/>
      <sz val="12"/>
      <color indexed="8"/>
      <name val="Georgia"/>
      <family val="1"/>
      <charset val="238"/>
    </font>
    <font>
      <sz val="10"/>
      <name val="Georgia"/>
      <family val="1"/>
      <charset val="238"/>
    </font>
    <font>
      <b/>
      <i/>
      <sz val="16"/>
      <name val="Georgia"/>
      <family val="1"/>
      <charset val="238"/>
    </font>
    <font>
      <sz val="13"/>
      <color indexed="8"/>
      <name val="Georgia"/>
      <family val="1"/>
      <charset val="238"/>
    </font>
    <font>
      <i/>
      <sz val="22"/>
      <name val="Georgia"/>
      <family val="1"/>
      <charset val="238"/>
    </font>
    <font>
      <b/>
      <i/>
      <sz val="10"/>
      <name val="Georgia"/>
      <family val="1"/>
      <charset val="238"/>
    </font>
    <font>
      <i/>
      <sz val="10"/>
      <name val="Georgia"/>
      <family val="1"/>
      <charset val="238"/>
    </font>
    <font>
      <b/>
      <sz val="13"/>
      <color indexed="8"/>
      <name val="Georgia"/>
      <family val="1"/>
      <charset val="238"/>
    </font>
    <font>
      <b/>
      <sz val="14"/>
      <color indexed="8"/>
      <name val="Georgia"/>
      <family val="1"/>
      <charset val="238"/>
    </font>
    <font>
      <b/>
      <sz val="14"/>
      <name val="Georgia"/>
      <family val="1"/>
      <charset val="238"/>
    </font>
    <font>
      <i/>
      <sz val="13"/>
      <color indexed="8"/>
      <name val="Georgia"/>
      <family val="1"/>
      <charset val="238"/>
    </font>
    <font>
      <sz val="9"/>
      <name val="Georgia"/>
      <family val="1"/>
      <charset val="238"/>
    </font>
    <font>
      <sz val="8"/>
      <name val="Georgia"/>
      <family val="1"/>
      <charset val="238"/>
    </font>
    <font>
      <b/>
      <i/>
      <sz val="14"/>
      <name val="Georgia"/>
      <family val="1"/>
      <charset val="238"/>
    </font>
    <font>
      <sz val="14"/>
      <name val="Georgia"/>
      <family val="1"/>
      <charset val="238"/>
    </font>
    <font>
      <sz val="14"/>
      <color indexed="10"/>
      <name val="Georgia"/>
      <family val="1"/>
      <charset val="238"/>
    </font>
    <font>
      <b/>
      <i/>
      <sz val="12"/>
      <name val="Georgia"/>
      <family val="1"/>
      <charset val="238"/>
    </font>
    <font>
      <b/>
      <i/>
      <sz val="10"/>
      <color indexed="8"/>
      <name val="Georgia"/>
      <family val="1"/>
      <charset val="238"/>
    </font>
    <font>
      <b/>
      <i/>
      <sz val="9"/>
      <name val="Georgia"/>
      <family val="1"/>
      <charset val="238"/>
    </font>
    <font>
      <b/>
      <i/>
      <u/>
      <sz val="12"/>
      <name val="Georgia"/>
      <family val="1"/>
      <charset val="238"/>
    </font>
    <font>
      <b/>
      <i/>
      <u/>
      <sz val="11"/>
      <name val="Georgia"/>
      <family val="1"/>
      <charset val="238"/>
    </font>
    <font>
      <u/>
      <sz val="12"/>
      <name val="Georgia"/>
      <family val="1"/>
      <charset val="238"/>
    </font>
    <font>
      <b/>
      <i/>
      <u/>
      <sz val="14"/>
      <name val="Georgia"/>
      <family val="1"/>
      <charset val="238"/>
    </font>
    <font>
      <b/>
      <sz val="12"/>
      <name val="Georgia"/>
      <family val="1"/>
      <charset val="238"/>
    </font>
    <font>
      <i/>
      <sz val="12"/>
      <name val="Georgia"/>
      <family val="1"/>
      <charset val="238"/>
    </font>
    <font>
      <b/>
      <sz val="9"/>
      <name val="Georgia"/>
      <family val="1"/>
      <charset val="238"/>
    </font>
    <font>
      <sz val="11"/>
      <color indexed="8"/>
      <name val="Calibri"/>
      <family val="2"/>
      <charset val="238"/>
    </font>
    <font>
      <b/>
      <i/>
      <sz val="12"/>
      <color indexed="10"/>
      <name val="Georgia"/>
      <family val="1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6"/>
      <name val="Georgia"/>
      <family val="1"/>
      <charset val="238"/>
    </font>
    <font>
      <b/>
      <sz val="16"/>
      <name val="Georgia"/>
      <family val="1"/>
      <charset val="238"/>
    </font>
    <font>
      <sz val="18"/>
      <name val="Georgia"/>
      <family val="1"/>
      <charset val="238"/>
    </font>
    <font>
      <sz val="14"/>
      <color rgb="FFFF0000"/>
      <name val="Georgia"/>
      <family val="1"/>
      <charset val="238"/>
    </font>
    <font>
      <sz val="10"/>
      <color rgb="FFFF0000"/>
      <name val="Arial"/>
      <family val="2"/>
      <charset val="238"/>
    </font>
    <font>
      <sz val="11"/>
      <color theme="1"/>
      <name val="Georgia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0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</cellStyleXfs>
  <cellXfs count="2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4" fontId="5" fillId="0" borderId="1" xfId="4" applyNumberFormat="1" applyFont="1" applyFill="1" applyBorder="1" applyAlignment="1">
      <alignment horizontal="left" vertical="center" wrapText="1"/>
    </xf>
    <xf numFmtId="164" fontId="5" fillId="0" borderId="1" xfId="4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164" fontId="1" fillId="4" borderId="1" xfId="0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left" vertical="center" wrapText="1"/>
    </xf>
    <xf numFmtId="164" fontId="8" fillId="5" borderId="1" xfId="4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2" fillId="0" borderId="1" xfId="0" applyFont="1" applyFill="1" applyBorder="1" applyAlignment="1">
      <alignment horizontal="justify" wrapText="1"/>
    </xf>
    <xf numFmtId="0" fontId="2" fillId="0" borderId="1" xfId="0" applyFont="1" applyBorder="1" applyAlignment="1">
      <alignment horizontal="justify" wrapText="1"/>
    </xf>
    <xf numFmtId="0" fontId="1" fillId="2" borderId="1" xfId="0" applyFont="1" applyFill="1" applyBorder="1" applyAlignment="1">
      <alignment horizontal="justify" wrapText="1"/>
    </xf>
    <xf numFmtId="0" fontId="3" fillId="0" borderId="1" xfId="0" applyFont="1" applyFill="1" applyBorder="1" applyAlignment="1">
      <alignment horizontal="justify" wrapText="1"/>
    </xf>
    <xf numFmtId="0" fontId="2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/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5" fillId="0" borderId="1" xfId="4" applyNumberFormat="1" applyFont="1" applyFill="1" applyBorder="1" applyAlignment="1">
      <alignment vertical="center" wrapText="1"/>
    </xf>
    <xf numFmtId="3" fontId="12" fillId="0" borderId="1" xfId="4" applyNumberFormat="1" applyFont="1" applyFill="1" applyBorder="1" applyAlignment="1">
      <alignment horizontal="right" vertical="center" wrapText="1"/>
    </xf>
    <xf numFmtId="164" fontId="13" fillId="0" borderId="0" xfId="4" applyNumberFormat="1" applyFont="1" applyFill="1" applyBorder="1" applyAlignment="1">
      <alignment horizontal="left" vertical="center" wrapText="1"/>
    </xf>
    <xf numFmtId="164" fontId="14" fillId="0" borderId="1" xfId="4" applyNumberFormat="1" applyFont="1" applyFill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/>
    </xf>
    <xf numFmtId="0" fontId="15" fillId="0" borderId="0" xfId="0" applyFont="1"/>
    <xf numFmtId="0" fontId="16" fillId="0" borderId="0" xfId="0" applyFont="1"/>
    <xf numFmtId="164" fontId="17" fillId="0" borderId="0" xfId="4" applyNumberFormat="1" applyFont="1" applyFill="1" applyBorder="1" applyAlignment="1">
      <alignment horizontal="left" vertical="center" wrapText="1"/>
    </xf>
    <xf numFmtId="0" fontId="18" fillId="0" borderId="0" xfId="0" applyFont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19" fillId="0" borderId="0" xfId="0" applyFont="1"/>
    <xf numFmtId="0" fontId="20" fillId="0" borderId="0" xfId="0" applyFont="1"/>
    <xf numFmtId="0" fontId="15" fillId="0" borderId="0" xfId="0" applyFont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right" vertical="center"/>
    </xf>
    <xf numFmtId="3" fontId="21" fillId="0" borderId="1" xfId="4" applyNumberFormat="1" applyFont="1" applyFill="1" applyBorder="1" applyAlignment="1">
      <alignment horizontal="right" vertical="center" wrapText="1"/>
    </xf>
    <xf numFmtId="3" fontId="17" fillId="0" borderId="1" xfId="4" applyNumberFormat="1" applyFont="1" applyFill="1" applyBorder="1" applyAlignment="1">
      <alignment horizontal="right" vertical="center" wrapText="1"/>
    </xf>
    <xf numFmtId="3" fontId="17" fillId="0" borderId="1" xfId="3" applyNumberFormat="1" applyFont="1" applyFill="1" applyBorder="1" applyAlignment="1">
      <alignment horizontal="right" vertical="center"/>
    </xf>
    <xf numFmtId="164" fontId="22" fillId="0" borderId="0" xfId="4" applyNumberFormat="1" applyFont="1" applyFill="1" applyBorder="1" applyAlignment="1">
      <alignment horizontal="left" vertical="center" wrapText="1"/>
    </xf>
    <xf numFmtId="0" fontId="23" fillId="0" borderId="0" xfId="0" applyFont="1"/>
    <xf numFmtId="3" fontId="23" fillId="0" borderId="0" xfId="0" applyNumberFormat="1" applyFont="1"/>
    <xf numFmtId="164" fontId="17" fillId="0" borderId="0" xfId="4" applyNumberFormat="1" applyFont="1" applyFill="1" applyBorder="1" applyAlignment="1">
      <alignment horizontal="left" vertical="center"/>
    </xf>
    <xf numFmtId="164" fontId="21" fillId="0" borderId="0" xfId="4" applyNumberFormat="1" applyFont="1" applyFill="1" applyBorder="1" applyAlignment="1">
      <alignment horizontal="left" vertical="center" wrapText="1"/>
    </xf>
    <xf numFmtId="164" fontId="24" fillId="0" borderId="0" xfId="4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7" fillId="0" borderId="0" xfId="3" applyFont="1" applyFill="1" applyBorder="1" applyAlignment="1">
      <alignment horizontal="left" vertical="center"/>
    </xf>
    <xf numFmtId="0" fontId="11" fillId="0" borderId="0" xfId="0" applyFont="1"/>
    <xf numFmtId="0" fontId="7" fillId="0" borderId="1" xfId="0" applyFont="1" applyBorder="1" applyAlignment="1">
      <alignment horizontal="center" vertical="center" wrapText="1"/>
    </xf>
    <xf numFmtId="0" fontId="15" fillId="0" borderId="0" xfId="0" applyFont="1" applyFill="1"/>
    <xf numFmtId="0" fontId="15" fillId="0" borderId="0" xfId="0" applyFont="1" applyFill="1" applyAlignment="1">
      <alignment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26" fillId="0" borderId="1" xfId="0" applyFont="1" applyBorder="1" applyAlignment="1">
      <alignment wrapText="1"/>
    </xf>
    <xf numFmtId="3" fontId="15" fillId="0" borderId="1" xfId="0" applyNumberFormat="1" applyFont="1" applyBorder="1"/>
    <xf numFmtId="3" fontId="11" fillId="0" borderId="1" xfId="0" applyNumberFormat="1" applyFont="1" applyBorder="1"/>
    <xf numFmtId="3" fontId="15" fillId="0" borderId="1" xfId="0" applyNumberFormat="1" applyFont="1" applyBorder="1" applyAlignment="1">
      <alignment wrapText="1"/>
    </xf>
    <xf numFmtId="0" fontId="2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wrapText="1"/>
    </xf>
    <xf numFmtId="0" fontId="27" fillId="0" borderId="1" xfId="0" applyFont="1" applyBorder="1"/>
    <xf numFmtId="0" fontId="28" fillId="0" borderId="0" xfId="0" applyFont="1"/>
    <xf numFmtId="0" fontId="23" fillId="0" borderId="0" xfId="0" applyFont="1" applyFill="1" applyBorder="1"/>
    <xf numFmtId="0" fontId="25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30" fillId="0" borderId="1" xfId="0" applyFont="1" applyBorder="1" applyAlignment="1">
      <alignment wrapText="1"/>
    </xf>
    <xf numFmtId="0" fontId="9" fillId="0" borderId="0" xfId="0" applyFont="1"/>
    <xf numFmtId="0" fontId="15" fillId="0" borderId="0" xfId="0" applyFont="1" applyAlignment="1">
      <alignment vertical="center"/>
    </xf>
    <xf numFmtId="3" fontId="29" fillId="0" borderId="1" xfId="0" applyNumberFormat="1" applyFont="1" applyBorder="1" applyAlignment="1">
      <alignment vertical="center" wrapText="1"/>
    </xf>
    <xf numFmtId="3" fontId="28" fillId="0" borderId="1" xfId="0" applyNumberFormat="1" applyFont="1" applyBorder="1" applyAlignment="1">
      <alignment vertical="center"/>
    </xf>
    <xf numFmtId="3" fontId="23" fillId="0" borderId="1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15" fillId="0" borderId="1" xfId="0" applyFont="1" applyBorder="1" applyAlignment="1">
      <alignment vertical="center"/>
    </xf>
    <xf numFmtId="164" fontId="14" fillId="0" borderId="0" xfId="4" applyNumberFormat="1" applyFont="1" applyFill="1" applyBorder="1" applyAlignment="1">
      <alignment horizontal="left" vertical="center" wrapText="1"/>
    </xf>
    <xf numFmtId="3" fontId="21" fillId="0" borderId="0" xfId="4" applyNumberFormat="1" applyFont="1" applyFill="1" applyBorder="1" applyAlignment="1">
      <alignment horizontal="right" vertical="center" wrapText="1"/>
    </xf>
    <xf numFmtId="0" fontId="2" fillId="0" borderId="0" xfId="0" applyFont="1"/>
    <xf numFmtId="164" fontId="21" fillId="0" borderId="0" xfId="4" applyNumberFormat="1" applyFont="1" applyFill="1" applyBorder="1" applyAlignment="1">
      <alignment vertical="center" wrapText="1"/>
    </xf>
    <xf numFmtId="0" fontId="24" fillId="0" borderId="0" xfId="3" applyFont="1" applyFill="1" applyBorder="1" applyAlignment="1">
      <alignment horizontal="right" vertical="center"/>
    </xf>
    <xf numFmtId="0" fontId="15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0" fontId="20" fillId="0" borderId="0" xfId="0" applyFont="1" applyFill="1"/>
    <xf numFmtId="2" fontId="41" fillId="0" borderId="1" xfId="4" applyNumberFormat="1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3" xfId="0" applyFont="1" applyFill="1" applyBorder="1"/>
    <xf numFmtId="0" fontId="34" fillId="0" borderId="4" xfId="0" applyFont="1" applyFill="1" applyBorder="1"/>
    <xf numFmtId="0" fontId="31" fillId="6" borderId="5" xfId="0" applyFont="1" applyFill="1" applyBorder="1" applyAlignment="1">
      <alignment wrapText="1"/>
    </xf>
    <xf numFmtId="0" fontId="36" fillId="0" borderId="6" xfId="0" applyFont="1" applyFill="1" applyBorder="1" applyAlignment="1">
      <alignment wrapText="1"/>
    </xf>
    <xf numFmtId="0" fontId="37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Border="1"/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3" fontId="12" fillId="0" borderId="1" xfId="4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7" borderId="1" xfId="0" applyFont="1" applyFill="1" applyBorder="1" applyAlignment="1">
      <alignment horizontal="justify" wrapText="1"/>
    </xf>
    <xf numFmtId="0" fontId="2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wrapText="1"/>
    </xf>
    <xf numFmtId="164" fontId="6" fillId="0" borderId="6" xfId="4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0" fontId="30" fillId="0" borderId="1" xfId="0" applyFont="1" applyBorder="1"/>
    <xf numFmtId="0" fontId="25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0" fillId="0" borderId="0" xfId="0" applyFont="1"/>
    <xf numFmtId="0" fontId="3" fillId="0" borderId="1" xfId="0" applyFont="1" applyBorder="1" applyAlignment="1">
      <alignment horizontal="justify" vertical="center" wrapText="1"/>
    </xf>
    <xf numFmtId="0" fontId="38" fillId="0" borderId="1" xfId="0" applyFont="1" applyBorder="1" applyAlignment="1">
      <alignment wrapText="1"/>
    </xf>
    <xf numFmtId="168" fontId="15" fillId="0" borderId="1" xfId="1" applyNumberFormat="1" applyFont="1" applyBorder="1" applyAlignment="1">
      <alignment vertical="center" shrinkToFit="1"/>
    </xf>
    <xf numFmtId="168" fontId="11" fillId="0" borderId="1" xfId="1" applyNumberFormat="1" applyFont="1" applyBorder="1" applyAlignment="1">
      <alignment vertical="center" shrinkToFit="1"/>
    </xf>
    <xf numFmtId="0" fontId="43" fillId="0" borderId="0" xfId="2" applyAlignment="1" applyProtection="1"/>
    <xf numFmtId="0" fontId="11" fillId="0" borderId="0" xfId="0" applyFont="1" applyAlignment="1">
      <alignment wrapText="1"/>
    </xf>
    <xf numFmtId="0" fontId="18" fillId="0" borderId="0" xfId="0" applyFont="1" applyFill="1" applyAlignment="1"/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wrapText="1"/>
    </xf>
    <xf numFmtId="0" fontId="19" fillId="0" borderId="0" xfId="0" applyFont="1" applyFill="1"/>
    <xf numFmtId="0" fontId="9" fillId="0" borderId="0" xfId="0" applyFont="1" applyFill="1" applyAlignment="1">
      <alignment wrapText="1"/>
    </xf>
    <xf numFmtId="0" fontId="15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/>
    </xf>
    <xf numFmtId="164" fontId="8" fillId="2" borderId="1" xfId="4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justify" wrapText="1"/>
    </xf>
    <xf numFmtId="0" fontId="0" fillId="0" borderId="1" xfId="0" applyBorder="1" applyAlignment="1" applyProtection="1">
      <alignment wrapText="1"/>
      <protection locked="0"/>
    </xf>
    <xf numFmtId="3" fontId="12" fillId="0" borderId="1" xfId="4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2" fontId="41" fillId="0" borderId="0" xfId="4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justify" wrapText="1"/>
    </xf>
    <xf numFmtId="0" fontId="3" fillId="8" borderId="1" xfId="0" applyFont="1" applyFill="1" applyBorder="1" applyAlignment="1">
      <alignment wrapText="1"/>
    </xf>
    <xf numFmtId="164" fontId="6" fillId="8" borderId="1" xfId="4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center" vertical="center"/>
    </xf>
    <xf numFmtId="3" fontId="5" fillId="0" borderId="1" xfId="4" applyNumberFormat="1" applyFont="1" applyFill="1" applyBorder="1" applyAlignment="1">
      <alignment horizontal="center" vertical="center" wrapText="1"/>
    </xf>
    <xf numFmtId="164" fontId="5" fillId="0" borderId="13" xfId="4" applyNumberFormat="1" applyFont="1" applyFill="1" applyBorder="1" applyAlignment="1">
      <alignment vertical="center" wrapText="1"/>
    </xf>
    <xf numFmtId="168" fontId="25" fillId="0" borderId="1" xfId="1" applyNumberFormat="1" applyFont="1" applyBorder="1" applyAlignment="1">
      <alignment vertical="center" shrinkToFit="1"/>
    </xf>
    <xf numFmtId="0" fontId="28" fillId="0" borderId="1" xfId="0" applyFont="1" applyBorder="1" applyAlignment="1">
      <alignment wrapText="1"/>
    </xf>
    <xf numFmtId="0" fontId="28" fillId="0" borderId="1" xfId="0" applyFont="1" applyBorder="1" applyAlignment="1">
      <alignment vertical="center"/>
    </xf>
    <xf numFmtId="0" fontId="48" fillId="0" borderId="1" xfId="0" applyFont="1" applyBorder="1" applyAlignment="1">
      <alignment vertical="center"/>
    </xf>
    <xf numFmtId="0" fontId="28" fillId="0" borderId="0" xfId="0" applyFont="1" applyBorder="1"/>
    <xf numFmtId="0" fontId="28" fillId="0" borderId="0" xfId="0" applyFont="1" applyBorder="1" applyAlignment="1">
      <alignment vertical="center"/>
    </xf>
    <xf numFmtId="3" fontId="12" fillId="0" borderId="0" xfId="4" applyNumberFormat="1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34" fillId="0" borderId="12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28" fillId="0" borderId="1" xfId="0" applyFont="1" applyFill="1" applyBorder="1"/>
    <xf numFmtId="0" fontId="27" fillId="0" borderId="0" xfId="0" applyFont="1" applyBorder="1"/>
    <xf numFmtId="3" fontId="23" fillId="0" borderId="0" xfId="0" applyNumberFormat="1" applyFont="1" applyBorder="1" applyAlignment="1">
      <alignment vertical="center"/>
    </xf>
    <xf numFmtId="1" fontId="28" fillId="0" borderId="0" xfId="0" applyNumberFormat="1" applyFont="1" applyAlignment="1">
      <alignment vertical="center"/>
    </xf>
    <xf numFmtId="3" fontId="28" fillId="0" borderId="1" xfId="0" applyNumberFormat="1" applyFont="1" applyFill="1" applyBorder="1" applyAlignment="1">
      <alignment wrapText="1"/>
    </xf>
    <xf numFmtId="1" fontId="47" fillId="0" borderId="0" xfId="0" applyNumberFormat="1" applyFont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1" fontId="28" fillId="0" borderId="1" xfId="0" applyNumberFormat="1" applyFont="1" applyBorder="1" applyAlignment="1">
      <alignment vertical="center"/>
    </xf>
    <xf numFmtId="1" fontId="45" fillId="0" borderId="1" xfId="0" applyNumberFormat="1" applyFont="1" applyBorder="1" applyAlignment="1">
      <alignment vertical="center"/>
    </xf>
    <xf numFmtId="1" fontId="46" fillId="0" borderId="1" xfId="0" applyNumberFormat="1" applyFont="1" applyBorder="1" applyAlignment="1">
      <alignment vertical="center"/>
    </xf>
    <xf numFmtId="1" fontId="48" fillId="0" borderId="1" xfId="0" applyNumberFormat="1" applyFont="1" applyFill="1" applyBorder="1" applyAlignment="1">
      <alignment vertical="center"/>
    </xf>
    <xf numFmtId="0" fontId="48" fillId="0" borderId="1" xfId="0" applyFont="1" applyFill="1" applyBorder="1" applyAlignment="1">
      <alignment vertical="center"/>
    </xf>
    <xf numFmtId="164" fontId="3" fillId="10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164" fontId="17" fillId="0" borderId="0" xfId="4" applyNumberFormat="1" applyFont="1" applyFill="1" applyBorder="1" applyAlignment="1">
      <alignment horizontal="center" vertical="center" wrapText="1"/>
    </xf>
    <xf numFmtId="168" fontId="15" fillId="0" borderId="0" xfId="1" applyNumberFormat="1" applyFont="1"/>
    <xf numFmtId="168" fontId="2" fillId="0" borderId="1" xfId="1" applyNumberFormat="1" applyFont="1" applyBorder="1" applyAlignment="1">
      <alignment horizontal="center" vertical="center" wrapText="1"/>
    </xf>
    <xf numFmtId="168" fontId="17" fillId="0" borderId="1" xfId="1" applyNumberFormat="1" applyFont="1" applyFill="1" applyBorder="1" applyAlignment="1">
      <alignment horizontal="right" vertical="center"/>
    </xf>
    <xf numFmtId="168" fontId="17" fillId="0" borderId="1" xfId="1" applyNumberFormat="1" applyFont="1" applyFill="1" applyBorder="1" applyAlignment="1">
      <alignment horizontal="right" vertical="center" wrapText="1"/>
    </xf>
    <xf numFmtId="168" fontId="21" fillId="0" borderId="1" xfId="1" applyNumberFormat="1" applyFont="1" applyFill="1" applyBorder="1" applyAlignment="1">
      <alignment horizontal="right" vertical="center" wrapText="1"/>
    </xf>
    <xf numFmtId="168" fontId="17" fillId="0" borderId="0" xfId="1" applyNumberFormat="1" applyFont="1" applyFill="1" applyBorder="1" applyAlignment="1">
      <alignment horizontal="center" vertical="center" wrapText="1"/>
    </xf>
    <xf numFmtId="168" fontId="21" fillId="0" borderId="0" xfId="1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/>
    </xf>
    <xf numFmtId="3" fontId="12" fillId="0" borderId="14" xfId="4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3" fontId="34" fillId="0" borderId="12" xfId="0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vertical="center" wrapText="1"/>
    </xf>
    <xf numFmtId="3" fontId="15" fillId="0" borderId="0" xfId="0" applyNumberFormat="1" applyFont="1"/>
    <xf numFmtId="0" fontId="49" fillId="0" borderId="0" xfId="0" applyFont="1" applyFill="1"/>
    <xf numFmtId="0" fontId="2" fillId="0" borderId="9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1" fontId="27" fillId="0" borderId="6" xfId="0" applyNumberFormat="1" applyFont="1" applyFill="1" applyBorder="1" applyAlignment="1">
      <alignment horizontal="center" vertical="center"/>
    </xf>
    <xf numFmtId="168" fontId="15" fillId="0" borderId="0" xfId="1" applyNumberFormat="1" applyFont="1" applyFill="1"/>
    <xf numFmtId="168" fontId="19" fillId="0" borderId="1" xfId="1" applyNumberFormat="1" applyFont="1" applyBorder="1" applyAlignment="1">
      <alignment horizontal="center" vertical="center" wrapText="1"/>
    </xf>
    <xf numFmtId="168" fontId="15" fillId="0" borderId="1" xfId="1" applyNumberFormat="1" applyFont="1" applyBorder="1" applyAlignment="1">
      <alignment horizontal="center"/>
    </xf>
    <xf numFmtId="168" fontId="15" fillId="0" borderId="1" xfId="1" applyNumberFormat="1" applyFont="1" applyBorder="1"/>
    <xf numFmtId="168" fontId="11" fillId="0" borderId="1" xfId="1" applyNumberFormat="1" applyFont="1" applyBorder="1"/>
    <xf numFmtId="0" fontId="15" fillId="0" borderId="0" xfId="0" applyFont="1" applyFill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9" fillId="0" borderId="0" xfId="0" applyFont="1" applyAlignment="1">
      <alignment wrapText="1"/>
    </xf>
    <xf numFmtId="1" fontId="15" fillId="0" borderId="0" xfId="0" applyNumberFormat="1" applyFont="1" applyAlignment="1">
      <alignment horizontal="right" vertical="center"/>
    </xf>
  </cellXfs>
  <cellStyles count="5">
    <cellStyle name="Ezres" xfId="1" builtinId="3"/>
    <cellStyle name="Hivatkozás" xfId="2" builtinId="8"/>
    <cellStyle name="Normál" xfId="0" builtinId="0"/>
    <cellStyle name="Normál_70ûrlap" xfId="3"/>
    <cellStyle name="Normál_97ûrlap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-ROZSA\Dokumentumok\Users\pugy\Documents\K&#246;lts&#233;gvet&#233;s%20&#233;s%20EI%20m&#243;d.%202012\2013%20Feb.12-i%20&#252;l&#233;s%20Ktgvet&#233;s%203.sz.%20m&#243;dos&#237;t&#225;sa\2013.02.12-i%20&#252;l&#233;s%202012.%20&#233;vi%20k&#246;lts&#233;gvet&#233;si%20rendelet%203.sz.%20EI%20m&#243;d%202012.10.01-12.31-ig%20mell&#233;klet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bevétel-kiadás"/>
      <sheetName val="2 finanszírozás"/>
      <sheetName val="3 támért kiadás"/>
      <sheetName val="4 átadott pénzeszköz"/>
      <sheetName val="5 beruházás felújítás"/>
      <sheetName val="6 támért bevétel"/>
      <sheetName val="7 átvett pénzeszköz"/>
      <sheetName val="8 felhalmozási és műk-i bev"/>
      <sheetName val="9 helyi adók"/>
      <sheetName val="10 állami támogatás"/>
      <sheetName val="11 tartalékok"/>
      <sheetName val="12 EU projektek"/>
      <sheetName val="13 létszám"/>
      <sheetName val="14 stabilitási tv"/>
      <sheetName val="15 több éves"/>
      <sheetName val="16 közvetett"/>
      <sheetName val="17 mérleg összesen"/>
      <sheetName val="18a, Önk. ei. f. ütemterv"/>
      <sheetName val="18b, PH ei. f. ütemterv"/>
      <sheetName val="18c, ÁMK ei. f. ütemterv"/>
      <sheetName val="18d, Temüsz ei. f. ütemterv"/>
      <sheetName val="18e, Óvoda ei.f. ütemterv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1"/>
  <sheetViews>
    <sheetView view="pageBreakPreview" zoomScale="59" zoomScaleNormal="60" zoomScaleSheetLayoutView="59" workbookViewId="0">
      <pane ySplit="6" topLeftCell="A7" activePane="bottomLeft" state="frozen"/>
      <selection pane="bottomLeft" activeCell="E13" sqref="E13"/>
    </sheetView>
  </sheetViews>
  <sheetFormatPr defaultRowHeight="12.75"/>
  <cols>
    <col min="1" max="1" width="7.28515625" style="34" customWidth="1"/>
    <col min="2" max="2" width="55" style="60" customWidth="1"/>
    <col min="3" max="4" width="19.42578125" style="142" customWidth="1"/>
    <col min="5" max="6" width="19.28515625" style="142" customWidth="1"/>
    <col min="7" max="10" width="18.5703125" style="142" customWidth="1"/>
    <col min="11" max="11" width="17.28515625" style="142" customWidth="1"/>
    <col min="12" max="12" width="17.42578125" style="142" customWidth="1"/>
    <col min="13" max="13" width="18.28515625" style="142" customWidth="1"/>
    <col min="14" max="14" width="18.5703125" style="142" customWidth="1"/>
    <col min="15" max="15" width="18.28515625" style="142" customWidth="1"/>
    <col min="16" max="16" width="18.5703125" style="142" customWidth="1"/>
    <col min="17" max="24" width="9.140625" style="59" customWidth="1"/>
    <col min="25" max="16384" width="9.140625" style="34"/>
  </cols>
  <sheetData>
    <row r="1" spans="1:16" ht="27">
      <c r="B1" s="141" t="s">
        <v>265</v>
      </c>
      <c r="C1" s="223" t="s">
        <v>312</v>
      </c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</row>
    <row r="2" spans="1:16" ht="27">
      <c r="B2" s="141"/>
    </row>
    <row r="3" spans="1:16" ht="20.25">
      <c r="B3" s="143" t="s">
        <v>266</v>
      </c>
    </row>
    <row r="4" spans="1:16" ht="20.25">
      <c r="B4" s="143"/>
      <c r="O4" s="142" t="s">
        <v>0</v>
      </c>
    </row>
    <row r="5" spans="1:16" ht="71.25">
      <c r="B5" s="144" t="s">
        <v>1</v>
      </c>
      <c r="C5" s="145" t="s">
        <v>2</v>
      </c>
      <c r="D5" s="145" t="s">
        <v>79</v>
      </c>
      <c r="E5" s="145" t="s">
        <v>78</v>
      </c>
      <c r="F5" s="145" t="s">
        <v>80</v>
      </c>
      <c r="G5" s="145" t="s">
        <v>3</v>
      </c>
      <c r="H5" s="145" t="s">
        <v>81</v>
      </c>
      <c r="I5" s="145" t="s">
        <v>85</v>
      </c>
      <c r="J5" s="145" t="s">
        <v>82</v>
      </c>
      <c r="K5" s="146" t="s">
        <v>4</v>
      </c>
      <c r="L5" s="146" t="s">
        <v>5</v>
      </c>
      <c r="M5" s="146" t="s">
        <v>83</v>
      </c>
      <c r="N5" s="146" t="s">
        <v>84</v>
      </c>
      <c r="O5" s="146" t="s">
        <v>86</v>
      </c>
      <c r="P5" s="146" t="s">
        <v>87</v>
      </c>
    </row>
    <row r="6" spans="1:16" ht="14.25">
      <c r="B6" s="144" t="s">
        <v>6</v>
      </c>
      <c r="C6" s="145" t="s">
        <v>7</v>
      </c>
      <c r="D6" s="144" t="s">
        <v>8</v>
      </c>
      <c r="E6" s="145" t="s">
        <v>9</v>
      </c>
      <c r="F6" s="145" t="s">
        <v>10</v>
      </c>
      <c r="G6" s="145" t="s">
        <v>11</v>
      </c>
      <c r="H6" s="145" t="s">
        <v>12</v>
      </c>
      <c r="I6" s="145" t="s">
        <v>13</v>
      </c>
      <c r="J6" s="145" t="s">
        <v>14</v>
      </c>
      <c r="K6" s="146" t="s">
        <v>15</v>
      </c>
      <c r="L6" s="146" t="s">
        <v>16</v>
      </c>
      <c r="M6" s="146" t="s">
        <v>17</v>
      </c>
      <c r="N6" s="146" t="s">
        <v>18</v>
      </c>
      <c r="O6" s="146" t="s">
        <v>91</v>
      </c>
      <c r="P6" s="146" t="s">
        <v>92</v>
      </c>
    </row>
    <row r="7" spans="1:16" ht="84" customHeight="1">
      <c r="A7" s="34">
        <v>1</v>
      </c>
      <c r="B7" s="147" t="s">
        <v>19</v>
      </c>
      <c r="C7" s="148">
        <f>35946-1</f>
        <v>35945</v>
      </c>
      <c r="D7" s="148">
        <f>280+1775+15279+190+3840+1600+3915+746+8086+554+2865</f>
        <v>39130</v>
      </c>
      <c r="E7" s="148">
        <v>401</v>
      </c>
      <c r="F7" s="148">
        <f>1+400</f>
        <v>401</v>
      </c>
      <c r="G7" s="148">
        <f>120197-1</f>
        <v>120196</v>
      </c>
      <c r="H7" s="148">
        <f>1900+7340+28165+3375+3844+62208+2734+26473+1032</f>
        <v>137071</v>
      </c>
      <c r="I7" s="148">
        <f>23369+2</f>
        <v>23371</v>
      </c>
      <c r="J7" s="148">
        <f>12529+2542+3258+5033+2+7</f>
        <v>23371</v>
      </c>
      <c r="K7" s="148">
        <f>C7+E7+G7+I7</f>
        <v>179913</v>
      </c>
      <c r="L7" s="148">
        <f>D7+F7+H7+J7</f>
        <v>199973</v>
      </c>
      <c r="M7" s="148">
        <f>C7+E7+G7+I7</f>
        <v>179913</v>
      </c>
      <c r="N7" s="148">
        <v>0</v>
      </c>
      <c r="O7" s="148">
        <f>D7+F7+H7+J7</f>
        <v>199973</v>
      </c>
      <c r="P7" s="148">
        <v>0</v>
      </c>
    </row>
    <row r="8" spans="1:16" ht="42.75">
      <c r="A8" s="34">
        <v>2</v>
      </c>
      <c r="B8" s="147" t="s">
        <v>20</v>
      </c>
      <c r="C8" s="149">
        <f>SUM(C9:C12)</f>
        <v>178000</v>
      </c>
      <c r="D8" s="149">
        <f t="shared" ref="D8:I8" si="0">SUM(D9:D12)</f>
        <v>179275</v>
      </c>
      <c r="E8" s="149">
        <f t="shared" si="0"/>
        <v>0</v>
      </c>
      <c r="F8" s="149">
        <f t="shared" si="0"/>
        <v>0</v>
      </c>
      <c r="G8" s="149">
        <f t="shared" si="0"/>
        <v>0</v>
      </c>
      <c r="H8" s="149">
        <f t="shared" si="0"/>
        <v>0</v>
      </c>
      <c r="I8" s="149">
        <f t="shared" si="0"/>
        <v>0</v>
      </c>
      <c r="J8" s="149">
        <f>SUM(J9:J12)</f>
        <v>0</v>
      </c>
      <c r="K8" s="148">
        <f t="shared" ref="K8:K32" si="1">C8+E8+G8+I8</f>
        <v>178000</v>
      </c>
      <c r="L8" s="148">
        <f t="shared" ref="L8:L32" si="2">D8+F8+H8+J8</f>
        <v>179275</v>
      </c>
      <c r="M8" s="148">
        <f t="shared" ref="M8:M32" si="3">C8+E8+G8+I8</f>
        <v>178000</v>
      </c>
      <c r="N8" s="148">
        <v>0</v>
      </c>
      <c r="O8" s="148">
        <f t="shared" ref="O8:O32" si="4">D8+F8+H8+J8</f>
        <v>179275</v>
      </c>
      <c r="P8" s="148">
        <v>0</v>
      </c>
    </row>
    <row r="9" spans="1:16" ht="14.25">
      <c r="A9" s="34">
        <v>3</v>
      </c>
      <c r="B9" s="5" t="s">
        <v>21</v>
      </c>
      <c r="C9" s="6">
        <v>171000</v>
      </c>
      <c r="D9" s="6">
        <f>74300+50+30000+25000+2000+40925</f>
        <v>172275</v>
      </c>
      <c r="E9" s="6"/>
      <c r="F9" s="6"/>
      <c r="G9" s="6"/>
      <c r="H9" s="6"/>
      <c r="I9" s="6"/>
      <c r="J9" s="6"/>
      <c r="K9" s="148">
        <f t="shared" si="1"/>
        <v>171000</v>
      </c>
      <c r="L9" s="148">
        <f t="shared" si="2"/>
        <v>172275</v>
      </c>
      <c r="M9" s="148">
        <f t="shared" si="3"/>
        <v>171000</v>
      </c>
      <c r="N9" s="149">
        <v>0</v>
      </c>
      <c r="O9" s="148">
        <f t="shared" si="4"/>
        <v>172275</v>
      </c>
      <c r="P9" s="148">
        <v>0</v>
      </c>
    </row>
    <row r="10" spans="1:16" ht="14.25">
      <c r="A10" s="34">
        <v>4</v>
      </c>
      <c r="B10" s="5" t="s">
        <v>22</v>
      </c>
      <c r="C10" s="6"/>
      <c r="D10" s="6"/>
      <c r="E10" s="6"/>
      <c r="F10" s="6"/>
      <c r="G10" s="6"/>
      <c r="H10" s="6"/>
      <c r="I10" s="6"/>
      <c r="J10" s="6"/>
      <c r="K10" s="148">
        <f t="shared" si="1"/>
        <v>0</v>
      </c>
      <c r="L10" s="148">
        <f t="shared" si="2"/>
        <v>0</v>
      </c>
      <c r="M10" s="148">
        <f t="shared" si="3"/>
        <v>0</v>
      </c>
      <c r="N10" s="148">
        <v>0</v>
      </c>
      <c r="O10" s="148">
        <f t="shared" si="4"/>
        <v>0</v>
      </c>
      <c r="P10" s="148">
        <v>0</v>
      </c>
    </row>
    <row r="11" spans="1:16" ht="14.25">
      <c r="A11" s="34">
        <v>5</v>
      </c>
      <c r="B11" s="5" t="s">
        <v>23</v>
      </c>
      <c r="C11" s="6">
        <v>1000</v>
      </c>
      <c r="D11" s="6">
        <v>1000</v>
      </c>
      <c r="E11" s="6"/>
      <c r="F11" s="6"/>
      <c r="G11" s="6"/>
      <c r="H11" s="6"/>
      <c r="I11" s="6"/>
      <c r="J11" s="6"/>
      <c r="K11" s="148">
        <f t="shared" si="1"/>
        <v>1000</v>
      </c>
      <c r="L11" s="148">
        <f t="shared" si="2"/>
        <v>1000</v>
      </c>
      <c r="M11" s="148">
        <f t="shared" si="3"/>
        <v>1000</v>
      </c>
      <c r="N11" s="148">
        <v>0</v>
      </c>
      <c r="O11" s="148">
        <f t="shared" si="4"/>
        <v>1000</v>
      </c>
      <c r="P11" s="148">
        <v>0</v>
      </c>
    </row>
    <row r="12" spans="1:16" ht="14.25">
      <c r="A12" s="34">
        <v>6</v>
      </c>
      <c r="B12" s="5" t="s">
        <v>88</v>
      </c>
      <c r="C12" s="6">
        <v>6000</v>
      </c>
      <c r="D12" s="6">
        <v>6000</v>
      </c>
      <c r="E12" s="6"/>
      <c r="F12" s="6"/>
      <c r="G12" s="6"/>
      <c r="H12" s="6"/>
      <c r="I12" s="6"/>
      <c r="J12" s="6"/>
      <c r="K12" s="148">
        <f t="shared" si="1"/>
        <v>6000</v>
      </c>
      <c r="L12" s="148">
        <f t="shared" si="2"/>
        <v>6000</v>
      </c>
      <c r="M12" s="148">
        <f t="shared" si="3"/>
        <v>6000</v>
      </c>
      <c r="N12" s="148">
        <v>0</v>
      </c>
      <c r="O12" s="148">
        <f t="shared" si="4"/>
        <v>6000</v>
      </c>
      <c r="P12" s="148">
        <v>0</v>
      </c>
    </row>
    <row r="13" spans="1:16" ht="28.5">
      <c r="A13" s="34">
        <v>7</v>
      </c>
      <c r="B13" s="169" t="s">
        <v>24</v>
      </c>
      <c r="C13" s="9">
        <v>0</v>
      </c>
      <c r="D13" s="9">
        <v>0</v>
      </c>
      <c r="E13" s="170">
        <v>58182</v>
      </c>
      <c r="F13" s="170">
        <v>56021</v>
      </c>
      <c r="G13" s="170">
        <v>59201</v>
      </c>
      <c r="H13" s="170">
        <v>46290</v>
      </c>
      <c r="I13" s="170">
        <v>45331</v>
      </c>
      <c r="J13" s="170">
        <v>43197</v>
      </c>
      <c r="K13" s="171">
        <f t="shared" si="1"/>
        <v>162714</v>
      </c>
      <c r="L13" s="171">
        <f t="shared" si="2"/>
        <v>145508</v>
      </c>
      <c r="M13" s="171">
        <f t="shared" si="3"/>
        <v>162714</v>
      </c>
      <c r="N13" s="171">
        <v>0</v>
      </c>
      <c r="O13" s="171">
        <f t="shared" si="4"/>
        <v>145508</v>
      </c>
      <c r="P13" s="171">
        <v>0</v>
      </c>
    </row>
    <row r="14" spans="1:16" ht="14.25">
      <c r="A14" s="34">
        <v>8</v>
      </c>
      <c r="B14" s="147" t="s">
        <v>25</v>
      </c>
      <c r="C14" s="148">
        <v>171876</v>
      </c>
      <c r="D14" s="148">
        <f>130623+29386+10949+1906+1998</f>
        <v>174862</v>
      </c>
      <c r="E14" s="148"/>
      <c r="F14" s="148"/>
      <c r="G14" s="148"/>
      <c r="H14" s="148"/>
      <c r="I14" s="148"/>
      <c r="J14" s="148"/>
      <c r="K14" s="148">
        <f t="shared" si="1"/>
        <v>171876</v>
      </c>
      <c r="L14" s="148">
        <f t="shared" si="2"/>
        <v>174862</v>
      </c>
      <c r="M14" s="148">
        <f t="shared" si="3"/>
        <v>171876</v>
      </c>
      <c r="N14" s="148">
        <v>0</v>
      </c>
      <c r="O14" s="148">
        <f t="shared" si="4"/>
        <v>174862</v>
      </c>
      <c r="P14" s="148">
        <v>0</v>
      </c>
    </row>
    <row r="15" spans="1:16" ht="28.5">
      <c r="A15" s="34">
        <v>9</v>
      </c>
      <c r="B15" s="147" t="s">
        <v>26</v>
      </c>
      <c r="C15" s="148">
        <v>53381</v>
      </c>
      <c r="D15" s="148">
        <f>22721+1000+5000+2235+27200+182</f>
        <v>58338</v>
      </c>
      <c r="E15" s="148"/>
      <c r="F15" s="148"/>
      <c r="G15" s="148"/>
      <c r="H15" s="148"/>
      <c r="I15" s="148"/>
      <c r="J15" s="148"/>
      <c r="K15" s="148">
        <f t="shared" si="1"/>
        <v>53381</v>
      </c>
      <c r="L15" s="148">
        <f t="shared" si="2"/>
        <v>58338</v>
      </c>
      <c r="M15" s="148">
        <f t="shared" si="3"/>
        <v>53381</v>
      </c>
      <c r="N15" s="148">
        <v>0</v>
      </c>
      <c r="O15" s="148">
        <f t="shared" si="4"/>
        <v>58338</v>
      </c>
      <c r="P15" s="148">
        <v>0</v>
      </c>
    </row>
    <row r="16" spans="1:16" ht="24.75" customHeight="1">
      <c r="A16" s="34">
        <v>10</v>
      </c>
      <c r="B16" s="147" t="s">
        <v>27</v>
      </c>
      <c r="C16" s="148">
        <v>50</v>
      </c>
      <c r="D16" s="148">
        <v>50</v>
      </c>
      <c r="E16" s="148"/>
      <c r="F16" s="148"/>
      <c r="G16" s="148"/>
      <c r="H16" s="148"/>
      <c r="I16" s="148"/>
      <c r="J16" s="148"/>
      <c r="K16" s="148">
        <f t="shared" si="1"/>
        <v>50</v>
      </c>
      <c r="L16" s="148">
        <f t="shared" si="2"/>
        <v>50</v>
      </c>
      <c r="M16" s="148">
        <f t="shared" si="3"/>
        <v>50</v>
      </c>
      <c r="N16" s="148">
        <v>0</v>
      </c>
      <c r="O16" s="148">
        <f t="shared" si="4"/>
        <v>50</v>
      </c>
      <c r="P16" s="148">
        <v>0</v>
      </c>
    </row>
    <row r="17" spans="1:24" ht="28.5">
      <c r="A17" s="34">
        <v>11</v>
      </c>
      <c r="B17" s="147" t="s">
        <v>28</v>
      </c>
      <c r="C17" s="148"/>
      <c r="D17" s="148"/>
      <c r="E17" s="148"/>
      <c r="F17" s="148"/>
      <c r="G17" s="148"/>
      <c r="H17" s="148"/>
      <c r="I17" s="148"/>
      <c r="J17" s="148"/>
      <c r="K17" s="148">
        <f t="shared" si="1"/>
        <v>0</v>
      </c>
      <c r="L17" s="148">
        <f t="shared" si="2"/>
        <v>0</v>
      </c>
      <c r="M17" s="148">
        <f t="shared" si="3"/>
        <v>0</v>
      </c>
      <c r="N17" s="148">
        <v>0</v>
      </c>
      <c r="O17" s="148">
        <f t="shared" si="4"/>
        <v>0</v>
      </c>
      <c r="P17" s="148">
        <v>0</v>
      </c>
    </row>
    <row r="18" spans="1:24" ht="14.25">
      <c r="A18" s="34">
        <v>12</v>
      </c>
      <c r="B18" s="158" t="s">
        <v>29</v>
      </c>
      <c r="C18" s="13">
        <f>C7+C8+C14+C15+C16+C17+C13</f>
        <v>439252</v>
      </c>
      <c r="D18" s="13">
        <f t="shared" ref="D18:J18" si="5">D7+D8+D14+D15+D16+D17+D13</f>
        <v>451655</v>
      </c>
      <c r="E18" s="13">
        <f t="shared" si="5"/>
        <v>58583</v>
      </c>
      <c r="F18" s="13">
        <f t="shared" si="5"/>
        <v>56422</v>
      </c>
      <c r="G18" s="13">
        <f>G7+G8+G14+G15+G16+G17+G13</f>
        <v>179397</v>
      </c>
      <c r="H18" s="13">
        <f t="shared" si="5"/>
        <v>183361</v>
      </c>
      <c r="I18" s="13">
        <f t="shared" si="5"/>
        <v>68702</v>
      </c>
      <c r="J18" s="13">
        <f t="shared" si="5"/>
        <v>66568</v>
      </c>
      <c r="K18" s="159">
        <f t="shared" si="1"/>
        <v>745934</v>
      </c>
      <c r="L18" s="159">
        <f t="shared" si="2"/>
        <v>758006</v>
      </c>
      <c r="M18" s="159">
        <f t="shared" si="3"/>
        <v>745934</v>
      </c>
      <c r="N18" s="159">
        <v>0</v>
      </c>
      <c r="O18" s="171">
        <f t="shared" si="4"/>
        <v>758006</v>
      </c>
      <c r="P18" s="159">
        <v>0</v>
      </c>
    </row>
    <row r="19" spans="1:24" ht="28.5">
      <c r="A19" s="34">
        <v>13</v>
      </c>
      <c r="B19" s="147" t="s">
        <v>30</v>
      </c>
      <c r="C19" s="9">
        <v>50033</v>
      </c>
      <c r="D19" s="9">
        <f>18357+5000+26676</f>
        <v>50033</v>
      </c>
      <c r="E19" s="9"/>
      <c r="F19" s="9"/>
      <c r="G19" s="9"/>
      <c r="H19" s="9"/>
      <c r="I19" s="9"/>
      <c r="J19" s="9"/>
      <c r="K19" s="148">
        <f t="shared" si="1"/>
        <v>50033</v>
      </c>
      <c r="L19" s="148">
        <f t="shared" si="2"/>
        <v>50033</v>
      </c>
      <c r="M19" s="148">
        <f t="shared" si="3"/>
        <v>50033</v>
      </c>
      <c r="N19" s="148">
        <v>0</v>
      </c>
      <c r="O19" s="148">
        <f t="shared" si="4"/>
        <v>50033</v>
      </c>
      <c r="P19" s="148">
        <v>0</v>
      </c>
    </row>
    <row r="20" spans="1:24" ht="28.5">
      <c r="A20" s="34">
        <v>14</v>
      </c>
      <c r="B20" s="147" t="s">
        <v>31</v>
      </c>
      <c r="C20" s="9">
        <v>50</v>
      </c>
      <c r="D20" s="9">
        <v>160</v>
      </c>
      <c r="E20" s="9"/>
      <c r="F20" s="9"/>
      <c r="G20" s="9"/>
      <c r="H20" s="9"/>
      <c r="I20" s="9"/>
      <c r="J20" s="9"/>
      <c r="K20" s="148">
        <f t="shared" si="1"/>
        <v>50</v>
      </c>
      <c r="L20" s="148">
        <f t="shared" si="2"/>
        <v>160</v>
      </c>
      <c r="M20" s="148">
        <f t="shared" si="3"/>
        <v>50</v>
      </c>
      <c r="N20" s="148">
        <v>0</v>
      </c>
      <c r="O20" s="148">
        <f t="shared" si="4"/>
        <v>160</v>
      </c>
      <c r="P20" s="148">
        <v>0</v>
      </c>
    </row>
    <row r="21" spans="1:24" ht="42.75">
      <c r="A21" s="34">
        <v>15</v>
      </c>
      <c r="B21" s="147" t="s">
        <v>32</v>
      </c>
      <c r="C21" s="9">
        <v>0</v>
      </c>
      <c r="D21" s="9">
        <v>236</v>
      </c>
      <c r="E21" s="9"/>
      <c r="F21" s="9"/>
      <c r="G21" s="9"/>
      <c r="H21" s="9"/>
      <c r="I21" s="9"/>
      <c r="J21" s="9"/>
      <c r="K21" s="148">
        <f t="shared" si="1"/>
        <v>0</v>
      </c>
      <c r="L21" s="148">
        <f t="shared" si="2"/>
        <v>236</v>
      </c>
      <c r="M21" s="148">
        <f t="shared" si="3"/>
        <v>0</v>
      </c>
      <c r="N21" s="148">
        <v>0</v>
      </c>
      <c r="O21" s="148">
        <f t="shared" si="4"/>
        <v>236</v>
      </c>
      <c r="P21" s="148">
        <v>0</v>
      </c>
    </row>
    <row r="22" spans="1:24" ht="28.5">
      <c r="A22" s="34">
        <v>16</v>
      </c>
      <c r="B22" s="147" t="s">
        <v>33</v>
      </c>
      <c r="C22" s="148"/>
      <c r="D22" s="148"/>
      <c r="E22" s="148"/>
      <c r="F22" s="148"/>
      <c r="G22" s="148"/>
      <c r="H22" s="148"/>
      <c r="I22" s="148"/>
      <c r="J22" s="148"/>
      <c r="K22" s="148">
        <f t="shared" si="1"/>
        <v>0</v>
      </c>
      <c r="L22" s="148">
        <f t="shared" si="2"/>
        <v>0</v>
      </c>
      <c r="M22" s="148">
        <f t="shared" si="3"/>
        <v>0</v>
      </c>
      <c r="N22" s="148">
        <v>0</v>
      </c>
      <c r="O22" s="148">
        <f t="shared" si="4"/>
        <v>0</v>
      </c>
      <c r="P22" s="148">
        <v>0</v>
      </c>
    </row>
    <row r="23" spans="1:24" ht="28.5">
      <c r="A23" s="34">
        <v>17</v>
      </c>
      <c r="B23" s="147" t="s">
        <v>34</v>
      </c>
      <c r="C23" s="148"/>
      <c r="D23" s="148"/>
      <c r="E23" s="148"/>
      <c r="F23" s="148"/>
      <c r="G23" s="148"/>
      <c r="H23" s="148"/>
      <c r="I23" s="148"/>
      <c r="J23" s="148"/>
      <c r="K23" s="148">
        <f t="shared" si="1"/>
        <v>0</v>
      </c>
      <c r="L23" s="148">
        <f t="shared" si="2"/>
        <v>0</v>
      </c>
      <c r="M23" s="148">
        <f t="shared" si="3"/>
        <v>0</v>
      </c>
      <c r="N23" s="148">
        <v>0</v>
      </c>
      <c r="O23" s="148">
        <f t="shared" si="4"/>
        <v>0</v>
      </c>
      <c r="P23" s="148">
        <v>0</v>
      </c>
    </row>
    <row r="24" spans="1:24" ht="14.25">
      <c r="A24" s="34">
        <v>18</v>
      </c>
      <c r="B24" s="158" t="s">
        <v>35</v>
      </c>
      <c r="C24" s="13">
        <f>SUM(C19:C23)</f>
        <v>50083</v>
      </c>
      <c r="D24" s="13">
        <f t="shared" ref="D24:I24" si="6">SUM(D19:D23)</f>
        <v>50429</v>
      </c>
      <c r="E24" s="13">
        <f t="shared" si="6"/>
        <v>0</v>
      </c>
      <c r="F24" s="13">
        <f t="shared" si="6"/>
        <v>0</v>
      </c>
      <c r="G24" s="13">
        <f t="shared" si="6"/>
        <v>0</v>
      </c>
      <c r="H24" s="13">
        <f t="shared" si="6"/>
        <v>0</v>
      </c>
      <c r="I24" s="13">
        <f t="shared" si="6"/>
        <v>0</v>
      </c>
      <c r="J24" s="13">
        <f>SUM(J19:J23)</f>
        <v>0</v>
      </c>
      <c r="K24" s="159">
        <f t="shared" si="1"/>
        <v>50083</v>
      </c>
      <c r="L24" s="159">
        <f t="shared" si="2"/>
        <v>50429</v>
      </c>
      <c r="M24" s="159">
        <f t="shared" si="3"/>
        <v>50083</v>
      </c>
      <c r="N24" s="159">
        <v>0</v>
      </c>
      <c r="O24" s="171">
        <f t="shared" si="4"/>
        <v>50429</v>
      </c>
      <c r="P24" s="159">
        <v>0</v>
      </c>
    </row>
    <row r="25" spans="1:24" ht="14.25">
      <c r="A25" s="34">
        <v>19</v>
      </c>
      <c r="B25" s="93" t="s">
        <v>40</v>
      </c>
      <c r="C25" s="150">
        <f>C24+C18-E13-G13-I13</f>
        <v>326621</v>
      </c>
      <c r="D25" s="150">
        <f>D24+D18-F13-H13-J13</f>
        <v>356576</v>
      </c>
      <c r="E25" s="150">
        <f t="shared" ref="E25:J25" si="7">E24+E18</f>
        <v>58583</v>
      </c>
      <c r="F25" s="150">
        <f t="shared" si="7"/>
        <v>56422</v>
      </c>
      <c r="G25" s="150">
        <f t="shared" si="7"/>
        <v>179397</v>
      </c>
      <c r="H25" s="150">
        <f t="shared" si="7"/>
        <v>183361</v>
      </c>
      <c r="I25" s="150">
        <f t="shared" si="7"/>
        <v>68702</v>
      </c>
      <c r="J25" s="150">
        <f t="shared" si="7"/>
        <v>66568</v>
      </c>
      <c r="K25" s="148">
        <f t="shared" si="1"/>
        <v>633303</v>
      </c>
      <c r="L25" s="148">
        <f t="shared" si="2"/>
        <v>662927</v>
      </c>
      <c r="M25" s="148">
        <f t="shared" si="3"/>
        <v>633303</v>
      </c>
      <c r="N25" s="148">
        <v>0</v>
      </c>
      <c r="O25" s="148">
        <f t="shared" si="4"/>
        <v>662927</v>
      </c>
      <c r="P25" s="148">
        <v>0</v>
      </c>
    </row>
    <row r="26" spans="1:24" ht="42.75">
      <c r="A26" s="34">
        <v>20</v>
      </c>
      <c r="B26" s="14" t="s">
        <v>41</v>
      </c>
      <c r="C26" s="110">
        <v>270000</v>
      </c>
      <c r="D26" s="110">
        <v>276276</v>
      </c>
      <c r="E26" s="148">
        <v>0</v>
      </c>
      <c r="F26" s="148">
        <v>2534</v>
      </c>
      <c r="G26" s="110">
        <v>0</v>
      </c>
      <c r="H26" s="110">
        <v>3074</v>
      </c>
      <c r="I26" s="110">
        <v>0</v>
      </c>
      <c r="J26" s="110">
        <v>2134</v>
      </c>
      <c r="K26" s="148">
        <f t="shared" si="1"/>
        <v>270000</v>
      </c>
      <c r="L26" s="148">
        <f t="shared" si="2"/>
        <v>284018</v>
      </c>
      <c r="M26" s="148">
        <f t="shared" si="3"/>
        <v>270000</v>
      </c>
      <c r="N26" s="148">
        <v>0</v>
      </c>
      <c r="O26" s="148">
        <f t="shared" si="4"/>
        <v>284018</v>
      </c>
      <c r="P26" s="148">
        <v>0</v>
      </c>
    </row>
    <row r="27" spans="1:24" ht="14.25">
      <c r="A27" s="34">
        <v>21</v>
      </c>
      <c r="B27" s="14" t="s">
        <v>42</v>
      </c>
      <c r="C27" s="110"/>
      <c r="D27" s="110">
        <v>574</v>
      </c>
      <c r="E27" s="148"/>
      <c r="F27" s="148"/>
      <c r="G27" s="110"/>
      <c r="H27" s="110"/>
      <c r="I27" s="110"/>
      <c r="J27" s="110"/>
      <c r="K27" s="148">
        <f t="shared" si="1"/>
        <v>0</v>
      </c>
      <c r="L27" s="148">
        <f t="shared" si="2"/>
        <v>574</v>
      </c>
      <c r="M27" s="148">
        <f t="shared" si="3"/>
        <v>0</v>
      </c>
      <c r="N27" s="148">
        <v>0</v>
      </c>
      <c r="O27" s="148">
        <f t="shared" si="4"/>
        <v>574</v>
      </c>
      <c r="P27" s="148">
        <v>0</v>
      </c>
    </row>
    <row r="28" spans="1:24" ht="14.25">
      <c r="A28" s="34">
        <v>22</v>
      </c>
      <c r="B28" s="160" t="s">
        <v>43</v>
      </c>
      <c r="C28" s="23">
        <f t="shared" ref="C28:I28" si="8">SUM(C25:C27)</f>
        <v>596621</v>
      </c>
      <c r="D28" s="23">
        <f t="shared" si="8"/>
        <v>633426</v>
      </c>
      <c r="E28" s="23">
        <f t="shared" si="8"/>
        <v>58583</v>
      </c>
      <c r="F28" s="23">
        <f t="shared" si="8"/>
        <v>58956</v>
      </c>
      <c r="G28" s="23">
        <f t="shared" si="8"/>
        <v>179397</v>
      </c>
      <c r="H28" s="23">
        <f t="shared" si="8"/>
        <v>186435</v>
      </c>
      <c r="I28" s="23">
        <f t="shared" si="8"/>
        <v>68702</v>
      </c>
      <c r="J28" s="23">
        <f>SUM(J25:J27)</f>
        <v>68702</v>
      </c>
      <c r="K28" s="198">
        <f t="shared" si="1"/>
        <v>903303</v>
      </c>
      <c r="L28" s="198">
        <f t="shared" si="2"/>
        <v>947519</v>
      </c>
      <c r="M28" s="161">
        <f t="shared" si="3"/>
        <v>903303</v>
      </c>
      <c r="N28" s="161">
        <v>0</v>
      </c>
      <c r="O28" s="184">
        <f t="shared" si="4"/>
        <v>947519</v>
      </c>
      <c r="P28" s="161">
        <v>0</v>
      </c>
    </row>
    <row r="29" spans="1:24" ht="14.25">
      <c r="A29" s="34">
        <v>23</v>
      </c>
      <c r="B29" s="14"/>
      <c r="C29" s="110"/>
      <c r="D29" s="110"/>
      <c r="E29" s="110"/>
      <c r="F29" s="110"/>
      <c r="G29" s="110"/>
      <c r="H29" s="110"/>
      <c r="I29" s="110"/>
      <c r="J29" s="110"/>
      <c r="K29" s="148">
        <f t="shared" si="1"/>
        <v>0</v>
      </c>
      <c r="L29" s="148">
        <f t="shared" si="2"/>
        <v>0</v>
      </c>
      <c r="M29" s="148">
        <f t="shared" si="3"/>
        <v>0</v>
      </c>
      <c r="N29" s="148">
        <v>0</v>
      </c>
      <c r="O29" s="148">
        <f t="shared" si="4"/>
        <v>0</v>
      </c>
      <c r="P29" s="148">
        <v>0</v>
      </c>
    </row>
    <row r="30" spans="1:24" s="40" customFormat="1" ht="28.5">
      <c r="A30" s="34">
        <v>24</v>
      </c>
      <c r="B30" s="5" t="s">
        <v>44</v>
      </c>
      <c r="C30" s="6">
        <f t="shared" ref="C30:J30" si="9">C28-C60</f>
        <v>0</v>
      </c>
      <c r="D30" s="6">
        <f t="shared" si="9"/>
        <v>0</v>
      </c>
      <c r="E30" s="6">
        <f t="shared" si="9"/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148">
        <f t="shared" si="1"/>
        <v>0</v>
      </c>
      <c r="L30" s="148">
        <f t="shared" si="2"/>
        <v>0</v>
      </c>
      <c r="M30" s="148">
        <f t="shared" si="3"/>
        <v>0</v>
      </c>
      <c r="N30" s="148">
        <v>0</v>
      </c>
      <c r="O30" s="148">
        <f t="shared" si="4"/>
        <v>0</v>
      </c>
      <c r="P30" s="148">
        <v>0</v>
      </c>
      <c r="Q30" s="151"/>
      <c r="R30" s="151"/>
      <c r="S30" s="151"/>
      <c r="T30" s="151"/>
      <c r="U30" s="151"/>
      <c r="V30" s="151"/>
      <c r="W30" s="151"/>
      <c r="X30" s="151"/>
    </row>
    <row r="31" spans="1:24" s="40" customFormat="1" ht="28.5">
      <c r="A31" s="34">
        <v>25</v>
      </c>
      <c r="B31" s="5" t="s">
        <v>45</v>
      </c>
      <c r="C31" s="6">
        <f t="shared" ref="C31:J31" si="10">C28-C60</f>
        <v>0</v>
      </c>
      <c r="D31" s="6">
        <f t="shared" si="10"/>
        <v>0</v>
      </c>
      <c r="E31" s="6">
        <f t="shared" si="10"/>
        <v>0</v>
      </c>
      <c r="F31" s="6">
        <f t="shared" si="10"/>
        <v>0</v>
      </c>
      <c r="G31" s="6">
        <f t="shared" si="10"/>
        <v>0</v>
      </c>
      <c r="H31" s="6">
        <f t="shared" si="10"/>
        <v>0</v>
      </c>
      <c r="I31" s="6">
        <f t="shared" si="10"/>
        <v>0</v>
      </c>
      <c r="J31" s="6">
        <f t="shared" si="10"/>
        <v>0</v>
      </c>
      <c r="K31" s="148">
        <f t="shared" si="1"/>
        <v>0</v>
      </c>
      <c r="L31" s="148">
        <f t="shared" si="2"/>
        <v>0</v>
      </c>
      <c r="M31" s="148">
        <f t="shared" si="3"/>
        <v>0</v>
      </c>
      <c r="N31" s="148">
        <v>0</v>
      </c>
      <c r="O31" s="148">
        <f t="shared" si="4"/>
        <v>0</v>
      </c>
      <c r="P31" s="148">
        <v>0</v>
      </c>
      <c r="Q31" s="151"/>
      <c r="R31" s="151"/>
      <c r="S31" s="151"/>
      <c r="T31" s="151"/>
      <c r="U31" s="151"/>
      <c r="V31" s="151"/>
      <c r="W31" s="151"/>
      <c r="X31" s="151"/>
    </row>
    <row r="32" spans="1:24" s="40" customFormat="1" ht="71.25">
      <c r="A32" s="34">
        <v>26</v>
      </c>
      <c r="B32" s="5" t="s">
        <v>46</v>
      </c>
      <c r="C32" s="6">
        <f t="shared" ref="C32:J32" si="11">C30+C22</f>
        <v>0</v>
      </c>
      <c r="D32" s="6">
        <f t="shared" si="11"/>
        <v>0</v>
      </c>
      <c r="E32" s="6">
        <f t="shared" si="11"/>
        <v>0</v>
      </c>
      <c r="F32" s="6">
        <f t="shared" si="11"/>
        <v>0</v>
      </c>
      <c r="G32" s="6">
        <f t="shared" si="11"/>
        <v>0</v>
      </c>
      <c r="H32" s="6">
        <f t="shared" si="11"/>
        <v>0</v>
      </c>
      <c r="I32" s="6">
        <f t="shared" si="11"/>
        <v>0</v>
      </c>
      <c r="J32" s="6">
        <f t="shared" si="11"/>
        <v>0</v>
      </c>
      <c r="K32" s="148">
        <f t="shared" si="1"/>
        <v>0</v>
      </c>
      <c r="L32" s="148">
        <f t="shared" si="2"/>
        <v>0</v>
      </c>
      <c r="M32" s="148">
        <f t="shared" si="3"/>
        <v>0</v>
      </c>
      <c r="N32" s="148">
        <v>0</v>
      </c>
      <c r="O32" s="148">
        <f t="shared" si="4"/>
        <v>0</v>
      </c>
      <c r="P32" s="148">
        <v>0</v>
      </c>
      <c r="Q32" s="151"/>
      <c r="R32" s="151"/>
      <c r="S32" s="151"/>
      <c r="T32" s="151"/>
      <c r="U32" s="151"/>
      <c r="V32" s="151"/>
      <c r="W32" s="151"/>
      <c r="X32" s="151"/>
    </row>
    <row r="33" spans="1:24" s="40" customFormat="1" ht="20.25">
      <c r="A33" s="34"/>
      <c r="B33" s="143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51"/>
      <c r="R33" s="151"/>
      <c r="S33" s="151"/>
      <c r="T33" s="151"/>
      <c r="U33" s="151"/>
      <c r="V33" s="151"/>
      <c r="W33" s="151"/>
      <c r="X33" s="151"/>
    </row>
    <row r="34" spans="1:24" s="40" customFormat="1" ht="20.25">
      <c r="A34" s="34"/>
      <c r="B34" s="143" t="s">
        <v>267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51"/>
      <c r="R34" s="151"/>
      <c r="S34" s="151"/>
      <c r="T34" s="151"/>
      <c r="U34" s="151"/>
      <c r="V34" s="151"/>
      <c r="W34" s="151"/>
      <c r="X34" s="151"/>
    </row>
    <row r="35" spans="1:24" s="40" customFormat="1" ht="20.25">
      <c r="A35" s="34"/>
      <c r="B35" s="143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51"/>
      <c r="R35" s="151"/>
      <c r="S35" s="151"/>
      <c r="T35" s="151"/>
      <c r="U35" s="151"/>
      <c r="V35" s="151"/>
      <c r="W35" s="151"/>
      <c r="X35" s="151"/>
    </row>
    <row r="36" spans="1:24" s="40" customFormat="1" ht="71.25">
      <c r="A36" s="34"/>
      <c r="B36" s="144" t="s">
        <v>1</v>
      </c>
      <c r="C36" s="145" t="s">
        <v>2</v>
      </c>
      <c r="D36" s="145" t="s">
        <v>79</v>
      </c>
      <c r="E36" s="145" t="s">
        <v>78</v>
      </c>
      <c r="F36" s="145" t="s">
        <v>80</v>
      </c>
      <c r="G36" s="145" t="s">
        <v>3</v>
      </c>
      <c r="H36" s="145" t="s">
        <v>81</v>
      </c>
      <c r="I36" s="145" t="s">
        <v>85</v>
      </c>
      <c r="J36" s="145" t="s">
        <v>82</v>
      </c>
      <c r="K36" s="146" t="s">
        <v>4</v>
      </c>
      <c r="L36" s="146" t="s">
        <v>5</v>
      </c>
      <c r="M36" s="146" t="s">
        <v>83</v>
      </c>
      <c r="N36" s="146" t="s">
        <v>84</v>
      </c>
      <c r="O36" s="146" t="s">
        <v>86</v>
      </c>
      <c r="P36" s="146" t="s">
        <v>87</v>
      </c>
      <c r="Q36" s="151"/>
      <c r="R36" s="151"/>
      <c r="S36" s="151"/>
      <c r="T36" s="151"/>
      <c r="U36" s="151"/>
      <c r="V36" s="151"/>
      <c r="W36" s="151"/>
      <c r="X36" s="151"/>
    </row>
    <row r="37" spans="1:24" s="40" customFormat="1" ht="14.25">
      <c r="A37" s="34"/>
      <c r="B37" s="144" t="s">
        <v>6</v>
      </c>
      <c r="C37" s="145" t="s">
        <v>7</v>
      </c>
      <c r="D37" s="144" t="s">
        <v>8</v>
      </c>
      <c r="E37" s="145" t="s">
        <v>9</v>
      </c>
      <c r="F37" s="145" t="s">
        <v>10</v>
      </c>
      <c r="G37" s="145" t="s">
        <v>11</v>
      </c>
      <c r="H37" s="145" t="s">
        <v>12</v>
      </c>
      <c r="I37" s="145" t="s">
        <v>13</v>
      </c>
      <c r="J37" s="145" t="s">
        <v>14</v>
      </c>
      <c r="K37" s="146" t="s">
        <v>15</v>
      </c>
      <c r="L37" s="146" t="s">
        <v>16</v>
      </c>
      <c r="M37" s="146" t="s">
        <v>17</v>
      </c>
      <c r="N37" s="146" t="s">
        <v>18</v>
      </c>
      <c r="O37" s="146" t="s">
        <v>91</v>
      </c>
      <c r="P37" s="146" t="s">
        <v>92</v>
      </c>
      <c r="Q37" s="151"/>
      <c r="R37" s="151"/>
      <c r="S37" s="151"/>
      <c r="T37" s="151"/>
      <c r="U37" s="151"/>
      <c r="V37" s="151"/>
      <c r="W37" s="151"/>
      <c r="X37" s="151"/>
    </row>
    <row r="38" spans="1:24" s="40" customFormat="1" ht="14.25">
      <c r="A38" s="34">
        <v>1</v>
      </c>
      <c r="B38" s="21" t="s">
        <v>47</v>
      </c>
      <c r="C38" s="148">
        <v>35741</v>
      </c>
      <c r="D38" s="148">
        <f>11441+6656+200+46+792+365+116+170+12084+3731+4266</f>
        <v>39867</v>
      </c>
      <c r="E38" s="148">
        <v>43892</v>
      </c>
      <c r="F38" s="148">
        <f>36440+3400+373+397+900+2015+68+272+400</f>
        <v>44265</v>
      </c>
      <c r="G38" s="148">
        <v>40404</v>
      </c>
      <c r="H38" s="148">
        <f>20211+11481+2270+563+180+30+1728+1030+500+2086+114</f>
        <v>40193</v>
      </c>
      <c r="I38" s="148">
        <v>32339</v>
      </c>
      <c r="J38" s="148">
        <f>27050+420+420+945+70+1711+33+85+1650+40+1</f>
        <v>32425</v>
      </c>
      <c r="K38" s="148">
        <f>C38+E38+G38+I38</f>
        <v>152376</v>
      </c>
      <c r="L38" s="148">
        <f>D38+F38+H38+J38</f>
        <v>156750</v>
      </c>
      <c r="M38" s="148">
        <f>C38+E38+G38+I38</f>
        <v>152376</v>
      </c>
      <c r="N38" s="148">
        <v>0</v>
      </c>
      <c r="O38" s="148">
        <v>0</v>
      </c>
      <c r="P38" s="148">
        <v>0</v>
      </c>
      <c r="Q38" s="151"/>
      <c r="R38" s="151"/>
      <c r="S38" s="151"/>
      <c r="T38" s="151"/>
      <c r="U38" s="151"/>
      <c r="V38" s="151"/>
      <c r="W38" s="151"/>
      <c r="X38" s="151"/>
    </row>
    <row r="39" spans="1:24" s="40" customFormat="1" ht="28.5">
      <c r="A39" s="34">
        <v>2</v>
      </c>
      <c r="B39" s="21" t="s">
        <v>48</v>
      </c>
      <c r="C39" s="148">
        <v>11886</v>
      </c>
      <c r="D39" s="148">
        <f>8989+2321+1639</f>
        <v>12949</v>
      </c>
      <c r="E39" s="148">
        <v>12018</v>
      </c>
      <c r="F39" s="148">
        <f>11199+335+100+384</f>
        <v>12018</v>
      </c>
      <c r="G39" s="148">
        <v>11041</v>
      </c>
      <c r="H39" s="148">
        <f>9718+630+100+519</f>
        <v>10967</v>
      </c>
      <c r="I39" s="148">
        <v>9008</v>
      </c>
      <c r="J39" s="148">
        <f>8218+321+159+324</f>
        <v>9022</v>
      </c>
      <c r="K39" s="148">
        <f>C39+E39+G39+I39</f>
        <v>43953</v>
      </c>
      <c r="L39" s="148">
        <f t="shared" ref="L39:L59" si="12">D39+F39+H39+J39</f>
        <v>44956</v>
      </c>
      <c r="M39" s="148">
        <f t="shared" ref="M39:M59" si="13">C39+E39+G39+I39</f>
        <v>43953</v>
      </c>
      <c r="N39" s="148">
        <v>0</v>
      </c>
      <c r="O39" s="148">
        <v>0</v>
      </c>
      <c r="P39" s="148">
        <v>0</v>
      </c>
      <c r="Q39" s="151"/>
      <c r="R39" s="151"/>
      <c r="S39" s="151"/>
      <c r="T39" s="151"/>
      <c r="U39" s="151"/>
      <c r="V39" s="151"/>
      <c r="W39" s="151"/>
      <c r="X39" s="151"/>
    </row>
    <row r="40" spans="1:24" s="40" customFormat="1" ht="14.25">
      <c r="A40" s="34">
        <v>3</v>
      </c>
      <c r="B40" s="21" t="s">
        <v>49</v>
      </c>
      <c r="C40" s="148">
        <v>64669</v>
      </c>
      <c r="D40" s="148">
        <f>270+150+200+300+2200+120+4450+370+260+50+1400+2050+1870+450+227+1047+300+380+5851+1500+1620+1050+7185+4018+2188+200+3740+10355+32023+8340</f>
        <v>94164</v>
      </c>
      <c r="E40" s="148">
        <v>2673</v>
      </c>
      <c r="F40" s="148">
        <f>1100+350+50+300+150+200+473+50</f>
        <v>2673</v>
      </c>
      <c r="G40" s="148">
        <v>127952</v>
      </c>
      <c r="H40" s="148">
        <f>70+273+100+455+80+3300+180+15622+507+225+23+18740+2700+5389+70+100+28065+1663+150+1135+30+4134+920+6094+1052+587+3400+24039+15852+320</f>
        <v>135275</v>
      </c>
      <c r="I40" s="148">
        <v>27355</v>
      </c>
      <c r="J40" s="148">
        <f>13850+430+10+105+175+20+130+1350+100+540+1100+630+200+300+100+400+20+205+102+493+230+30+5559+1175+1</f>
        <v>27255</v>
      </c>
      <c r="K40" s="148">
        <f>C40+E40+G40+I40</f>
        <v>222649</v>
      </c>
      <c r="L40" s="148">
        <f t="shared" si="12"/>
        <v>259367</v>
      </c>
      <c r="M40" s="148">
        <f>C40+E40+G40+I40</f>
        <v>222649</v>
      </c>
      <c r="N40" s="148"/>
      <c r="O40" s="148">
        <v>0</v>
      </c>
      <c r="P40" s="148">
        <v>0</v>
      </c>
      <c r="Q40" s="151"/>
      <c r="R40" s="151"/>
      <c r="S40" s="151"/>
      <c r="T40" s="151"/>
      <c r="U40" s="151"/>
      <c r="V40" s="151"/>
      <c r="W40" s="151"/>
      <c r="X40" s="151"/>
    </row>
    <row r="41" spans="1:24" s="40" customFormat="1" ht="28.5">
      <c r="A41" s="34">
        <v>4</v>
      </c>
      <c r="B41" s="168" t="s">
        <v>50</v>
      </c>
      <c r="C41" s="172">
        <f>E13+G13+I13</f>
        <v>162714</v>
      </c>
      <c r="D41" s="172">
        <f>F13+H13+J13</f>
        <v>145508</v>
      </c>
      <c r="E41" s="149"/>
      <c r="F41" s="149"/>
      <c r="G41" s="148"/>
      <c r="H41" s="148"/>
      <c r="I41" s="148"/>
      <c r="J41" s="148"/>
      <c r="K41" s="148">
        <f t="shared" ref="K41:K59" si="14">C41+E41+G41+I41</f>
        <v>162714</v>
      </c>
      <c r="L41" s="148">
        <f t="shared" si="12"/>
        <v>145508</v>
      </c>
      <c r="M41" s="148">
        <f t="shared" si="13"/>
        <v>162714</v>
      </c>
      <c r="N41" s="148">
        <v>0</v>
      </c>
      <c r="O41" s="148">
        <v>0</v>
      </c>
      <c r="P41" s="148">
        <v>0</v>
      </c>
      <c r="Q41" s="151"/>
      <c r="R41" s="151"/>
      <c r="S41" s="151"/>
      <c r="T41" s="151"/>
      <c r="U41" s="151"/>
      <c r="V41" s="151"/>
      <c r="W41" s="151"/>
      <c r="X41" s="151"/>
    </row>
    <row r="42" spans="1:24" s="40" customFormat="1" ht="14.25">
      <c r="A42" s="34">
        <v>5</v>
      </c>
      <c r="B42" s="21" t="s">
        <v>51</v>
      </c>
      <c r="C42" s="148">
        <f>SUM(C43:C45)</f>
        <v>128214</v>
      </c>
      <c r="D42" s="148">
        <f t="shared" ref="D42:J42" si="15">SUM(D43:D45)</f>
        <v>130700</v>
      </c>
      <c r="E42" s="148">
        <f t="shared" si="15"/>
        <v>0</v>
      </c>
      <c r="F42" s="148">
        <f t="shared" si="15"/>
        <v>0</v>
      </c>
      <c r="G42" s="148">
        <f t="shared" si="15"/>
        <v>0</v>
      </c>
      <c r="H42" s="148">
        <f t="shared" si="15"/>
        <v>0</v>
      </c>
      <c r="I42" s="148">
        <f t="shared" si="15"/>
        <v>0</v>
      </c>
      <c r="J42" s="148">
        <f t="shared" si="15"/>
        <v>0</v>
      </c>
      <c r="K42" s="148">
        <f t="shared" ref="K42:P42" si="16">SUM(K43:K45)</f>
        <v>128214</v>
      </c>
      <c r="L42" s="148">
        <f t="shared" si="16"/>
        <v>130700</v>
      </c>
      <c r="M42" s="148">
        <f t="shared" si="16"/>
        <v>6200</v>
      </c>
      <c r="N42" s="148">
        <f t="shared" si="16"/>
        <v>122014</v>
      </c>
      <c r="O42" s="148">
        <f t="shared" si="16"/>
        <v>0</v>
      </c>
      <c r="P42" s="148">
        <f t="shared" si="16"/>
        <v>127494</v>
      </c>
      <c r="Q42" s="151"/>
      <c r="R42" s="151"/>
      <c r="S42" s="151"/>
      <c r="T42" s="151"/>
      <c r="U42" s="151"/>
      <c r="V42" s="151"/>
      <c r="W42" s="151"/>
      <c r="X42" s="151"/>
    </row>
    <row r="43" spans="1:24" s="40" customFormat="1" ht="14.25">
      <c r="A43" s="34">
        <v>6</v>
      </c>
      <c r="B43" s="18" t="s">
        <v>52</v>
      </c>
      <c r="C43" s="110">
        <v>6200</v>
      </c>
      <c r="D43" s="110">
        <f>600+240+2286+80</f>
        <v>3206</v>
      </c>
      <c r="E43" s="110"/>
      <c r="F43" s="110"/>
      <c r="G43" s="110"/>
      <c r="H43" s="110"/>
      <c r="I43" s="110"/>
      <c r="J43" s="110"/>
      <c r="K43" s="148">
        <f t="shared" si="14"/>
        <v>6200</v>
      </c>
      <c r="L43" s="148">
        <f t="shared" si="12"/>
        <v>3206</v>
      </c>
      <c r="M43" s="148">
        <f t="shared" si="13"/>
        <v>6200</v>
      </c>
      <c r="N43" s="148">
        <v>0</v>
      </c>
      <c r="O43" s="148">
        <v>0</v>
      </c>
      <c r="P43" s="148">
        <v>0</v>
      </c>
      <c r="Q43" s="151"/>
      <c r="R43" s="151"/>
      <c r="S43" s="151"/>
      <c r="T43" s="151"/>
      <c r="U43" s="151"/>
      <c r="V43" s="151"/>
      <c r="W43" s="151"/>
      <c r="X43" s="151"/>
    </row>
    <row r="44" spans="1:24" s="40" customFormat="1" ht="28.5">
      <c r="A44" s="34">
        <v>7</v>
      </c>
      <c r="B44" s="18" t="s">
        <v>53</v>
      </c>
      <c r="C44" s="110"/>
      <c r="D44" s="110"/>
      <c r="E44" s="110"/>
      <c r="F44" s="110"/>
      <c r="G44" s="110"/>
      <c r="H44" s="110"/>
      <c r="I44" s="110"/>
      <c r="J44" s="110"/>
      <c r="K44" s="148">
        <f t="shared" si="14"/>
        <v>0</v>
      </c>
      <c r="L44" s="148">
        <f t="shared" si="12"/>
        <v>0</v>
      </c>
      <c r="M44" s="148">
        <f t="shared" si="13"/>
        <v>0</v>
      </c>
      <c r="N44" s="148">
        <v>0</v>
      </c>
      <c r="O44" s="148">
        <v>0</v>
      </c>
      <c r="P44" s="148">
        <v>0</v>
      </c>
      <c r="Q44" s="151"/>
      <c r="R44" s="151"/>
      <c r="S44" s="151"/>
      <c r="T44" s="151"/>
      <c r="U44" s="151"/>
      <c r="V44" s="151"/>
      <c r="W44" s="151"/>
      <c r="X44" s="151"/>
    </row>
    <row r="45" spans="1:24" s="40" customFormat="1" ht="28.5">
      <c r="A45" s="34">
        <v>8</v>
      </c>
      <c r="B45" s="18" t="s">
        <v>54</v>
      </c>
      <c r="C45" s="110">
        <v>122014</v>
      </c>
      <c r="D45" s="110">
        <f>38920+28950+17790+900+40934</f>
        <v>127494</v>
      </c>
      <c r="E45" s="110"/>
      <c r="F45" s="110"/>
      <c r="G45" s="110"/>
      <c r="H45" s="110"/>
      <c r="I45" s="110"/>
      <c r="J45" s="110"/>
      <c r="K45" s="148">
        <f t="shared" si="14"/>
        <v>122014</v>
      </c>
      <c r="L45" s="148">
        <f t="shared" si="12"/>
        <v>127494</v>
      </c>
      <c r="M45" s="148">
        <v>0</v>
      </c>
      <c r="N45" s="148">
        <f>C45</f>
        <v>122014</v>
      </c>
      <c r="O45" s="148">
        <v>0</v>
      </c>
      <c r="P45" s="148">
        <f>D45</f>
        <v>127494</v>
      </c>
      <c r="Q45" s="151"/>
      <c r="R45" s="151"/>
      <c r="S45" s="151"/>
      <c r="T45" s="151"/>
      <c r="U45" s="151"/>
      <c r="V45" s="151"/>
      <c r="W45" s="151"/>
      <c r="X45" s="151"/>
    </row>
    <row r="46" spans="1:24" s="140" customFormat="1" ht="28.5">
      <c r="A46" s="57">
        <v>9</v>
      </c>
      <c r="B46" s="21" t="s">
        <v>199</v>
      </c>
      <c r="C46" s="146">
        <f>7159+60</f>
        <v>7219</v>
      </c>
      <c r="D46" s="146">
        <f>280+508+18+154+1150+1000+1600+16+400+700+600</f>
        <v>6426</v>
      </c>
      <c r="E46" s="146"/>
      <c r="F46" s="146"/>
      <c r="G46" s="146"/>
      <c r="H46" s="146"/>
      <c r="I46" s="146"/>
      <c r="J46" s="146"/>
      <c r="K46" s="148">
        <f t="shared" si="14"/>
        <v>7219</v>
      </c>
      <c r="L46" s="148">
        <f t="shared" si="12"/>
        <v>6426</v>
      </c>
      <c r="M46" s="148">
        <f>C46+E46+G46+I46-N46</f>
        <v>7219</v>
      </c>
      <c r="N46" s="148">
        <v>0</v>
      </c>
      <c r="O46" s="148">
        <v>0</v>
      </c>
      <c r="P46" s="148">
        <v>0</v>
      </c>
      <c r="Q46" s="152"/>
      <c r="R46" s="152"/>
      <c r="S46" s="152"/>
      <c r="T46" s="152"/>
      <c r="U46" s="152"/>
      <c r="V46" s="152"/>
      <c r="W46" s="152"/>
      <c r="X46" s="152"/>
    </row>
    <row r="47" spans="1:24" ht="28.5">
      <c r="A47" s="34">
        <v>10</v>
      </c>
      <c r="B47" s="21" t="s">
        <v>56</v>
      </c>
      <c r="C47" s="148">
        <f>SUM(C48:C49)</f>
        <v>11029</v>
      </c>
      <c r="D47" s="148">
        <f t="shared" ref="D47:M47" si="17">SUM(D48:D49)</f>
        <v>13803</v>
      </c>
      <c r="E47" s="148">
        <f t="shared" si="17"/>
        <v>0</v>
      </c>
      <c r="F47" s="148">
        <f t="shared" si="17"/>
        <v>0</v>
      </c>
      <c r="G47" s="148">
        <f t="shared" si="17"/>
        <v>0</v>
      </c>
      <c r="H47" s="148">
        <f t="shared" si="17"/>
        <v>0</v>
      </c>
      <c r="I47" s="148">
        <f t="shared" si="17"/>
        <v>0</v>
      </c>
      <c r="J47" s="148">
        <f t="shared" si="17"/>
        <v>0</v>
      </c>
      <c r="K47" s="148">
        <f t="shared" si="17"/>
        <v>11029</v>
      </c>
      <c r="L47" s="148">
        <f t="shared" si="17"/>
        <v>13803</v>
      </c>
      <c r="M47" s="148">
        <f t="shared" si="17"/>
        <v>11029</v>
      </c>
      <c r="N47" s="148">
        <f>SUM(N48:N49)</f>
        <v>0</v>
      </c>
      <c r="O47" s="148">
        <v>0</v>
      </c>
      <c r="P47" s="148">
        <v>0</v>
      </c>
    </row>
    <row r="48" spans="1:24" ht="14.25">
      <c r="A48" s="34">
        <v>11</v>
      </c>
      <c r="B48" s="18" t="s">
        <v>57</v>
      </c>
      <c r="C48" s="110">
        <v>10029</v>
      </c>
      <c r="D48" s="110">
        <v>12803</v>
      </c>
      <c r="E48" s="110"/>
      <c r="F48" s="110"/>
      <c r="G48" s="110"/>
      <c r="H48" s="110"/>
      <c r="I48" s="110"/>
      <c r="J48" s="110"/>
      <c r="K48" s="148">
        <f t="shared" si="14"/>
        <v>10029</v>
      </c>
      <c r="L48" s="148">
        <f t="shared" si="12"/>
        <v>12803</v>
      </c>
      <c r="M48" s="148">
        <f t="shared" si="13"/>
        <v>10029</v>
      </c>
      <c r="N48" s="148">
        <v>0</v>
      </c>
      <c r="O48" s="148">
        <v>0</v>
      </c>
      <c r="P48" s="148">
        <v>0</v>
      </c>
    </row>
    <row r="49" spans="1:24" ht="14.25">
      <c r="A49" s="34">
        <v>12</v>
      </c>
      <c r="B49" s="18" t="s">
        <v>58</v>
      </c>
      <c r="C49" s="110">
        <v>1000</v>
      </c>
      <c r="D49" s="110">
        <v>1000</v>
      </c>
      <c r="E49" s="110"/>
      <c r="F49" s="110"/>
      <c r="G49" s="110"/>
      <c r="H49" s="110"/>
      <c r="I49" s="110"/>
      <c r="J49" s="110"/>
      <c r="K49" s="148">
        <f t="shared" si="14"/>
        <v>1000</v>
      </c>
      <c r="L49" s="148">
        <f t="shared" si="12"/>
        <v>1000</v>
      </c>
      <c r="M49" s="148">
        <f t="shared" si="13"/>
        <v>1000</v>
      </c>
      <c r="N49" s="148">
        <v>0</v>
      </c>
      <c r="O49" s="148">
        <v>0</v>
      </c>
      <c r="P49" s="148">
        <v>0</v>
      </c>
    </row>
    <row r="50" spans="1:24" s="42" customFormat="1" ht="14.25">
      <c r="A50" s="34">
        <v>13</v>
      </c>
      <c r="B50" s="163" t="s">
        <v>59</v>
      </c>
      <c r="C50" s="13">
        <f>C47+C42+C41+C40+C39+C38+C46</f>
        <v>421472</v>
      </c>
      <c r="D50" s="13">
        <f>D47+D42+D41+D40+D39+D38+D46</f>
        <v>443417</v>
      </c>
      <c r="E50" s="13">
        <f t="shared" ref="E50:P50" si="18">E47+E42+E41+E40+E39+E38+E46</f>
        <v>58583</v>
      </c>
      <c r="F50" s="13">
        <f t="shared" si="18"/>
        <v>58956</v>
      </c>
      <c r="G50" s="13">
        <f t="shared" si="18"/>
        <v>179397</v>
      </c>
      <c r="H50" s="13">
        <f t="shared" si="18"/>
        <v>186435</v>
      </c>
      <c r="I50" s="13">
        <f t="shared" si="18"/>
        <v>68702</v>
      </c>
      <c r="J50" s="13">
        <f t="shared" si="18"/>
        <v>68702</v>
      </c>
      <c r="K50" s="13">
        <f>K47+K42+K41+K40+K39+K38+K46</f>
        <v>728154</v>
      </c>
      <c r="L50" s="13">
        <f t="shared" si="18"/>
        <v>757510</v>
      </c>
      <c r="M50" s="13">
        <f t="shared" si="18"/>
        <v>606140</v>
      </c>
      <c r="N50" s="13">
        <f t="shared" si="18"/>
        <v>122014</v>
      </c>
      <c r="O50" s="13">
        <f t="shared" si="18"/>
        <v>0</v>
      </c>
      <c r="P50" s="13">
        <f t="shared" si="18"/>
        <v>127494</v>
      </c>
      <c r="Q50" s="153"/>
      <c r="R50" s="153"/>
      <c r="S50" s="153"/>
      <c r="T50" s="153"/>
      <c r="U50" s="153"/>
      <c r="V50" s="153"/>
      <c r="W50" s="153"/>
      <c r="X50" s="153"/>
    </row>
    <row r="51" spans="1:24" ht="14.25">
      <c r="A51" s="34">
        <v>14</v>
      </c>
      <c r="B51" s="21" t="s">
        <v>200</v>
      </c>
      <c r="C51" s="148">
        <v>337863</v>
      </c>
      <c r="D51" s="148">
        <f>102362+73910+6000+2400+3753+7800+79+134+79+3083+4336+741+5500+37187</f>
        <v>247364</v>
      </c>
      <c r="E51" s="148"/>
      <c r="F51" s="148"/>
      <c r="G51" s="148"/>
      <c r="H51" s="148"/>
      <c r="I51" s="148"/>
      <c r="J51" s="148"/>
      <c r="K51" s="148">
        <f t="shared" si="14"/>
        <v>337863</v>
      </c>
      <c r="L51" s="148">
        <f t="shared" si="12"/>
        <v>247364</v>
      </c>
      <c r="M51" s="148">
        <f>K51</f>
        <v>337863</v>
      </c>
      <c r="N51" s="148"/>
      <c r="O51" s="148">
        <v>0</v>
      </c>
      <c r="P51" s="148">
        <v>0</v>
      </c>
    </row>
    <row r="52" spans="1:24" ht="14.25">
      <c r="A52" s="34">
        <v>15</v>
      </c>
      <c r="B52" s="21" t="s">
        <v>61</v>
      </c>
      <c r="C52" s="148"/>
      <c r="D52" s="148">
        <f>21430+16060+15748+650+6797+2351+16959</f>
        <v>79995</v>
      </c>
      <c r="E52" s="148"/>
      <c r="F52" s="148"/>
      <c r="G52" s="148"/>
      <c r="H52" s="148"/>
      <c r="I52" s="148"/>
      <c r="J52" s="148"/>
      <c r="K52" s="148">
        <f t="shared" si="14"/>
        <v>0</v>
      </c>
      <c r="L52" s="148">
        <f t="shared" si="12"/>
        <v>79995</v>
      </c>
      <c r="M52" s="148">
        <v>0</v>
      </c>
      <c r="N52" s="148">
        <f>C52</f>
        <v>0</v>
      </c>
      <c r="O52" s="148">
        <v>0</v>
      </c>
      <c r="P52" s="148">
        <v>0</v>
      </c>
    </row>
    <row r="53" spans="1:24" ht="14.25">
      <c r="A53" s="34">
        <v>20</v>
      </c>
      <c r="B53" s="21" t="s">
        <v>65</v>
      </c>
      <c r="C53" s="148">
        <f t="shared" ref="C53:N53" si="19">SUM(C54:C56)</f>
        <v>0</v>
      </c>
      <c r="D53" s="148">
        <f t="shared" si="19"/>
        <v>0</v>
      </c>
      <c r="E53" s="148">
        <f t="shared" si="19"/>
        <v>0</v>
      </c>
      <c r="F53" s="148">
        <f t="shared" si="19"/>
        <v>0</v>
      </c>
      <c r="G53" s="148">
        <f t="shared" si="19"/>
        <v>0</v>
      </c>
      <c r="H53" s="148">
        <f t="shared" si="19"/>
        <v>0</v>
      </c>
      <c r="I53" s="148">
        <f t="shared" si="19"/>
        <v>0</v>
      </c>
      <c r="J53" s="148">
        <f t="shared" si="19"/>
        <v>0</v>
      </c>
      <c r="K53" s="148">
        <f t="shared" si="19"/>
        <v>0</v>
      </c>
      <c r="L53" s="148">
        <f t="shared" si="19"/>
        <v>0</v>
      </c>
      <c r="M53" s="148">
        <f t="shared" si="19"/>
        <v>0</v>
      </c>
      <c r="N53" s="148">
        <f t="shared" si="19"/>
        <v>0</v>
      </c>
      <c r="O53" s="148">
        <v>0</v>
      </c>
      <c r="P53" s="148">
        <v>0</v>
      </c>
    </row>
    <row r="54" spans="1:24" ht="14.25">
      <c r="A54" s="34">
        <v>21</v>
      </c>
      <c r="B54" s="22" t="s">
        <v>66</v>
      </c>
      <c r="C54" s="110"/>
      <c r="D54" s="110"/>
      <c r="E54" s="110"/>
      <c r="F54" s="110"/>
      <c r="G54" s="110"/>
      <c r="H54" s="110"/>
      <c r="I54" s="110"/>
      <c r="J54" s="110"/>
      <c r="K54" s="148">
        <f t="shared" si="14"/>
        <v>0</v>
      </c>
      <c r="L54" s="148">
        <f t="shared" si="12"/>
        <v>0</v>
      </c>
      <c r="M54" s="148">
        <f t="shared" si="13"/>
        <v>0</v>
      </c>
      <c r="N54" s="148">
        <v>0</v>
      </c>
      <c r="O54" s="148">
        <v>0</v>
      </c>
      <c r="P54" s="148">
        <v>0</v>
      </c>
    </row>
    <row r="55" spans="1:24" ht="14.25">
      <c r="A55" s="34">
        <v>22</v>
      </c>
      <c r="B55" s="22" t="s">
        <v>67</v>
      </c>
      <c r="C55" s="110"/>
      <c r="D55" s="110"/>
      <c r="E55" s="110"/>
      <c r="F55" s="110"/>
      <c r="G55" s="110"/>
      <c r="H55" s="110"/>
      <c r="I55" s="110"/>
      <c r="J55" s="110"/>
      <c r="K55" s="148">
        <f t="shared" si="14"/>
        <v>0</v>
      </c>
      <c r="L55" s="148">
        <f t="shared" si="12"/>
        <v>0</v>
      </c>
      <c r="M55" s="148">
        <f t="shared" si="13"/>
        <v>0</v>
      </c>
      <c r="N55" s="148">
        <v>0</v>
      </c>
      <c r="O55" s="148">
        <v>0</v>
      </c>
      <c r="P55" s="148">
        <v>0</v>
      </c>
    </row>
    <row r="56" spans="1:24" ht="28.5">
      <c r="A56" s="34">
        <v>24</v>
      </c>
      <c r="B56" s="22" t="s">
        <v>69</v>
      </c>
      <c r="C56" s="110"/>
      <c r="D56" s="110"/>
      <c r="E56" s="110"/>
      <c r="F56" s="110"/>
      <c r="G56" s="110"/>
      <c r="H56" s="110"/>
      <c r="I56" s="110"/>
      <c r="J56" s="110"/>
      <c r="K56" s="148">
        <f t="shared" si="14"/>
        <v>0</v>
      </c>
      <c r="L56" s="148">
        <f t="shared" si="12"/>
        <v>0</v>
      </c>
      <c r="M56" s="148">
        <f t="shared" si="13"/>
        <v>0</v>
      </c>
      <c r="N56" s="148">
        <v>0</v>
      </c>
      <c r="O56" s="148">
        <v>0</v>
      </c>
      <c r="P56" s="148">
        <v>0</v>
      </c>
    </row>
    <row r="57" spans="1:24" s="42" customFormat="1" ht="14.25">
      <c r="A57" s="34">
        <v>25</v>
      </c>
      <c r="B57" s="163" t="s">
        <v>70</v>
      </c>
      <c r="C57" s="16">
        <f>C51+C52+C53</f>
        <v>337863</v>
      </c>
      <c r="D57" s="16">
        <f>D51+D52+D53</f>
        <v>327359</v>
      </c>
      <c r="E57" s="16">
        <f t="shared" ref="E57:P57" si="20">E51+E52+E53</f>
        <v>0</v>
      </c>
      <c r="F57" s="16">
        <f t="shared" si="20"/>
        <v>0</v>
      </c>
      <c r="G57" s="16">
        <f t="shared" si="20"/>
        <v>0</v>
      </c>
      <c r="H57" s="16">
        <f t="shared" si="20"/>
        <v>0</v>
      </c>
      <c r="I57" s="16">
        <f t="shared" si="20"/>
        <v>0</v>
      </c>
      <c r="J57" s="16">
        <f t="shared" si="20"/>
        <v>0</v>
      </c>
      <c r="K57" s="16">
        <f t="shared" si="20"/>
        <v>337863</v>
      </c>
      <c r="L57" s="16">
        <f t="shared" si="20"/>
        <v>327359</v>
      </c>
      <c r="M57" s="16">
        <f t="shared" si="20"/>
        <v>337863</v>
      </c>
      <c r="N57" s="16">
        <f t="shared" si="20"/>
        <v>0</v>
      </c>
      <c r="O57" s="16">
        <f t="shared" si="20"/>
        <v>0</v>
      </c>
      <c r="P57" s="16">
        <f t="shared" si="20"/>
        <v>0</v>
      </c>
      <c r="Q57" s="153"/>
      <c r="R57" s="153"/>
      <c r="S57" s="153"/>
      <c r="T57" s="153"/>
      <c r="U57" s="153"/>
      <c r="V57" s="153"/>
      <c r="W57" s="153"/>
      <c r="X57" s="153"/>
    </row>
    <row r="58" spans="1:24" s="43" customFormat="1" ht="14.25">
      <c r="A58" s="34">
        <v>30</v>
      </c>
      <c r="B58" s="93" t="s">
        <v>74</v>
      </c>
      <c r="C58" s="150">
        <f>C57+C50-C41</f>
        <v>596621</v>
      </c>
      <c r="D58" s="150">
        <f>D57+D50-D41</f>
        <v>625268</v>
      </c>
      <c r="E58" s="150">
        <f>E57+E50</f>
        <v>58583</v>
      </c>
      <c r="F58" s="150">
        <f t="shared" ref="F58:P58" si="21">F57+F50</f>
        <v>58956</v>
      </c>
      <c r="G58" s="150">
        <f t="shared" si="21"/>
        <v>179397</v>
      </c>
      <c r="H58" s="150">
        <f t="shared" si="21"/>
        <v>186435</v>
      </c>
      <c r="I58" s="150">
        <f t="shared" si="21"/>
        <v>68702</v>
      </c>
      <c r="J58" s="150">
        <f t="shared" si="21"/>
        <v>68702</v>
      </c>
      <c r="K58" s="150">
        <f>K57+K50-K41</f>
        <v>903303</v>
      </c>
      <c r="L58" s="150">
        <f>L57+L50-D41</f>
        <v>939361</v>
      </c>
      <c r="M58" s="150">
        <f>M57+M50-M41</f>
        <v>781289</v>
      </c>
      <c r="N58" s="150">
        <f t="shared" si="21"/>
        <v>122014</v>
      </c>
      <c r="O58" s="150">
        <f t="shared" si="21"/>
        <v>0</v>
      </c>
      <c r="P58" s="150">
        <f t="shared" si="21"/>
        <v>127494</v>
      </c>
      <c r="Q58" s="95"/>
      <c r="R58" s="95"/>
      <c r="S58" s="95"/>
      <c r="T58" s="95"/>
      <c r="U58" s="95"/>
      <c r="V58" s="95"/>
      <c r="W58" s="95"/>
      <c r="X58" s="95"/>
    </row>
    <row r="59" spans="1:24" ht="14.25">
      <c r="A59" s="34">
        <v>31</v>
      </c>
      <c r="B59" s="14" t="s">
        <v>75</v>
      </c>
      <c r="C59" s="148"/>
      <c r="D59" s="148">
        <f>7031+1127</f>
        <v>8158</v>
      </c>
      <c r="E59" s="148">
        <v>0</v>
      </c>
      <c r="F59" s="148">
        <v>0</v>
      </c>
      <c r="G59" s="148">
        <v>0</v>
      </c>
      <c r="H59" s="148">
        <v>0</v>
      </c>
      <c r="I59" s="148"/>
      <c r="J59" s="148"/>
      <c r="K59" s="148">
        <f t="shared" si="14"/>
        <v>0</v>
      </c>
      <c r="L59" s="148">
        <f t="shared" si="12"/>
        <v>8158</v>
      </c>
      <c r="M59" s="148">
        <f t="shared" si="13"/>
        <v>0</v>
      </c>
      <c r="N59" s="148">
        <v>0</v>
      </c>
      <c r="O59" s="148">
        <v>0</v>
      </c>
      <c r="P59" s="148">
        <v>0</v>
      </c>
    </row>
    <row r="60" spans="1:24" s="43" customFormat="1" ht="14.25">
      <c r="A60" s="34">
        <v>32</v>
      </c>
      <c r="B60" s="7" t="s">
        <v>76</v>
      </c>
      <c r="C60" s="8">
        <f>SUM(C58:C59)</f>
        <v>596621</v>
      </c>
      <c r="D60" s="8">
        <f t="shared" ref="D60:I60" si="22">SUM(D58:D59)</f>
        <v>633426</v>
      </c>
      <c r="E60" s="23">
        <f t="shared" si="22"/>
        <v>58583</v>
      </c>
      <c r="F60" s="23">
        <f t="shared" si="22"/>
        <v>58956</v>
      </c>
      <c r="G60" s="23">
        <f t="shared" si="22"/>
        <v>179397</v>
      </c>
      <c r="H60" s="23">
        <f t="shared" si="22"/>
        <v>186435</v>
      </c>
      <c r="I60" s="23">
        <f t="shared" si="22"/>
        <v>68702</v>
      </c>
      <c r="J60" s="23">
        <f>SUM(J58:J59)</f>
        <v>68702</v>
      </c>
      <c r="K60" s="197">
        <f t="shared" ref="K60:P60" si="23">K58+K59</f>
        <v>903303</v>
      </c>
      <c r="L60" s="197">
        <f t="shared" si="23"/>
        <v>947519</v>
      </c>
      <c r="M60" s="162">
        <f t="shared" si="23"/>
        <v>781289</v>
      </c>
      <c r="N60" s="162">
        <f t="shared" si="23"/>
        <v>122014</v>
      </c>
      <c r="O60" s="162">
        <f t="shared" si="23"/>
        <v>0</v>
      </c>
      <c r="P60" s="162">
        <f t="shared" si="23"/>
        <v>127494</v>
      </c>
      <c r="Q60" s="95"/>
      <c r="R60" s="95"/>
      <c r="S60" s="95"/>
      <c r="T60" s="95"/>
      <c r="U60" s="95"/>
      <c r="V60" s="95"/>
      <c r="W60" s="95"/>
      <c r="X60" s="95"/>
    </row>
    <row r="61" spans="1:24" ht="15">
      <c r="B61" s="154"/>
      <c r="I61" s="155"/>
      <c r="J61" s="155"/>
    </row>
    <row r="62" spans="1:24" ht="15">
      <c r="B62" s="154" t="s">
        <v>89</v>
      </c>
      <c r="I62" s="155"/>
      <c r="J62" s="155"/>
    </row>
    <row r="63" spans="1:24" ht="15">
      <c r="B63" s="154" t="s">
        <v>90</v>
      </c>
      <c r="I63" s="155"/>
      <c r="J63" s="155"/>
    </row>
    <row r="64" spans="1:24" ht="18">
      <c r="B64" s="156" t="s">
        <v>190</v>
      </c>
      <c r="C64" s="157">
        <f>C62+C63+E62+G62+I62</f>
        <v>0</v>
      </c>
      <c r="I64" s="155"/>
      <c r="J64" s="155"/>
    </row>
    <row r="65" spans="1:24" ht="15">
      <c r="B65" s="154"/>
      <c r="I65" s="155"/>
      <c r="J65" s="155"/>
    </row>
    <row r="66" spans="1:24" ht="72.75" customHeight="1">
      <c r="B66" s="154" t="s">
        <v>77</v>
      </c>
    </row>
    <row r="67" spans="1:24" ht="15">
      <c r="B67" s="154"/>
    </row>
    <row r="68" spans="1:24" ht="15">
      <c r="B68" s="154"/>
    </row>
    <row r="69" spans="1:24" ht="15">
      <c r="B69" s="154"/>
    </row>
    <row r="70" spans="1:24" ht="15">
      <c r="B70" s="154"/>
    </row>
    <row r="71" spans="1:24" ht="15">
      <c r="B71" s="154"/>
    </row>
    <row r="72" spans="1:24" ht="15">
      <c r="B72" s="154"/>
    </row>
    <row r="73" spans="1:24" s="38" customFormat="1" ht="15">
      <c r="A73" s="34"/>
      <c r="B73" s="154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</row>
    <row r="74" spans="1:24" s="38" customFormat="1" ht="15">
      <c r="A74" s="34"/>
      <c r="B74" s="154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</row>
    <row r="75" spans="1:24" s="38" customFormat="1" ht="15">
      <c r="A75" s="34"/>
      <c r="B75" s="154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</row>
    <row r="76" spans="1:24" s="38" customFormat="1" ht="15">
      <c r="A76" s="34"/>
      <c r="B76" s="154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</row>
    <row r="77" spans="1:24" s="38" customFormat="1" ht="15">
      <c r="A77" s="34"/>
      <c r="B77" s="154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</row>
    <row r="78" spans="1:24" s="38" customFormat="1" ht="15">
      <c r="A78" s="34"/>
      <c r="B78" s="154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</row>
    <row r="79" spans="1:24" s="38" customFormat="1" ht="15">
      <c r="A79" s="34"/>
      <c r="B79" s="154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</row>
    <row r="80" spans="1:24" s="38" customFormat="1" ht="15">
      <c r="A80" s="34"/>
      <c r="B80" s="154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</row>
    <row r="81" spans="1:24" s="38" customFormat="1" ht="15">
      <c r="A81" s="34"/>
      <c r="B81" s="154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</row>
    <row r="82" spans="1:24" s="38" customFormat="1" ht="15">
      <c r="A82" s="34"/>
      <c r="B82" s="154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</row>
    <row r="83" spans="1:24" s="38" customFormat="1" ht="15">
      <c r="A83" s="34"/>
      <c r="B83" s="154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</row>
    <row r="84" spans="1:24" s="38" customFormat="1" ht="15">
      <c r="A84" s="34"/>
      <c r="B84" s="154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</row>
    <row r="85" spans="1:24" s="38" customFormat="1" ht="15">
      <c r="A85" s="34"/>
      <c r="B85" s="154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</row>
    <row r="86" spans="1:24" s="38" customFormat="1" ht="15">
      <c r="A86" s="34"/>
      <c r="B86" s="154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</row>
    <row r="87" spans="1:24" s="38" customFormat="1" ht="15">
      <c r="A87" s="34"/>
      <c r="B87" s="154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</row>
    <row r="88" spans="1:24" s="38" customFormat="1" ht="15">
      <c r="A88" s="34"/>
      <c r="B88" s="154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</row>
    <row r="89" spans="1:24" s="38" customFormat="1" ht="15">
      <c r="A89" s="34"/>
      <c r="B89" s="154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</row>
    <row r="90" spans="1:24" s="38" customFormat="1" ht="15">
      <c r="A90" s="34"/>
      <c r="B90" s="154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</row>
    <row r="91" spans="1:24" s="38" customFormat="1" ht="15">
      <c r="A91" s="34"/>
      <c r="B91" s="154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</row>
    <row r="92" spans="1:24" s="38" customFormat="1" ht="15">
      <c r="A92" s="34"/>
      <c r="B92" s="154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</row>
    <row r="93" spans="1:24" s="38" customFormat="1" ht="15">
      <c r="A93" s="34"/>
      <c r="B93" s="154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</row>
    <row r="94" spans="1:24" s="38" customFormat="1" ht="15">
      <c r="A94" s="34"/>
      <c r="B94" s="154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</row>
    <row r="95" spans="1:24" s="38" customFormat="1" ht="15">
      <c r="A95" s="34"/>
      <c r="B95" s="154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</row>
    <row r="96" spans="1:24" s="38" customFormat="1" ht="15">
      <c r="A96" s="34"/>
      <c r="B96" s="154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</row>
    <row r="97" spans="1:24" s="38" customFormat="1" ht="15">
      <c r="A97" s="34"/>
      <c r="B97" s="154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</row>
    <row r="98" spans="1:24" s="38" customFormat="1" ht="15">
      <c r="A98" s="34"/>
      <c r="B98" s="154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</row>
    <row r="99" spans="1:24" s="38" customFormat="1" ht="15">
      <c r="A99" s="34"/>
      <c r="B99" s="154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</row>
    <row r="100" spans="1:24" s="38" customFormat="1" ht="15">
      <c r="A100" s="34"/>
      <c r="B100" s="154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</row>
    <row r="101" spans="1:24" s="38" customFormat="1" ht="15">
      <c r="A101" s="34"/>
      <c r="B101" s="154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</row>
    <row r="102" spans="1:24" s="38" customFormat="1" ht="15">
      <c r="A102" s="34"/>
      <c r="B102" s="154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</row>
    <row r="103" spans="1:24" s="38" customFormat="1" ht="15">
      <c r="A103" s="34"/>
      <c r="B103" s="154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</row>
    <row r="104" spans="1:24" s="38" customFormat="1" ht="15">
      <c r="A104" s="34"/>
      <c r="B104" s="154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</row>
    <row r="105" spans="1:24" s="38" customFormat="1" ht="15">
      <c r="A105" s="34"/>
      <c r="B105" s="154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</row>
    <row r="106" spans="1:24" s="38" customFormat="1" ht="15">
      <c r="A106" s="34"/>
      <c r="B106" s="154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</row>
    <row r="107" spans="1:24" s="38" customFormat="1" ht="15">
      <c r="A107" s="34"/>
      <c r="B107" s="154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</row>
    <row r="108" spans="1:24" s="38" customFormat="1" ht="15">
      <c r="A108" s="34"/>
      <c r="B108" s="154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</row>
    <row r="109" spans="1:24" s="38" customFormat="1" ht="15">
      <c r="A109" s="34"/>
      <c r="B109" s="154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</row>
    <row r="110" spans="1:24" s="38" customFormat="1" ht="15">
      <c r="A110" s="34"/>
      <c r="B110" s="154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</row>
    <row r="111" spans="1:24" s="38" customFormat="1" ht="15">
      <c r="A111" s="34"/>
      <c r="B111" s="154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</row>
    <row r="112" spans="1:24" s="38" customFormat="1" ht="15">
      <c r="A112" s="34"/>
      <c r="B112" s="154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</row>
    <row r="113" spans="1:24" s="38" customFormat="1" ht="15">
      <c r="A113" s="34"/>
      <c r="B113" s="154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</row>
    <row r="114" spans="1:24" s="38" customFormat="1" ht="15">
      <c r="A114" s="34"/>
      <c r="B114" s="154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</row>
    <row r="115" spans="1:24" s="38" customFormat="1" ht="15">
      <c r="A115" s="34"/>
      <c r="B115" s="154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</row>
    <row r="116" spans="1:24" s="38" customFormat="1" ht="15">
      <c r="A116" s="34"/>
      <c r="B116" s="154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</row>
    <row r="117" spans="1:24" s="38" customFormat="1" ht="15">
      <c r="A117" s="34"/>
      <c r="B117" s="154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</row>
    <row r="118" spans="1:24" s="38" customFormat="1" ht="15">
      <c r="A118" s="34"/>
      <c r="B118" s="154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</row>
    <row r="119" spans="1:24" s="38" customFormat="1" ht="15">
      <c r="A119" s="34"/>
      <c r="B119" s="154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</row>
    <row r="120" spans="1:24" s="38" customFormat="1" ht="15">
      <c r="A120" s="34"/>
      <c r="B120" s="154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</row>
    <row r="121" spans="1:24" s="38" customFormat="1" ht="15">
      <c r="A121" s="34"/>
      <c r="B121" s="154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</row>
  </sheetData>
  <mergeCells count="1">
    <mergeCell ref="C1:P1"/>
  </mergeCells>
  <phoneticPr fontId="42" type="noConversion"/>
  <printOptions verticalCentered="1"/>
  <pageMargins left="0.59055118110236227" right="0.59055118110236227" top="0.78740157480314965" bottom="0.78740157480314965" header="0.51181102362204722" footer="0.51181102362204722"/>
  <pageSetup paperSize="9" scale="40" fitToHeight="2" orientation="landscape" horizontalDpi="300" verticalDpi="300" r:id="rId1"/>
  <headerFooter alignWithMargins="0"/>
  <rowBreaks count="1" manualBreakCount="1">
    <brk id="32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G39"/>
  <sheetViews>
    <sheetView workbookViewId="0">
      <selection activeCell="C5" sqref="C5"/>
    </sheetView>
  </sheetViews>
  <sheetFormatPr defaultRowHeight="12.75"/>
  <cols>
    <col min="1" max="1" width="9.140625" style="34" customWidth="1"/>
    <col min="2" max="2" width="51.140625" style="34" customWidth="1"/>
    <col min="3" max="3" width="18.85546875" style="34" customWidth="1"/>
    <col min="4" max="4" width="15.42578125" style="34" customWidth="1"/>
    <col min="5" max="5" width="17.42578125" style="34" customWidth="1"/>
    <col min="6" max="6" width="13.85546875" style="34" customWidth="1"/>
    <col min="7" max="7" width="12.85546875" style="34" customWidth="1"/>
    <col min="8" max="8" width="13.5703125" style="34" customWidth="1"/>
    <col min="9" max="9" width="20.7109375" style="34" customWidth="1"/>
    <col min="10" max="10" width="18" style="34" customWidth="1"/>
    <col min="11" max="16384" width="9.140625" style="34"/>
  </cols>
  <sheetData>
    <row r="1" spans="1:7">
      <c r="B1" s="224" t="s">
        <v>321</v>
      </c>
      <c r="C1" s="224"/>
      <c r="D1" s="224"/>
      <c r="E1" s="224"/>
    </row>
    <row r="2" spans="1:7" ht="19.5" customHeight="1">
      <c r="B2" s="35" t="s">
        <v>138</v>
      </c>
    </row>
    <row r="3" spans="1:7">
      <c r="E3" s="34" t="s">
        <v>0</v>
      </c>
    </row>
    <row r="4" spans="1:7" ht="13.5" thickBot="1">
      <c r="B4" s="104" t="s">
        <v>6</v>
      </c>
      <c r="C4" s="104" t="s">
        <v>139</v>
      </c>
      <c r="D4" s="104" t="s">
        <v>8</v>
      </c>
      <c r="E4" s="104" t="s">
        <v>9</v>
      </c>
    </row>
    <row r="5" spans="1:7" ht="48" customHeight="1">
      <c r="A5" s="34">
        <v>1</v>
      </c>
      <c r="B5" s="97" t="s">
        <v>140</v>
      </c>
      <c r="C5" s="106" t="s">
        <v>141</v>
      </c>
      <c r="D5" s="106" t="s">
        <v>142</v>
      </c>
      <c r="E5" s="107" t="s">
        <v>143</v>
      </c>
    </row>
    <row r="6" spans="1:7" ht="85.5">
      <c r="A6" s="34">
        <v>2</v>
      </c>
      <c r="B6" s="29" t="s">
        <v>94</v>
      </c>
      <c r="C6" s="173">
        <f>'2 helyi adó bev.'!D6</f>
        <v>74300</v>
      </c>
      <c r="D6" s="108">
        <v>2413</v>
      </c>
      <c r="E6" s="215" t="s">
        <v>307</v>
      </c>
      <c r="G6" s="181"/>
    </row>
    <row r="7" spans="1:7" ht="28.5">
      <c r="A7" s="34">
        <v>3</v>
      </c>
      <c r="B7" s="29" t="s">
        <v>95</v>
      </c>
      <c r="C7" s="173">
        <f>'2 helyi adó bev.'!D7</f>
        <v>30000</v>
      </c>
      <c r="D7" s="108">
        <v>805</v>
      </c>
      <c r="E7" s="215" t="s">
        <v>308</v>
      </c>
      <c r="G7" s="181"/>
    </row>
    <row r="8" spans="1:7" ht="14.25">
      <c r="A8" s="34">
        <v>4</v>
      </c>
      <c r="B8" s="29" t="s">
        <v>96</v>
      </c>
      <c r="C8" s="173">
        <f>'2 helyi adó bev.'!D12</f>
        <v>40925</v>
      </c>
      <c r="D8" s="108">
        <v>0</v>
      </c>
      <c r="E8" s="109"/>
      <c r="G8" s="181"/>
    </row>
    <row r="9" spans="1:7" ht="57">
      <c r="A9" s="34">
        <v>5</v>
      </c>
      <c r="B9" s="29" t="s">
        <v>97</v>
      </c>
      <c r="C9" s="173">
        <f>'2 helyi adó bev.'!D8</f>
        <v>25000</v>
      </c>
      <c r="D9" s="108">
        <v>771</v>
      </c>
      <c r="E9" s="215" t="s">
        <v>309</v>
      </c>
      <c r="G9" s="181"/>
    </row>
    <row r="10" spans="1:7" ht="14.25">
      <c r="A10" s="34">
        <v>6</v>
      </c>
      <c r="B10" s="174" t="s">
        <v>191</v>
      </c>
      <c r="C10" s="173">
        <f>'2 helyi adó bev.'!D10</f>
        <v>2000</v>
      </c>
      <c r="D10" s="108">
        <v>0</v>
      </c>
      <c r="E10" s="109"/>
      <c r="G10" s="181"/>
    </row>
    <row r="11" spans="1:7" ht="14.25">
      <c r="A11" s="34">
        <v>7</v>
      </c>
      <c r="B11" s="98" t="s">
        <v>144</v>
      </c>
      <c r="C11" s="207">
        <f>'2 helyi adó bev.'!D9</f>
        <v>6000</v>
      </c>
      <c r="D11" s="108">
        <v>460</v>
      </c>
      <c r="E11" s="109"/>
      <c r="G11" s="181"/>
    </row>
    <row r="12" spans="1:7" ht="25.5">
      <c r="A12" s="34">
        <v>8</v>
      </c>
      <c r="B12" s="165" t="s">
        <v>226</v>
      </c>
      <c r="C12" s="208">
        <f>'2 helyi adó bev.'!D13</f>
        <v>1000</v>
      </c>
      <c r="D12" s="209">
        <v>0</v>
      </c>
      <c r="E12" s="210"/>
      <c r="G12" s="181"/>
    </row>
    <row r="13" spans="1:7" ht="14.25">
      <c r="A13" s="34">
        <v>9</v>
      </c>
      <c r="B13" s="165" t="s">
        <v>224</v>
      </c>
      <c r="C13" s="208">
        <f>'2 helyi adó bev.'!D11</f>
        <v>50</v>
      </c>
      <c r="D13" s="209">
        <v>0</v>
      </c>
      <c r="E13" s="210"/>
      <c r="G13" s="181"/>
    </row>
    <row r="14" spans="1:7" ht="15.75" thickBot="1">
      <c r="A14" s="34">
        <v>10</v>
      </c>
      <c r="B14" s="100" t="s">
        <v>145</v>
      </c>
      <c r="C14" s="211">
        <f>SUM(C6:C13)</f>
        <v>179275</v>
      </c>
      <c r="D14" s="114">
        <f>SUM(D6:D13)</f>
        <v>4449</v>
      </c>
      <c r="E14" s="111"/>
      <c r="G14" s="181"/>
    </row>
    <row r="15" spans="1:7" ht="38.25">
      <c r="A15" s="34">
        <v>11</v>
      </c>
      <c r="B15" s="97" t="s">
        <v>146</v>
      </c>
      <c r="C15" s="112" t="s">
        <v>141</v>
      </c>
      <c r="D15" s="106" t="s">
        <v>142</v>
      </c>
      <c r="E15" s="113" t="s">
        <v>143</v>
      </c>
      <c r="G15" s="181"/>
    </row>
    <row r="16" spans="1:7" ht="14.25">
      <c r="A16" s="34">
        <v>12</v>
      </c>
      <c r="B16" s="99"/>
      <c r="C16" s="216">
        <v>302</v>
      </c>
      <c r="D16" s="110">
        <v>0</v>
      </c>
      <c r="E16" s="109"/>
    </row>
    <row r="17" spans="1:5" ht="14.25">
      <c r="A17" s="34">
        <v>13</v>
      </c>
      <c r="B17" s="99"/>
      <c r="C17" s="110"/>
      <c r="D17" s="110"/>
      <c r="E17" s="109"/>
    </row>
    <row r="18" spans="1:5" ht="15" thickBot="1">
      <c r="A18" s="34">
        <v>14</v>
      </c>
      <c r="B18" s="100" t="s">
        <v>147</v>
      </c>
      <c r="C18" s="114">
        <f>SUM(C16:C17)</f>
        <v>302</v>
      </c>
      <c r="D18" s="114">
        <f>SUM(D16:D17)</f>
        <v>0</v>
      </c>
      <c r="E18" s="115"/>
    </row>
    <row r="19" spans="1:5" ht="38.25">
      <c r="A19" s="34">
        <v>15</v>
      </c>
      <c r="B19" s="97" t="s">
        <v>148</v>
      </c>
      <c r="C19" s="112" t="s">
        <v>141</v>
      </c>
      <c r="D19" s="106" t="s">
        <v>142</v>
      </c>
      <c r="E19" s="113" t="s">
        <v>143</v>
      </c>
    </row>
    <row r="20" spans="1:5" ht="14.25">
      <c r="A20" s="34">
        <v>16</v>
      </c>
      <c r="B20" s="99" t="s">
        <v>260</v>
      </c>
      <c r="C20" s="110">
        <f>(2542+3258)*1.27</f>
        <v>7366</v>
      </c>
      <c r="D20" s="216">
        <v>1440</v>
      </c>
      <c r="E20" s="109"/>
    </row>
    <row r="21" spans="1:5" ht="14.25">
      <c r="A21" s="34">
        <v>17</v>
      </c>
      <c r="B21" s="99"/>
      <c r="C21" s="110"/>
      <c r="D21" s="110"/>
      <c r="E21" s="109"/>
    </row>
    <row r="22" spans="1:5" ht="15.75" thickBot="1">
      <c r="A22" s="34">
        <v>18</v>
      </c>
      <c r="B22" s="100" t="s">
        <v>149</v>
      </c>
      <c r="C22" s="114">
        <f>SUM(C20:C21)</f>
        <v>7366</v>
      </c>
      <c r="D22" s="114">
        <f>SUM(D20:D21)</f>
        <v>1440</v>
      </c>
      <c r="E22" s="116"/>
    </row>
    <row r="23" spans="1:5" ht="38.25">
      <c r="A23" s="34">
        <v>19</v>
      </c>
      <c r="B23" s="101" t="s">
        <v>150</v>
      </c>
      <c r="C23" s="112" t="s">
        <v>141</v>
      </c>
      <c r="D23" s="106" t="s">
        <v>142</v>
      </c>
      <c r="E23" s="113" t="s">
        <v>143</v>
      </c>
    </row>
    <row r="24" spans="1:5" ht="15">
      <c r="A24" s="34">
        <v>20</v>
      </c>
      <c r="B24" s="99" t="s">
        <v>261</v>
      </c>
      <c r="C24" s="182">
        <f>(7340+2734)*1.27</f>
        <v>12793.98</v>
      </c>
      <c r="D24" s="110">
        <v>0</v>
      </c>
      <c r="E24" s="117"/>
    </row>
    <row r="25" spans="1:5" ht="15">
      <c r="A25" s="34">
        <v>21</v>
      </c>
      <c r="B25" s="99" t="s">
        <v>262</v>
      </c>
      <c r="C25" s="182">
        <f>(15279+190+3840)*1.27</f>
        <v>24522.43</v>
      </c>
      <c r="D25" s="110">
        <v>0</v>
      </c>
      <c r="E25" s="117"/>
    </row>
    <row r="26" spans="1:5" ht="15.75" thickBot="1">
      <c r="A26" s="34">
        <v>22</v>
      </c>
      <c r="B26" s="100" t="s">
        <v>151</v>
      </c>
      <c r="C26" s="183">
        <f>SUM(C24:C25)</f>
        <v>37316.410000000003</v>
      </c>
      <c r="D26" s="114">
        <f>SUM(D24:D25)</f>
        <v>0</v>
      </c>
      <c r="E26" s="116"/>
    </row>
    <row r="27" spans="1:5" ht="36">
      <c r="A27" s="34">
        <v>23</v>
      </c>
      <c r="B27" s="97" t="s">
        <v>152</v>
      </c>
      <c r="C27" s="112" t="s">
        <v>141</v>
      </c>
      <c r="D27" s="106" t="s">
        <v>142</v>
      </c>
      <c r="E27" s="113" t="s">
        <v>143</v>
      </c>
    </row>
    <row r="28" spans="1:5" ht="14.25">
      <c r="A28" s="34">
        <v>24</v>
      </c>
      <c r="B28" s="99" t="s">
        <v>153</v>
      </c>
      <c r="C28" s="110"/>
      <c r="D28" s="110"/>
      <c r="E28" s="109"/>
    </row>
    <row r="29" spans="1:5" ht="14.25">
      <c r="A29" s="34">
        <v>25</v>
      </c>
      <c r="B29" s="99" t="s">
        <v>154</v>
      </c>
      <c r="C29" s="110"/>
      <c r="D29" s="110"/>
      <c r="E29" s="109"/>
    </row>
    <row r="30" spans="1:5" ht="15" thickBot="1">
      <c r="A30" s="34">
        <v>26</v>
      </c>
      <c r="B30" s="100" t="s">
        <v>155</v>
      </c>
      <c r="C30" s="114">
        <f>SUM(C28:C29)</f>
        <v>0</v>
      </c>
      <c r="D30" s="114">
        <f>SUM(D28:D29)</f>
        <v>0</v>
      </c>
      <c r="E30" s="115"/>
    </row>
    <row r="31" spans="1:5" ht="26.25" customHeight="1">
      <c r="A31" s="34">
        <v>27</v>
      </c>
      <c r="B31" s="102" t="s">
        <v>156</v>
      </c>
      <c r="C31" s="217">
        <f>SUM(C14,C18,C22,C26,C30)</f>
        <v>224259.41</v>
      </c>
      <c r="D31" s="118">
        <f>SUM(D14,D18,D22,D26,D30)</f>
        <v>5889</v>
      </c>
      <c r="E31" s="118"/>
    </row>
    <row r="32" spans="1:5">
      <c r="B32" s="105"/>
      <c r="C32" s="105"/>
      <c r="D32" s="105"/>
      <c r="E32" s="105"/>
    </row>
    <row r="33" spans="2:5" ht="15">
      <c r="B33" s="103"/>
      <c r="C33" s="105"/>
      <c r="D33" s="105"/>
      <c r="E33" s="105"/>
    </row>
    <row r="34" spans="2:5">
      <c r="B34" s="139"/>
    </row>
    <row r="35" spans="2:5">
      <c r="B35"/>
    </row>
    <row r="36" spans="2:5">
      <c r="B36"/>
    </row>
    <row r="37" spans="2:5">
      <c r="B37"/>
    </row>
    <row r="38" spans="2:5">
      <c r="B38"/>
    </row>
    <row r="39" spans="2:5">
      <c r="B39"/>
    </row>
  </sheetData>
  <mergeCells count="1">
    <mergeCell ref="B1:E1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42"/>
  <sheetViews>
    <sheetView view="pageBreakPreview" zoomScale="75" zoomScaleSheetLayoutView="75" workbookViewId="0">
      <selection activeCell="D8" sqref="D8"/>
    </sheetView>
  </sheetViews>
  <sheetFormatPr defaultRowHeight="14.25"/>
  <cols>
    <col min="1" max="1" width="9.140625" style="34" customWidth="1"/>
    <col min="2" max="2" width="48" style="34" customWidth="1"/>
    <col min="3" max="3" width="21.42578125" style="119" customWidth="1"/>
    <col min="4" max="4" width="21.7109375" style="119" customWidth="1"/>
    <col min="5" max="5" width="49.5703125" style="34" customWidth="1"/>
    <col min="6" max="6" width="20.140625" style="120" customWidth="1"/>
    <col min="7" max="7" width="20.85546875" style="120" customWidth="1"/>
    <col min="8" max="8" width="20.7109375" style="34" customWidth="1"/>
    <col min="9" max="9" width="18" style="34" customWidth="1"/>
    <col min="10" max="16384" width="9.140625" style="34"/>
  </cols>
  <sheetData>
    <row r="1" spans="1:7" ht="14.25" customHeight="1">
      <c r="B1" s="226" t="s">
        <v>322</v>
      </c>
      <c r="C1" s="226"/>
      <c r="D1" s="226"/>
      <c r="E1" s="226"/>
      <c r="F1" s="226"/>
      <c r="G1" s="226"/>
    </row>
    <row r="2" spans="1:7" ht="20.25">
      <c r="B2" s="35" t="s">
        <v>157</v>
      </c>
      <c r="E2" s="35"/>
    </row>
    <row r="3" spans="1:7">
      <c r="F3" s="120" t="s">
        <v>0</v>
      </c>
    </row>
    <row r="4" spans="1:7" ht="60.2" customHeight="1">
      <c r="B4" s="23" t="s">
        <v>1</v>
      </c>
      <c r="C4" s="121" t="s">
        <v>158</v>
      </c>
      <c r="D4" s="121" t="s">
        <v>159</v>
      </c>
      <c r="E4" s="121" t="s">
        <v>1</v>
      </c>
      <c r="F4" s="121" t="s">
        <v>158</v>
      </c>
      <c r="G4" s="121" t="s">
        <v>159</v>
      </c>
    </row>
    <row r="5" spans="1:7">
      <c r="B5" s="23" t="s">
        <v>6</v>
      </c>
      <c r="C5" s="122" t="s">
        <v>7</v>
      </c>
      <c r="D5" s="122" t="s">
        <v>8</v>
      </c>
      <c r="E5" s="23" t="s">
        <v>160</v>
      </c>
      <c r="F5" s="121" t="s">
        <v>10</v>
      </c>
      <c r="G5" s="121" t="s">
        <v>11</v>
      </c>
    </row>
    <row r="6" spans="1:7">
      <c r="A6" s="34">
        <v>1</v>
      </c>
      <c r="B6" s="75"/>
      <c r="C6" s="123"/>
      <c r="D6" s="123"/>
      <c r="E6" s="17" t="s">
        <v>47</v>
      </c>
      <c r="F6" s="124">
        <f>35741+43892+32339+40404</f>
        <v>152376</v>
      </c>
      <c r="G6" s="124">
        <f>'1 bevétel-kiadás'!D38+'1 bevétel-kiadás'!F38+'1 bevétel-kiadás'!H38+'1 bevétel-kiadás'!J38</f>
        <v>156750</v>
      </c>
    </row>
    <row r="7" spans="1:7" ht="28.5">
      <c r="A7" s="34">
        <v>2</v>
      </c>
      <c r="B7" s="75"/>
      <c r="C7" s="123"/>
      <c r="D7" s="123"/>
      <c r="E7" s="17" t="s">
        <v>48</v>
      </c>
      <c r="F7" s="124">
        <f>11041+9008+12018+11886</f>
        <v>43953</v>
      </c>
      <c r="G7" s="124">
        <f>'1 bevétel-kiadás'!D39+'1 bevétel-kiadás'!F39+'1 bevétel-kiadás'!H39+'1 bevétel-kiadás'!J39</f>
        <v>44956</v>
      </c>
    </row>
    <row r="8" spans="1:7" ht="96" customHeight="1">
      <c r="A8" s="34">
        <v>3</v>
      </c>
      <c r="B8" s="4" t="s">
        <v>19</v>
      </c>
      <c r="C8" s="123">
        <f>35946+401+120197+23369</f>
        <v>179913</v>
      </c>
      <c r="D8" s="123">
        <f>'1 bevétel-kiadás'!D7+'1 bevétel-kiadás'!F7+'1 bevétel-kiadás'!H7+'1 bevétel-kiadás'!J7</f>
        <v>199973</v>
      </c>
      <c r="E8" s="135" t="s">
        <v>49</v>
      </c>
      <c r="F8" s="124">
        <f>64669+2673+27355+127952</f>
        <v>222649</v>
      </c>
      <c r="G8" s="124">
        <f>'1 bevétel-kiadás'!D40+'1 bevétel-kiadás'!F40+'1 bevétel-kiadás'!H40+'1 bevétel-kiadás'!J40</f>
        <v>259367</v>
      </c>
    </row>
    <row r="9" spans="1:7" ht="42.75">
      <c r="A9" s="34">
        <v>4</v>
      </c>
      <c r="B9" s="4" t="s">
        <v>20</v>
      </c>
      <c r="C9" s="123">
        <f>SUM(C10:C13)</f>
        <v>178000</v>
      </c>
      <c r="D9" s="123">
        <f>'1 bevétel-kiadás'!D8</f>
        <v>179275</v>
      </c>
      <c r="E9" s="125" t="s">
        <v>161</v>
      </c>
      <c r="F9" s="126"/>
      <c r="G9" s="126"/>
    </row>
    <row r="10" spans="1:7">
      <c r="A10" s="34">
        <v>5</v>
      </c>
      <c r="B10" s="5" t="s">
        <v>21</v>
      </c>
      <c r="C10" s="123">
        <v>171000</v>
      </c>
      <c r="D10" s="123">
        <f>'1 bevétel-kiadás'!D9</f>
        <v>172275</v>
      </c>
      <c r="E10" s="17" t="s">
        <v>51</v>
      </c>
      <c r="F10" s="124">
        <f>SUM(F11:F14)</f>
        <v>135433</v>
      </c>
      <c r="G10" s="124">
        <f>SUM(G11:G14)</f>
        <v>137126</v>
      </c>
    </row>
    <row r="11" spans="1:7">
      <c r="A11" s="34">
        <v>6</v>
      </c>
      <c r="B11" s="5" t="s">
        <v>22</v>
      </c>
      <c r="C11" s="123">
        <f>'[1]1 bevétel-kiadás'!J9</f>
        <v>0</v>
      </c>
      <c r="D11" s="123">
        <v>0</v>
      </c>
      <c r="E11" s="18" t="s">
        <v>52</v>
      </c>
      <c r="F11" s="124">
        <v>6200</v>
      </c>
      <c r="G11" s="124">
        <f>'1 bevétel-kiadás'!D43</f>
        <v>3206</v>
      </c>
    </row>
    <row r="12" spans="1:7" ht="28.5">
      <c r="A12" s="34">
        <v>7</v>
      </c>
      <c r="B12" s="5" t="s">
        <v>23</v>
      </c>
      <c r="C12" s="123">
        <v>1000</v>
      </c>
      <c r="D12" s="123">
        <f>'1 bevétel-kiadás'!D11</f>
        <v>1000</v>
      </c>
      <c r="E12" s="19" t="s">
        <v>53</v>
      </c>
      <c r="F12" s="124">
        <v>0</v>
      </c>
      <c r="G12" s="124"/>
    </row>
    <row r="13" spans="1:7" ht="28.5">
      <c r="A13" s="34">
        <v>8</v>
      </c>
      <c r="B13" s="5" t="s">
        <v>88</v>
      </c>
      <c r="C13" s="123">
        <v>6000</v>
      </c>
      <c r="D13" s="123">
        <f>'1 bevétel-kiadás'!D12</f>
        <v>6000</v>
      </c>
      <c r="E13" s="18" t="s">
        <v>54</v>
      </c>
      <c r="F13" s="124">
        <v>122014</v>
      </c>
      <c r="G13" s="124">
        <f>'1 bevétel-kiadás'!D45</f>
        <v>127494</v>
      </c>
    </row>
    <row r="14" spans="1:7" ht="28.5">
      <c r="A14" s="34">
        <v>9</v>
      </c>
      <c r="B14" s="4" t="s">
        <v>25</v>
      </c>
      <c r="C14" s="123">
        <v>171876</v>
      </c>
      <c r="D14" s="123">
        <f>'1 bevétel-kiadás'!D14</f>
        <v>174862</v>
      </c>
      <c r="E14" s="18" t="s">
        <v>55</v>
      </c>
      <c r="F14" s="124">
        <f>7159+60</f>
        <v>7219</v>
      </c>
      <c r="G14" s="124">
        <f>'1 bevétel-kiadás'!D46</f>
        <v>6426</v>
      </c>
    </row>
    <row r="15" spans="1:7" ht="28.5">
      <c r="A15" s="34">
        <v>10</v>
      </c>
      <c r="B15" s="4" t="s">
        <v>26</v>
      </c>
      <c r="C15" s="123">
        <v>53381</v>
      </c>
      <c r="D15" s="123">
        <f>'1 bevétel-kiadás'!D15</f>
        <v>58338</v>
      </c>
      <c r="E15" s="17" t="s">
        <v>56</v>
      </c>
      <c r="F15" s="124">
        <f>SUM(F16:F17)</f>
        <v>11029</v>
      </c>
      <c r="G15" s="124">
        <f>SUM(G16:G17)</f>
        <v>13803</v>
      </c>
    </row>
    <row r="16" spans="1:7" ht="28.5">
      <c r="A16" s="34">
        <v>11</v>
      </c>
      <c r="B16" s="4" t="s">
        <v>27</v>
      </c>
      <c r="C16" s="123">
        <v>50</v>
      </c>
      <c r="D16" s="123">
        <f>'1 bevétel-kiadás'!D16</f>
        <v>50</v>
      </c>
      <c r="E16" s="19" t="s">
        <v>57</v>
      </c>
      <c r="F16" s="124">
        <v>10029</v>
      </c>
      <c r="G16" s="124">
        <f>'1 bevétel-kiadás'!D48</f>
        <v>12803</v>
      </c>
    </row>
    <row r="17" spans="1:7" ht="28.5">
      <c r="A17" s="34">
        <v>12</v>
      </c>
      <c r="B17" s="4" t="s">
        <v>263</v>
      </c>
      <c r="C17" s="123">
        <v>0</v>
      </c>
      <c r="D17" s="123">
        <v>0</v>
      </c>
      <c r="E17" s="19" t="s">
        <v>58</v>
      </c>
      <c r="F17" s="124">
        <v>1000</v>
      </c>
      <c r="G17" s="124">
        <f>'1 bevétel-kiadás'!D49</f>
        <v>1000</v>
      </c>
    </row>
    <row r="18" spans="1:7">
      <c r="A18" s="34">
        <v>13</v>
      </c>
      <c r="B18" s="7" t="s">
        <v>29</v>
      </c>
      <c r="C18" s="123">
        <f>C8+C9+C14+C15+C16+C17</f>
        <v>583220</v>
      </c>
      <c r="D18" s="123">
        <f>D8+D9+D14+D15+D16+D17</f>
        <v>612498</v>
      </c>
      <c r="E18" s="20" t="s">
        <v>162</v>
      </c>
      <c r="F18" s="124">
        <f>F15+F10+F8+F7+F6</f>
        <v>565440</v>
      </c>
      <c r="G18" s="124">
        <f>G15+G10+G8+G7+G6</f>
        <v>612002</v>
      </c>
    </row>
    <row r="19" spans="1:7">
      <c r="A19" s="34">
        <v>14</v>
      </c>
      <c r="B19" s="75"/>
      <c r="C19" s="123"/>
      <c r="D19" s="123"/>
      <c r="E19" s="21" t="s">
        <v>60</v>
      </c>
      <c r="F19" s="124">
        <v>337863</v>
      </c>
      <c r="G19" s="124">
        <f>'1 bevétel-kiadás'!D51</f>
        <v>247364</v>
      </c>
    </row>
    <row r="20" spans="1:7">
      <c r="A20" s="34">
        <v>15</v>
      </c>
      <c r="B20" s="75"/>
      <c r="C20" s="123"/>
      <c r="D20" s="123"/>
      <c r="E20" s="21" t="s">
        <v>61</v>
      </c>
      <c r="F20" s="124"/>
      <c r="G20" s="124">
        <f>'1 bevétel-kiadás'!D52</f>
        <v>79995</v>
      </c>
    </row>
    <row r="21" spans="1:7">
      <c r="A21" s="34">
        <v>16</v>
      </c>
      <c r="B21" s="75"/>
      <c r="C21" s="123"/>
      <c r="D21" s="123"/>
      <c r="E21" s="17" t="s">
        <v>62</v>
      </c>
      <c r="F21" s="124"/>
      <c r="G21" s="124"/>
    </row>
    <row r="22" spans="1:7">
      <c r="A22" s="34">
        <v>17</v>
      </c>
      <c r="B22" s="75"/>
      <c r="C22" s="123"/>
      <c r="D22" s="123"/>
      <c r="E22" s="17" t="s">
        <v>63</v>
      </c>
      <c r="F22" s="124"/>
      <c r="G22" s="124"/>
    </row>
    <row r="23" spans="1:7">
      <c r="A23" s="34">
        <v>18</v>
      </c>
      <c r="B23" s="75"/>
      <c r="C23" s="123"/>
      <c r="D23" s="123"/>
      <c r="E23" s="17" t="s">
        <v>64</v>
      </c>
      <c r="F23" s="124"/>
      <c r="G23" s="124"/>
    </row>
    <row r="24" spans="1:7" ht="42.75">
      <c r="A24" s="34">
        <v>19</v>
      </c>
      <c r="B24" s="75"/>
      <c r="C24" s="123"/>
      <c r="D24" s="123"/>
      <c r="E24" s="127" t="s">
        <v>163</v>
      </c>
      <c r="F24" s="126"/>
      <c r="G24" s="126"/>
    </row>
    <row r="25" spans="1:7">
      <c r="A25" s="34">
        <v>20</v>
      </c>
      <c r="B25" s="75"/>
      <c r="C25" s="123"/>
      <c r="D25" s="123"/>
      <c r="E25" s="17" t="s">
        <v>65</v>
      </c>
      <c r="F25" s="124"/>
      <c r="G25" s="124"/>
    </row>
    <row r="26" spans="1:7" ht="28.5">
      <c r="A26" s="34">
        <v>21</v>
      </c>
      <c r="B26" s="4" t="s">
        <v>30</v>
      </c>
      <c r="C26" s="123">
        <v>50033</v>
      </c>
      <c r="D26" s="123">
        <f>'1 bevétel-kiadás'!D19</f>
        <v>50033</v>
      </c>
      <c r="E26" s="22" t="s">
        <v>66</v>
      </c>
      <c r="F26" s="124"/>
      <c r="G26" s="124"/>
    </row>
    <row r="27" spans="1:7" ht="28.5">
      <c r="A27" s="34">
        <v>22</v>
      </c>
      <c r="B27" s="4" t="s">
        <v>31</v>
      </c>
      <c r="C27" s="123">
        <v>50</v>
      </c>
      <c r="D27" s="123">
        <f>'1 bevétel-kiadás'!D20</f>
        <v>160</v>
      </c>
      <c r="E27" s="22" t="s">
        <v>67</v>
      </c>
      <c r="F27" s="124"/>
      <c r="G27" s="124"/>
    </row>
    <row r="28" spans="1:7" ht="54" customHeight="1">
      <c r="A28" s="34">
        <v>23</v>
      </c>
      <c r="B28" s="4" t="s">
        <v>32</v>
      </c>
      <c r="C28" s="123">
        <v>0</v>
      </c>
      <c r="D28" s="123">
        <f>'1 bevétel-kiadás'!D21</f>
        <v>236</v>
      </c>
      <c r="E28" s="10" t="s">
        <v>68</v>
      </c>
      <c r="F28" s="124"/>
      <c r="G28" s="124"/>
    </row>
    <row r="29" spans="1:7" ht="28.5">
      <c r="A29" s="34">
        <v>24</v>
      </c>
      <c r="B29" s="4" t="s">
        <v>33</v>
      </c>
      <c r="C29" s="123">
        <v>270000</v>
      </c>
      <c r="D29" s="123">
        <f>'1 bevétel-kiadás'!D26+'1 bevétel-kiadás'!F26+'1 bevétel-kiadás'!H26+'1 bevétel-kiadás'!J26</f>
        <v>284018</v>
      </c>
      <c r="E29" s="22" t="s">
        <v>69</v>
      </c>
      <c r="F29" s="124"/>
      <c r="G29" s="124"/>
    </row>
    <row r="30" spans="1:7" ht="28.5">
      <c r="A30" s="34">
        <v>25</v>
      </c>
      <c r="B30" s="7" t="s">
        <v>35</v>
      </c>
      <c r="C30" s="123">
        <f>SUM(C26:C29)</f>
        <v>320083</v>
      </c>
      <c r="D30" s="123">
        <f>SUM(D26:D29)</f>
        <v>334447</v>
      </c>
      <c r="E30" s="20" t="s">
        <v>164</v>
      </c>
      <c r="F30" s="124">
        <f>F20+F19</f>
        <v>337863</v>
      </c>
      <c r="G30" s="124">
        <f>G20+G19</f>
        <v>327359</v>
      </c>
    </row>
    <row r="31" spans="1:7" ht="28.5">
      <c r="A31" s="34">
        <v>26</v>
      </c>
      <c r="B31" s="4" t="s">
        <v>36</v>
      </c>
      <c r="C31" s="123"/>
      <c r="D31" s="123"/>
      <c r="E31" s="4" t="s">
        <v>71</v>
      </c>
      <c r="F31" s="124"/>
      <c r="G31" s="124"/>
    </row>
    <row r="32" spans="1:7" ht="28.5">
      <c r="A32" s="34">
        <v>27</v>
      </c>
      <c r="B32" s="4" t="s">
        <v>37</v>
      </c>
      <c r="C32" s="123"/>
      <c r="D32" s="123"/>
      <c r="E32" s="4" t="s">
        <v>72</v>
      </c>
      <c r="F32" s="124"/>
      <c r="G32" s="124"/>
    </row>
    <row r="33" spans="1:7" ht="28.5">
      <c r="A33" s="34">
        <v>28</v>
      </c>
      <c r="B33" s="4" t="s">
        <v>38</v>
      </c>
      <c r="C33" s="123"/>
      <c r="D33" s="123"/>
      <c r="E33" s="4" t="s">
        <v>73</v>
      </c>
      <c r="F33" s="124"/>
      <c r="G33" s="124"/>
    </row>
    <row r="34" spans="1:7">
      <c r="A34" s="34">
        <v>29</v>
      </c>
      <c r="B34" s="7" t="s">
        <v>39</v>
      </c>
      <c r="C34" s="123">
        <f>SUM(C31:C33)</f>
        <v>0</v>
      </c>
      <c r="D34" s="123">
        <f>SUM(D31:D33)</f>
        <v>0</v>
      </c>
      <c r="E34" s="7" t="s">
        <v>39</v>
      </c>
      <c r="F34" s="124">
        <f>SUM(F31:F33)</f>
        <v>0</v>
      </c>
      <c r="G34" s="124">
        <f>SUM(G31:G33)</f>
        <v>0</v>
      </c>
    </row>
    <row r="35" spans="1:7">
      <c r="A35" s="34">
        <v>30</v>
      </c>
      <c r="B35" s="12" t="s">
        <v>165</v>
      </c>
      <c r="C35" s="123">
        <f>C34+C30+C18</f>
        <v>903303</v>
      </c>
      <c r="D35" s="123">
        <f>D34+D30+D18</f>
        <v>946945</v>
      </c>
      <c r="E35" s="12" t="s">
        <v>166</v>
      </c>
      <c r="F35" s="124">
        <f>F34+F18+F30</f>
        <v>903303</v>
      </c>
      <c r="G35" s="124">
        <f>G34+G30+G18</f>
        <v>939361</v>
      </c>
    </row>
    <row r="36" spans="1:7" ht="68.25" customHeight="1">
      <c r="A36" s="34">
        <v>31</v>
      </c>
      <c r="B36" s="14" t="s">
        <v>41</v>
      </c>
      <c r="C36" s="123"/>
      <c r="D36" s="123"/>
      <c r="E36" s="14" t="s">
        <v>41</v>
      </c>
      <c r="F36" s="124"/>
      <c r="G36" s="124"/>
    </row>
    <row r="37" spans="1:7">
      <c r="A37" s="34">
        <v>32</v>
      </c>
      <c r="B37" s="14" t="s">
        <v>42</v>
      </c>
      <c r="C37" s="123"/>
      <c r="D37" s="123">
        <f>'1 bevétel-kiadás'!D27</f>
        <v>574</v>
      </c>
      <c r="E37" s="14" t="s">
        <v>75</v>
      </c>
      <c r="F37" s="124"/>
      <c r="G37" s="124">
        <f>'1 bevétel-kiadás'!D59</f>
        <v>8158</v>
      </c>
    </row>
    <row r="38" spans="1:7">
      <c r="A38" s="34">
        <v>33</v>
      </c>
      <c r="B38" s="15" t="s">
        <v>167</v>
      </c>
      <c r="C38" s="123">
        <f>C35+C37+C36</f>
        <v>903303</v>
      </c>
      <c r="D38" s="123">
        <f>D35+D37+D36</f>
        <v>947519</v>
      </c>
      <c r="E38" s="24" t="s">
        <v>168</v>
      </c>
      <c r="F38" s="124">
        <f>F37+F35+F36+F39</f>
        <v>903303</v>
      </c>
      <c r="G38" s="124">
        <f>G37+G35+G36+G39</f>
        <v>947519</v>
      </c>
    </row>
    <row r="39" spans="1:7">
      <c r="A39" s="34">
        <v>34</v>
      </c>
      <c r="B39" s="128" t="s">
        <v>169</v>
      </c>
      <c r="C39" s="123"/>
      <c r="D39" s="123"/>
      <c r="E39" s="129" t="s">
        <v>170</v>
      </c>
      <c r="F39" s="124"/>
      <c r="G39" s="124"/>
    </row>
    <row r="40" spans="1:7" ht="28.5">
      <c r="A40" s="34">
        <v>35</v>
      </c>
      <c r="B40" s="5" t="s">
        <v>44</v>
      </c>
      <c r="C40" s="123"/>
      <c r="D40" s="123"/>
      <c r="F40" s="124"/>
    </row>
    <row r="41" spans="1:7" ht="28.5">
      <c r="A41" s="34">
        <v>36</v>
      </c>
      <c r="B41" s="5" t="s">
        <v>45</v>
      </c>
      <c r="C41" s="123"/>
      <c r="D41" s="123"/>
      <c r="E41" s="75"/>
      <c r="F41" s="124"/>
      <c r="G41" s="124"/>
    </row>
    <row r="42" spans="1:7" ht="97.5" customHeight="1">
      <c r="A42" s="34">
        <v>37</v>
      </c>
      <c r="B42" s="5" t="s">
        <v>46</v>
      </c>
      <c r="C42" s="123"/>
      <c r="D42" s="123"/>
      <c r="E42" s="136" t="s">
        <v>171</v>
      </c>
      <c r="F42" s="124"/>
      <c r="G42" s="124"/>
    </row>
  </sheetData>
  <mergeCells count="1">
    <mergeCell ref="B1:G1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1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2:O12"/>
  <sheetViews>
    <sheetView tabSelected="1" workbookViewId="0">
      <selection activeCell="M3" sqref="M3"/>
    </sheetView>
  </sheetViews>
  <sheetFormatPr defaultRowHeight="12.75"/>
  <cols>
    <col min="1" max="1" width="4.85546875" style="34" customWidth="1"/>
    <col min="2" max="2" width="34.7109375" style="34" customWidth="1"/>
    <col min="3" max="3" width="9.7109375" style="34" customWidth="1"/>
    <col min="4" max="14" width="9.140625" style="34" customWidth="1"/>
    <col min="15" max="15" width="12.7109375" style="34" customWidth="1"/>
    <col min="16" max="16384" width="9.140625" style="34"/>
  </cols>
  <sheetData>
    <row r="2" spans="1:15">
      <c r="B2" s="224" t="s">
        <v>323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</row>
    <row r="4" spans="1:15" ht="15">
      <c r="B4" s="134" t="s">
        <v>184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 t="s">
        <v>0</v>
      </c>
    </row>
    <row r="6" spans="1:15" ht="15">
      <c r="B6" s="130" t="s">
        <v>1</v>
      </c>
      <c r="C6" s="131" t="s">
        <v>172</v>
      </c>
      <c r="D6" s="131" t="s">
        <v>173</v>
      </c>
      <c r="E6" s="131" t="s">
        <v>174</v>
      </c>
      <c r="F6" s="131" t="s">
        <v>175</v>
      </c>
      <c r="G6" s="131" t="s">
        <v>176</v>
      </c>
      <c r="H6" s="131" t="s">
        <v>177</v>
      </c>
      <c r="I6" s="131" t="s">
        <v>178</v>
      </c>
      <c r="J6" s="131" t="s">
        <v>179</v>
      </c>
      <c r="K6" s="131" t="s">
        <v>180</v>
      </c>
      <c r="L6" s="131" t="s">
        <v>181</v>
      </c>
      <c r="M6" s="131" t="s">
        <v>182</v>
      </c>
      <c r="N6" s="131" t="s">
        <v>183</v>
      </c>
      <c r="O6" s="132" t="s">
        <v>117</v>
      </c>
    </row>
    <row r="7" spans="1:15" ht="14.25">
      <c r="A7" s="34">
        <v>1</v>
      </c>
      <c r="B7" s="133" t="s">
        <v>6</v>
      </c>
      <c r="C7" s="11" t="s">
        <v>7</v>
      </c>
      <c r="D7" s="11" t="s">
        <v>8</v>
      </c>
      <c r="E7" s="11" t="s">
        <v>9</v>
      </c>
      <c r="F7" s="11" t="s">
        <v>10</v>
      </c>
      <c r="G7" s="11" t="s">
        <v>11</v>
      </c>
      <c r="H7" s="11" t="s">
        <v>12</v>
      </c>
      <c r="I7" s="11" t="s">
        <v>13</v>
      </c>
      <c r="J7" s="11" t="s">
        <v>14</v>
      </c>
      <c r="K7" s="11" t="s">
        <v>15</v>
      </c>
      <c r="L7" s="11" t="s">
        <v>16</v>
      </c>
      <c r="M7" s="11" t="s">
        <v>17</v>
      </c>
      <c r="N7" s="11" t="s">
        <v>18</v>
      </c>
      <c r="O7" s="11" t="s">
        <v>91</v>
      </c>
    </row>
    <row r="8" spans="1:15">
      <c r="A8" s="34">
        <v>2</v>
      </c>
      <c r="B8" s="90" t="s">
        <v>185</v>
      </c>
      <c r="C8" s="175">
        <f>$O$8/12</f>
        <v>52785.5</v>
      </c>
      <c r="D8" s="175">
        <f t="shared" ref="D8:N8" si="0">$O$8/12</f>
        <v>52785.5</v>
      </c>
      <c r="E8" s="175">
        <f t="shared" si="0"/>
        <v>52785.5</v>
      </c>
      <c r="F8" s="175">
        <f t="shared" si="0"/>
        <v>52785.5</v>
      </c>
      <c r="G8" s="175">
        <f t="shared" si="0"/>
        <v>52785.5</v>
      </c>
      <c r="H8" s="175">
        <f t="shared" si="0"/>
        <v>52785.5</v>
      </c>
      <c r="I8" s="175">
        <f t="shared" si="0"/>
        <v>52785.5</v>
      </c>
      <c r="J8" s="175">
        <f t="shared" si="0"/>
        <v>52785.5</v>
      </c>
      <c r="K8" s="175">
        <f t="shared" si="0"/>
        <v>52785.5</v>
      </c>
      <c r="L8" s="175">
        <f t="shared" si="0"/>
        <v>52785.5</v>
      </c>
      <c r="M8" s="175">
        <f t="shared" si="0"/>
        <v>52785.5</v>
      </c>
      <c r="N8" s="175">
        <f t="shared" si="0"/>
        <v>52785.5</v>
      </c>
      <c r="O8" s="137">
        <v>633426</v>
      </c>
    </row>
    <row r="9" spans="1:15" ht="25.5">
      <c r="A9" s="34">
        <v>3</v>
      </c>
      <c r="B9" s="90" t="s">
        <v>186</v>
      </c>
      <c r="C9" s="175">
        <f>58583/12</f>
        <v>4881.916666666667</v>
      </c>
      <c r="D9" s="175">
        <f t="shared" ref="D9:N9" si="1">58583/12</f>
        <v>4881.916666666667</v>
      </c>
      <c r="E9" s="175">
        <f t="shared" si="1"/>
        <v>4881.916666666667</v>
      </c>
      <c r="F9" s="175">
        <f t="shared" si="1"/>
        <v>4881.916666666667</v>
      </c>
      <c r="G9" s="175">
        <f t="shared" si="1"/>
        <v>4881.916666666667</v>
      </c>
      <c r="H9" s="175">
        <f t="shared" si="1"/>
        <v>4881.916666666667</v>
      </c>
      <c r="I9" s="175">
        <f t="shared" si="1"/>
        <v>4881.916666666667</v>
      </c>
      <c r="J9" s="175">
        <f t="shared" si="1"/>
        <v>4881.916666666667</v>
      </c>
      <c r="K9" s="175">
        <f t="shared" si="1"/>
        <v>4881.916666666667</v>
      </c>
      <c r="L9" s="175">
        <f t="shared" si="1"/>
        <v>4881.916666666667</v>
      </c>
      <c r="M9" s="175">
        <f t="shared" si="1"/>
        <v>4881.916666666667</v>
      </c>
      <c r="N9" s="175">
        <f t="shared" si="1"/>
        <v>4881.916666666667</v>
      </c>
      <c r="O9" s="137">
        <v>58956</v>
      </c>
    </row>
    <row r="10" spans="1:15" ht="25.5">
      <c r="A10" s="34">
        <v>4</v>
      </c>
      <c r="B10" s="90" t="s">
        <v>187</v>
      </c>
      <c r="C10" s="175">
        <f>$O$10/12</f>
        <v>15536.25</v>
      </c>
      <c r="D10" s="175">
        <f t="shared" ref="D10:N10" si="2">$O$10/12</f>
        <v>15536.25</v>
      </c>
      <c r="E10" s="175">
        <f t="shared" si="2"/>
        <v>15536.25</v>
      </c>
      <c r="F10" s="175">
        <f t="shared" si="2"/>
        <v>15536.25</v>
      </c>
      <c r="G10" s="175">
        <f t="shared" si="2"/>
        <v>15536.25</v>
      </c>
      <c r="H10" s="175">
        <f>$O$10/12</f>
        <v>15536.25</v>
      </c>
      <c r="I10" s="175">
        <f t="shared" si="2"/>
        <v>15536.25</v>
      </c>
      <c r="J10" s="175">
        <f t="shared" si="2"/>
        <v>15536.25</v>
      </c>
      <c r="K10" s="175">
        <f t="shared" si="2"/>
        <v>15536.25</v>
      </c>
      <c r="L10" s="175">
        <f t="shared" si="2"/>
        <v>15536.25</v>
      </c>
      <c r="M10" s="175">
        <f t="shared" si="2"/>
        <v>15536.25</v>
      </c>
      <c r="N10" s="175">
        <f t="shared" si="2"/>
        <v>15536.25</v>
      </c>
      <c r="O10" s="137">
        <v>186435</v>
      </c>
    </row>
    <row r="11" spans="1:15">
      <c r="A11" s="34">
        <v>5</v>
      </c>
      <c r="B11" s="90" t="s">
        <v>188</v>
      </c>
      <c r="C11" s="175">
        <f>68700/12</f>
        <v>5725</v>
      </c>
      <c r="D11" s="175">
        <f t="shared" ref="D11:N11" si="3">68700/12</f>
        <v>5725</v>
      </c>
      <c r="E11" s="175">
        <f t="shared" si="3"/>
        <v>5725</v>
      </c>
      <c r="F11" s="175">
        <f t="shared" si="3"/>
        <v>5725</v>
      </c>
      <c r="G11" s="175">
        <f t="shared" si="3"/>
        <v>5725</v>
      </c>
      <c r="H11" s="175">
        <f t="shared" si="3"/>
        <v>5725</v>
      </c>
      <c r="I11" s="175">
        <f t="shared" si="3"/>
        <v>5725</v>
      </c>
      <c r="J11" s="175">
        <f t="shared" si="3"/>
        <v>5725</v>
      </c>
      <c r="K11" s="175">
        <f t="shared" si="3"/>
        <v>5725</v>
      </c>
      <c r="L11" s="175">
        <f t="shared" si="3"/>
        <v>5725</v>
      </c>
      <c r="M11" s="175">
        <f t="shared" si="3"/>
        <v>5725</v>
      </c>
      <c r="N11" s="175">
        <f t="shared" si="3"/>
        <v>5725</v>
      </c>
      <c r="O11" s="137">
        <v>68702</v>
      </c>
    </row>
    <row r="12" spans="1:15">
      <c r="A12" s="34">
        <v>6</v>
      </c>
      <c r="B12" s="91" t="s">
        <v>189</v>
      </c>
      <c r="C12" s="138">
        <f>SUM(C8:C11)</f>
        <v>78928.666666666657</v>
      </c>
      <c r="D12" s="138">
        <f t="shared" ref="D12:N12" si="4">SUM(D8:D11)</f>
        <v>78928.666666666657</v>
      </c>
      <c r="E12" s="138">
        <f t="shared" si="4"/>
        <v>78928.666666666657</v>
      </c>
      <c r="F12" s="138">
        <f t="shared" si="4"/>
        <v>78928.666666666657</v>
      </c>
      <c r="G12" s="138">
        <f t="shared" si="4"/>
        <v>78928.666666666657</v>
      </c>
      <c r="H12" s="138">
        <f t="shared" si="4"/>
        <v>78928.666666666657</v>
      </c>
      <c r="I12" s="138">
        <f t="shared" si="4"/>
        <v>78928.666666666657</v>
      </c>
      <c r="J12" s="138">
        <f t="shared" si="4"/>
        <v>78928.666666666657</v>
      </c>
      <c r="K12" s="138">
        <f t="shared" si="4"/>
        <v>78928.666666666657</v>
      </c>
      <c r="L12" s="138">
        <f t="shared" si="4"/>
        <v>78928.666666666657</v>
      </c>
      <c r="M12" s="138">
        <f t="shared" si="4"/>
        <v>78928.666666666657</v>
      </c>
      <c r="N12" s="138">
        <f t="shared" si="4"/>
        <v>78928.666666666657</v>
      </c>
      <c r="O12" s="138">
        <f>SUM(O8:O11)</f>
        <v>947519</v>
      </c>
    </row>
  </sheetData>
  <mergeCells count="1">
    <mergeCell ref="B2:O2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5"/>
  <sheetViews>
    <sheetView zoomScale="75" workbookViewId="0">
      <selection activeCell="B1" sqref="B1:J1"/>
    </sheetView>
  </sheetViews>
  <sheetFormatPr defaultRowHeight="12.75"/>
  <cols>
    <col min="2" max="2" width="51.140625" customWidth="1"/>
    <col min="3" max="4" width="18.140625" customWidth="1"/>
    <col min="5" max="5" width="19" customWidth="1"/>
    <col min="6" max="6" width="17.42578125" customWidth="1"/>
    <col min="7" max="7" width="19" customWidth="1"/>
    <col min="8" max="8" width="17.42578125" customWidth="1"/>
  </cols>
  <sheetData>
    <row r="1" spans="1:24">
      <c r="A1" s="34"/>
      <c r="B1" s="224" t="s">
        <v>313</v>
      </c>
      <c r="C1" s="224"/>
      <c r="D1" s="224"/>
      <c r="E1" s="224"/>
      <c r="F1" s="224"/>
      <c r="G1" s="224"/>
      <c r="H1" s="224"/>
      <c r="I1" s="224"/>
      <c r="J1" s="224"/>
    </row>
    <row r="2" spans="1:24" ht="20.25">
      <c r="A2" s="34"/>
      <c r="B2" s="35" t="s">
        <v>103</v>
      </c>
      <c r="C2" s="34"/>
      <c r="D2" s="34"/>
      <c r="E2" s="34"/>
      <c r="G2" s="34"/>
    </row>
    <row r="3" spans="1:24">
      <c r="A3" s="34"/>
      <c r="B3" s="34"/>
      <c r="C3" s="34"/>
      <c r="D3" s="34" t="s">
        <v>0</v>
      </c>
      <c r="E3" s="34"/>
      <c r="G3" s="34"/>
    </row>
    <row r="4" spans="1:24" ht="63.75">
      <c r="A4" s="34"/>
      <c r="B4" s="27" t="s">
        <v>1</v>
      </c>
      <c r="C4" s="28" t="s">
        <v>2</v>
      </c>
      <c r="D4" s="28" t="s">
        <v>93</v>
      </c>
      <c r="E4" s="28" t="s">
        <v>83</v>
      </c>
      <c r="F4" s="28" t="s">
        <v>84</v>
      </c>
      <c r="G4" s="28" t="s">
        <v>86</v>
      </c>
      <c r="H4" s="28" t="s">
        <v>87</v>
      </c>
      <c r="J4" s="214"/>
    </row>
    <row r="5" spans="1:24" s="26" customFormat="1" ht="14.25">
      <c r="A5" s="34"/>
      <c r="B5" s="58" t="s">
        <v>6</v>
      </c>
      <c r="C5" s="2" t="s">
        <v>7</v>
      </c>
      <c r="D5" s="2" t="s">
        <v>8</v>
      </c>
      <c r="E5" s="2" t="s">
        <v>9</v>
      </c>
      <c r="F5" s="2" t="s">
        <v>99</v>
      </c>
      <c r="G5" s="2" t="s">
        <v>11</v>
      </c>
      <c r="H5" s="2" t="s">
        <v>12</v>
      </c>
    </row>
    <row r="6" spans="1:24" ht="16.5">
      <c r="A6" s="34">
        <v>1</v>
      </c>
      <c r="B6" s="165" t="s">
        <v>220</v>
      </c>
      <c r="C6" s="30">
        <v>74000</v>
      </c>
      <c r="D6" s="30">
        <v>74300</v>
      </c>
      <c r="E6" s="30">
        <f>C6</f>
        <v>74000</v>
      </c>
      <c r="F6" s="30"/>
      <c r="G6" s="30">
        <f>D6</f>
        <v>74300</v>
      </c>
      <c r="H6" s="30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4" ht="16.5">
      <c r="A7" s="34">
        <v>2</v>
      </c>
      <c r="B7" s="165" t="s">
        <v>221</v>
      </c>
      <c r="C7" s="30">
        <v>30000</v>
      </c>
      <c r="D7" s="30">
        <v>30000</v>
      </c>
      <c r="E7" s="30">
        <f t="shared" ref="E7:E13" si="0">C7</f>
        <v>30000</v>
      </c>
      <c r="F7" s="30"/>
      <c r="G7" s="30">
        <f t="shared" ref="G7:G13" si="1">D7</f>
        <v>30000</v>
      </c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24" ht="16.5">
      <c r="A8" s="34">
        <v>3</v>
      </c>
      <c r="B8" s="165" t="s">
        <v>222</v>
      </c>
      <c r="C8" s="30">
        <v>25000</v>
      </c>
      <c r="D8" s="30">
        <v>25000</v>
      </c>
      <c r="E8" s="30">
        <f t="shared" si="0"/>
        <v>25000</v>
      </c>
      <c r="F8" s="30"/>
      <c r="G8" s="30">
        <f t="shared" si="1"/>
        <v>25000</v>
      </c>
      <c r="H8" s="30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ht="16.5">
      <c r="A9" s="34">
        <v>4</v>
      </c>
      <c r="B9" s="165" t="s">
        <v>223</v>
      </c>
      <c r="C9" s="30">
        <v>6000</v>
      </c>
      <c r="D9" s="30">
        <v>6000</v>
      </c>
      <c r="E9" s="30">
        <f t="shared" si="0"/>
        <v>6000</v>
      </c>
      <c r="F9" s="30"/>
      <c r="G9" s="30">
        <f t="shared" si="1"/>
        <v>6000</v>
      </c>
      <c r="H9" s="30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</row>
    <row r="10" spans="1:24" ht="16.5">
      <c r="A10" s="34">
        <v>5</v>
      </c>
      <c r="B10" s="165" t="s">
        <v>191</v>
      </c>
      <c r="C10" s="30">
        <v>2000</v>
      </c>
      <c r="D10" s="30">
        <v>2000</v>
      </c>
      <c r="E10" s="30">
        <f t="shared" si="0"/>
        <v>2000</v>
      </c>
      <c r="F10" s="30"/>
      <c r="G10" s="30">
        <f t="shared" si="1"/>
        <v>2000</v>
      </c>
      <c r="H10" s="30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24" ht="16.5">
      <c r="A11" s="34">
        <v>6</v>
      </c>
      <c r="B11" s="165" t="s">
        <v>224</v>
      </c>
      <c r="C11" s="30">
        <v>0</v>
      </c>
      <c r="D11" s="30">
        <v>50</v>
      </c>
      <c r="E11" s="30">
        <f t="shared" si="0"/>
        <v>0</v>
      </c>
      <c r="F11" s="30"/>
      <c r="G11" s="30">
        <f t="shared" si="1"/>
        <v>50</v>
      </c>
      <c r="H11" s="30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1:24" ht="16.5">
      <c r="A12" s="34">
        <v>7</v>
      </c>
      <c r="B12" s="165" t="s">
        <v>225</v>
      </c>
      <c r="C12" s="30">
        <v>40000</v>
      </c>
      <c r="D12" s="30">
        <v>40925</v>
      </c>
      <c r="E12" s="30">
        <f t="shared" si="0"/>
        <v>40000</v>
      </c>
      <c r="F12" s="30"/>
      <c r="G12" s="30">
        <f t="shared" si="1"/>
        <v>40925</v>
      </c>
      <c r="H12" s="30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</row>
    <row r="13" spans="1:24" ht="27.2" customHeight="1">
      <c r="A13" s="34">
        <v>8</v>
      </c>
      <c r="B13" s="165" t="s">
        <v>226</v>
      </c>
      <c r="C13" s="30">
        <v>1000</v>
      </c>
      <c r="D13" s="30">
        <v>1000</v>
      </c>
      <c r="E13" s="30">
        <f t="shared" si="0"/>
        <v>1000</v>
      </c>
      <c r="F13" s="30"/>
      <c r="G13" s="30">
        <f t="shared" si="1"/>
        <v>1000</v>
      </c>
      <c r="H13" s="30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24" ht="15">
      <c r="A14" s="34">
        <v>9</v>
      </c>
      <c r="B14" s="32" t="s">
        <v>98</v>
      </c>
      <c r="C14" s="33">
        <f t="shared" ref="C14:H14" si="2">SUM(C6:C13)</f>
        <v>178000</v>
      </c>
      <c r="D14" s="33">
        <f>SUM(D6:D13)</f>
        <v>179275</v>
      </c>
      <c r="E14" s="33">
        <f t="shared" si="2"/>
        <v>178000</v>
      </c>
      <c r="F14" s="33">
        <f t="shared" si="2"/>
        <v>0</v>
      </c>
      <c r="G14" s="33">
        <f t="shared" si="2"/>
        <v>179275</v>
      </c>
      <c r="H14" s="33">
        <f t="shared" si="2"/>
        <v>0</v>
      </c>
    </row>
    <row r="15" spans="1:24">
      <c r="A15" s="34"/>
      <c r="B15" s="34"/>
      <c r="C15" s="34"/>
      <c r="D15" s="34"/>
      <c r="E15" s="34"/>
      <c r="G15" s="34"/>
    </row>
  </sheetData>
  <mergeCells count="1">
    <mergeCell ref="B1:J1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23"/>
  <sheetViews>
    <sheetView zoomScale="75" zoomScaleNormal="75" workbookViewId="0">
      <selection sqref="A1:H1"/>
    </sheetView>
  </sheetViews>
  <sheetFormatPr defaultRowHeight="12.75"/>
  <cols>
    <col min="1" max="1" width="9.140625" style="34" customWidth="1"/>
    <col min="2" max="2" width="71.42578125" style="34" customWidth="1"/>
    <col min="3" max="3" width="18.85546875" style="34" customWidth="1"/>
    <col min="4" max="4" width="19.28515625" style="34" customWidth="1"/>
    <col min="5" max="5" width="21.85546875" style="34" customWidth="1"/>
    <col min="6" max="6" width="21" style="34" customWidth="1"/>
    <col min="7" max="7" width="19.7109375" style="34" customWidth="1"/>
    <col min="8" max="8" width="21" style="34" customWidth="1"/>
    <col min="9" max="16384" width="9.140625" style="34"/>
  </cols>
  <sheetData>
    <row r="1" spans="1:26">
      <c r="A1" s="224" t="s">
        <v>314</v>
      </c>
      <c r="B1" s="224"/>
      <c r="C1" s="224"/>
      <c r="D1" s="224"/>
      <c r="E1" s="224"/>
      <c r="F1" s="224"/>
      <c r="G1" s="224"/>
      <c r="H1" s="224"/>
    </row>
    <row r="2" spans="1:26" ht="20.25">
      <c r="B2" s="35" t="s">
        <v>219</v>
      </c>
    </row>
    <row r="3" spans="1:26">
      <c r="G3" s="34" t="s">
        <v>0</v>
      </c>
    </row>
    <row r="4" spans="1:26" ht="57">
      <c r="B4" s="1" t="s">
        <v>1</v>
      </c>
      <c r="C4" s="2" t="s">
        <v>2</v>
      </c>
      <c r="D4" s="2" t="s">
        <v>79</v>
      </c>
      <c r="E4" s="3" t="s">
        <v>83</v>
      </c>
      <c r="F4" s="3" t="s">
        <v>84</v>
      </c>
      <c r="G4" s="3" t="s">
        <v>86</v>
      </c>
      <c r="H4" s="3" t="s">
        <v>87</v>
      </c>
      <c r="J4" s="59"/>
    </row>
    <row r="5" spans="1:26" ht="14.25">
      <c r="B5" s="2" t="s">
        <v>6</v>
      </c>
      <c r="C5" s="2" t="s">
        <v>7</v>
      </c>
      <c r="D5" s="2" t="s">
        <v>8</v>
      </c>
      <c r="E5" s="2" t="s">
        <v>9</v>
      </c>
      <c r="F5" s="2" t="s">
        <v>99</v>
      </c>
      <c r="G5" s="2" t="s">
        <v>11</v>
      </c>
      <c r="H5" s="2" t="s">
        <v>12</v>
      </c>
    </row>
    <row r="6" spans="1:26" ht="16.5">
      <c r="A6" s="34">
        <v>1</v>
      </c>
      <c r="B6" s="5" t="s">
        <v>214</v>
      </c>
      <c r="C6" s="45">
        <v>20521</v>
      </c>
      <c r="D6" s="45">
        <v>22721</v>
      </c>
      <c r="E6" s="47">
        <f t="shared" ref="E6:E11" si="0">C6</f>
        <v>20521</v>
      </c>
      <c r="F6" s="47"/>
      <c r="G6" s="47">
        <f t="shared" ref="G6:G12" si="1">D6</f>
        <v>22721</v>
      </c>
      <c r="H6" s="47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16.5">
      <c r="A7" s="34">
        <v>2</v>
      </c>
      <c r="B7" s="5" t="s">
        <v>268</v>
      </c>
      <c r="C7" s="45">
        <v>1000</v>
      </c>
      <c r="D7" s="45">
        <v>1000</v>
      </c>
      <c r="E7" s="47">
        <f t="shared" si="0"/>
        <v>1000</v>
      </c>
      <c r="F7" s="47"/>
      <c r="G7" s="47">
        <f t="shared" si="1"/>
        <v>1000</v>
      </c>
      <c r="H7" s="47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ht="16.5">
      <c r="A8" s="34">
        <v>3</v>
      </c>
      <c r="B8" s="5" t="s">
        <v>215</v>
      </c>
      <c r="C8" s="45">
        <v>5000</v>
      </c>
      <c r="D8" s="45">
        <v>5000</v>
      </c>
      <c r="E8" s="47">
        <f t="shared" si="0"/>
        <v>5000</v>
      </c>
      <c r="F8" s="47"/>
      <c r="G8" s="47">
        <f t="shared" si="1"/>
        <v>5000</v>
      </c>
      <c r="H8" s="47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6.5">
      <c r="A9" s="34">
        <v>4</v>
      </c>
      <c r="B9" s="5" t="s">
        <v>216</v>
      </c>
      <c r="C9" s="47">
        <v>460</v>
      </c>
      <c r="D9" s="47">
        <v>2235</v>
      </c>
      <c r="E9" s="47">
        <f t="shared" si="0"/>
        <v>460</v>
      </c>
      <c r="F9" s="47"/>
      <c r="G9" s="47">
        <f t="shared" si="1"/>
        <v>2235</v>
      </c>
      <c r="H9" s="47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6.5">
      <c r="A10" s="34">
        <v>5</v>
      </c>
      <c r="B10" s="5" t="s">
        <v>217</v>
      </c>
      <c r="C10" s="45">
        <v>26400</v>
      </c>
      <c r="D10" s="45">
        <v>27200</v>
      </c>
      <c r="E10" s="47">
        <f t="shared" si="0"/>
        <v>26400</v>
      </c>
      <c r="F10" s="47"/>
      <c r="G10" s="47">
        <f t="shared" si="1"/>
        <v>27200</v>
      </c>
      <c r="H10" s="47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6.5">
      <c r="A11" s="34">
        <v>6</v>
      </c>
      <c r="B11" s="5" t="s">
        <v>304</v>
      </c>
      <c r="C11" s="45">
        <v>0</v>
      </c>
      <c r="D11" s="45">
        <v>182</v>
      </c>
      <c r="E11" s="47">
        <f t="shared" si="0"/>
        <v>0</v>
      </c>
      <c r="F11" s="47"/>
      <c r="G11" s="47">
        <f t="shared" si="1"/>
        <v>182</v>
      </c>
      <c r="H11" s="47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6.5">
      <c r="A12" s="34">
        <v>7</v>
      </c>
      <c r="B12" s="32" t="s">
        <v>100</v>
      </c>
      <c r="C12" s="46">
        <f>SUM(C6:C11)</f>
        <v>53381</v>
      </c>
      <c r="D12" s="46">
        <f>SUM(D6:D11)</f>
        <v>58338</v>
      </c>
      <c r="E12" s="46">
        <f>SUM(E6:E11)</f>
        <v>53381</v>
      </c>
      <c r="F12" s="46">
        <f>SUM(F6:F10)</f>
        <v>0</v>
      </c>
      <c r="G12" s="46">
        <f t="shared" si="1"/>
        <v>58338</v>
      </c>
      <c r="H12" s="46">
        <f>SUM(H6:H10)</f>
        <v>0</v>
      </c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4"/>
      <c r="W12" s="54"/>
      <c r="X12" s="55"/>
      <c r="Y12" s="55"/>
      <c r="Z12" s="55"/>
    </row>
    <row r="13" spans="1:26" ht="16.5"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6" spans="1:26" ht="57">
      <c r="B16" s="1" t="s">
        <v>1</v>
      </c>
      <c r="C16" s="2" t="s">
        <v>2</v>
      </c>
      <c r="D16" s="2" t="s">
        <v>79</v>
      </c>
      <c r="E16" s="3" t="s">
        <v>83</v>
      </c>
      <c r="F16" s="3" t="s">
        <v>84</v>
      </c>
      <c r="G16" s="3" t="s">
        <v>86</v>
      </c>
      <c r="H16" s="3" t="s">
        <v>87</v>
      </c>
    </row>
    <row r="17" spans="1:26" ht="14.25">
      <c r="B17" s="2" t="s">
        <v>6</v>
      </c>
      <c r="C17" s="2" t="s">
        <v>7</v>
      </c>
      <c r="D17" s="2" t="s">
        <v>8</v>
      </c>
      <c r="E17" s="2" t="s">
        <v>9</v>
      </c>
      <c r="F17" s="2" t="s">
        <v>99</v>
      </c>
      <c r="G17" s="2" t="s">
        <v>11</v>
      </c>
      <c r="H17" s="2" t="s">
        <v>12</v>
      </c>
    </row>
    <row r="18" spans="1:26" ht="16.5">
      <c r="A18" s="34">
        <v>1</v>
      </c>
      <c r="B18" s="5" t="s">
        <v>218</v>
      </c>
      <c r="C18" s="48">
        <v>18357</v>
      </c>
      <c r="D18" s="48">
        <v>18357</v>
      </c>
      <c r="E18" s="47">
        <f>C18</f>
        <v>18357</v>
      </c>
      <c r="F18" s="47"/>
      <c r="G18" s="47">
        <f>D18</f>
        <v>18357</v>
      </c>
      <c r="H18" s="47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ht="16.5">
      <c r="A19" s="34">
        <v>2</v>
      </c>
      <c r="B19" s="5" t="s">
        <v>269</v>
      </c>
      <c r="C19" s="45">
        <v>5000</v>
      </c>
      <c r="D19" s="45">
        <v>5000</v>
      </c>
      <c r="E19" s="47">
        <f>C19</f>
        <v>5000</v>
      </c>
      <c r="F19" s="47"/>
      <c r="G19" s="47">
        <f>D19</f>
        <v>5000</v>
      </c>
      <c r="H19" s="47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6.5">
      <c r="A20" s="34">
        <v>3</v>
      </c>
      <c r="B20" s="5" t="s">
        <v>270</v>
      </c>
      <c r="C20" s="45">
        <v>26676</v>
      </c>
      <c r="D20" s="45">
        <v>26676</v>
      </c>
      <c r="E20" s="45">
        <v>26676</v>
      </c>
      <c r="F20" s="47"/>
      <c r="G20" s="47">
        <f>D20</f>
        <v>26676</v>
      </c>
      <c r="H20" s="47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6.5">
      <c r="A21" s="34">
        <v>4</v>
      </c>
      <c r="B21" s="32" t="s">
        <v>101</v>
      </c>
      <c r="C21" s="46">
        <f>SUM(C18:C20)</f>
        <v>50033</v>
      </c>
      <c r="D21" s="46">
        <f>SUM(D18:D20)</f>
        <v>50033</v>
      </c>
      <c r="E21" s="46">
        <f>SUM(E18:E20)</f>
        <v>50033</v>
      </c>
      <c r="F21" s="46">
        <f>SUM(F18:F20)</f>
        <v>0</v>
      </c>
      <c r="G21" s="46">
        <f>D21</f>
        <v>50033</v>
      </c>
      <c r="H21" s="46">
        <f>SUM(H18:H20)</f>
        <v>0</v>
      </c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4"/>
      <c r="W21" s="54"/>
      <c r="X21" s="55"/>
      <c r="Y21" s="55"/>
      <c r="Z21" s="55"/>
    </row>
    <row r="23" spans="1:26" ht="18">
      <c r="B23" s="49" t="s">
        <v>102</v>
      </c>
      <c r="C23" s="51">
        <f t="shared" ref="C23:H23" si="2">C21+C12</f>
        <v>103414</v>
      </c>
      <c r="D23" s="51">
        <f t="shared" si="2"/>
        <v>108371</v>
      </c>
      <c r="E23" s="51">
        <f t="shared" si="2"/>
        <v>103414</v>
      </c>
      <c r="F23" s="51">
        <f t="shared" si="2"/>
        <v>0</v>
      </c>
      <c r="G23" s="51">
        <f t="shared" si="2"/>
        <v>108371</v>
      </c>
      <c r="H23" s="51">
        <f t="shared" si="2"/>
        <v>0</v>
      </c>
    </row>
  </sheetData>
  <mergeCells count="1">
    <mergeCell ref="A1:H1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26"/>
  <sheetViews>
    <sheetView zoomScale="75" zoomScaleNormal="75" workbookViewId="0">
      <selection activeCell="B1" sqref="B1:F1"/>
    </sheetView>
  </sheetViews>
  <sheetFormatPr defaultRowHeight="12.75"/>
  <cols>
    <col min="1" max="1" width="9.140625" style="34" customWidth="1"/>
    <col min="2" max="2" width="71.42578125" style="34" customWidth="1"/>
    <col min="3" max="3" width="18.85546875" style="34" customWidth="1"/>
    <col min="4" max="4" width="23.42578125" style="200" customWidth="1"/>
    <col min="5" max="5" width="21.85546875" style="34" customWidth="1"/>
    <col min="6" max="6" width="19.7109375" style="34" customWidth="1"/>
    <col min="7" max="16384" width="9.140625" style="34"/>
  </cols>
  <sheetData>
    <row r="1" spans="1:24">
      <c r="B1" s="224" t="s">
        <v>315</v>
      </c>
      <c r="C1" s="224"/>
      <c r="D1" s="224"/>
      <c r="E1" s="224"/>
      <c r="F1" s="224"/>
    </row>
    <row r="2" spans="1:24" ht="20.25">
      <c r="B2" s="35" t="s">
        <v>104</v>
      </c>
    </row>
    <row r="3" spans="1:24">
      <c r="F3" s="34" t="s">
        <v>106</v>
      </c>
    </row>
    <row r="4" spans="1:24" ht="57">
      <c r="B4" s="1" t="s">
        <v>1</v>
      </c>
      <c r="C4" s="2" t="s">
        <v>2</v>
      </c>
      <c r="D4" s="201" t="s">
        <v>79</v>
      </c>
      <c r="E4" s="3" t="s">
        <v>83</v>
      </c>
      <c r="F4" s="3" t="s">
        <v>86</v>
      </c>
      <c r="H4" s="59"/>
    </row>
    <row r="5" spans="1:24" ht="14.25">
      <c r="B5" s="2" t="s">
        <v>6</v>
      </c>
      <c r="C5" s="2" t="s">
        <v>7</v>
      </c>
      <c r="D5" s="201" t="s">
        <v>8</v>
      </c>
      <c r="E5" s="2" t="s">
        <v>9</v>
      </c>
      <c r="F5" s="2" t="s">
        <v>10</v>
      </c>
    </row>
    <row r="6" spans="1:24" ht="16.5">
      <c r="A6" s="34">
        <v>1</v>
      </c>
      <c r="B6" s="5" t="s">
        <v>105</v>
      </c>
      <c r="C6" s="45">
        <v>33342400</v>
      </c>
      <c r="D6" s="202"/>
      <c r="E6" s="47">
        <f>C6</f>
        <v>33342400</v>
      </c>
      <c r="F6" s="47">
        <f>D6</f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</row>
    <row r="7" spans="1:24" ht="16.5">
      <c r="A7" s="34">
        <v>2</v>
      </c>
      <c r="B7" s="5" t="s">
        <v>107</v>
      </c>
      <c r="C7" s="45">
        <f>5951292+14752000+1162167+6966630</f>
        <v>28832089</v>
      </c>
      <c r="D7" s="202"/>
      <c r="E7" s="47">
        <f t="shared" ref="E7:E22" si="0">C7</f>
        <v>28832089</v>
      </c>
      <c r="F7" s="47">
        <f t="shared" ref="F7:F15" si="1">D7</f>
        <v>0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</row>
    <row r="8" spans="1:24" ht="16.5">
      <c r="A8" s="34">
        <v>3</v>
      </c>
      <c r="B8" s="5" t="s">
        <v>108</v>
      </c>
      <c r="C8" s="47">
        <f>4251955</f>
        <v>4251955</v>
      </c>
      <c r="D8" s="203"/>
      <c r="E8" s="47">
        <f t="shared" si="0"/>
        <v>4251955</v>
      </c>
      <c r="F8" s="47">
        <f t="shared" si="1"/>
        <v>0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4" ht="16.5">
      <c r="A9" s="34">
        <v>4</v>
      </c>
      <c r="B9" s="5" t="s">
        <v>115</v>
      </c>
      <c r="C9" s="45">
        <v>63861550</v>
      </c>
      <c r="D9" s="202"/>
      <c r="E9" s="47">
        <f>C9</f>
        <v>63861550</v>
      </c>
      <c r="F9" s="47">
        <f>D9</f>
        <v>0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4" ht="16.5">
      <c r="A10" s="34">
        <v>5</v>
      </c>
      <c r="B10" s="5" t="s">
        <v>197</v>
      </c>
      <c r="C10" s="45">
        <v>71400</v>
      </c>
      <c r="D10" s="202"/>
      <c r="E10" s="47">
        <f>C10</f>
        <v>71400</v>
      </c>
      <c r="F10" s="47">
        <f>D10</f>
        <v>0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ht="16.5">
      <c r="A11" s="34">
        <v>6</v>
      </c>
      <c r="B11" s="5" t="s">
        <v>111</v>
      </c>
      <c r="C11" s="45">
        <v>0</v>
      </c>
      <c r="D11" s="202"/>
      <c r="E11" s="47">
        <f t="shared" si="0"/>
        <v>0</v>
      </c>
      <c r="F11" s="47">
        <f t="shared" si="1"/>
        <v>0</v>
      </c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</row>
    <row r="12" spans="1:24" ht="33.6" customHeight="1">
      <c r="A12" s="34">
        <v>7</v>
      </c>
      <c r="B12" s="14" t="s">
        <v>193</v>
      </c>
      <c r="C12" s="46">
        <f>SUM(C6:C11)</f>
        <v>130359394</v>
      </c>
      <c r="D12" s="204">
        <v>130623000</v>
      </c>
      <c r="E12" s="46">
        <f t="shared" si="0"/>
        <v>130359394</v>
      </c>
      <c r="F12" s="46">
        <f t="shared" si="1"/>
        <v>130623000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1:24" ht="28.5">
      <c r="A13" s="34">
        <v>8</v>
      </c>
      <c r="B13" s="5" t="s">
        <v>109</v>
      </c>
      <c r="C13" s="45">
        <v>25088600</v>
      </c>
      <c r="D13" s="202"/>
      <c r="E13" s="47">
        <f t="shared" si="0"/>
        <v>25088600</v>
      </c>
      <c r="F13" s="47">
        <f t="shared" si="1"/>
        <v>0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</row>
    <row r="14" spans="1:24" ht="16.5">
      <c r="A14" s="34">
        <v>9</v>
      </c>
      <c r="B14" s="5" t="s">
        <v>110</v>
      </c>
      <c r="C14" s="45">
        <v>4297334</v>
      </c>
      <c r="D14" s="202"/>
      <c r="E14" s="47">
        <f t="shared" si="0"/>
        <v>4297334</v>
      </c>
      <c r="F14" s="47">
        <f t="shared" si="1"/>
        <v>0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</row>
    <row r="15" spans="1:24" ht="28.5">
      <c r="A15" s="34">
        <v>10</v>
      </c>
      <c r="B15" s="14" t="s">
        <v>194</v>
      </c>
      <c r="C15" s="46">
        <f>SUM(C13:C14)</f>
        <v>29385934</v>
      </c>
      <c r="D15" s="204">
        <v>29386000</v>
      </c>
      <c r="E15" s="46">
        <f t="shared" si="0"/>
        <v>29385934</v>
      </c>
      <c r="F15" s="46">
        <f t="shared" si="1"/>
        <v>29386000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4" ht="16.5">
      <c r="A16" s="34">
        <v>11</v>
      </c>
      <c r="B16" s="5" t="s">
        <v>195</v>
      </c>
      <c r="C16" s="47">
        <v>1217920</v>
      </c>
      <c r="D16" s="203"/>
      <c r="E16" s="47">
        <f t="shared" si="0"/>
        <v>1217920</v>
      </c>
      <c r="F16" s="47">
        <f t="shared" ref="F16:F22" si="2">D16</f>
        <v>0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4" ht="16.5">
      <c r="A17" s="34">
        <v>12</v>
      </c>
      <c r="B17" s="5" t="s">
        <v>192</v>
      </c>
      <c r="C17" s="45">
        <v>5520490</v>
      </c>
      <c r="D17" s="202"/>
      <c r="E17" s="47">
        <f t="shared" si="0"/>
        <v>5520490</v>
      </c>
      <c r="F17" s="47">
        <f t="shared" si="2"/>
        <v>0</v>
      </c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</row>
    <row r="18" spans="1:24" ht="16.5">
      <c r="A18" s="34">
        <v>13</v>
      </c>
      <c r="B18" s="5" t="s">
        <v>196</v>
      </c>
      <c r="C18" s="45">
        <v>3394560</v>
      </c>
      <c r="D18" s="202"/>
      <c r="E18" s="47">
        <f t="shared" si="0"/>
        <v>3394560</v>
      </c>
      <c r="F18" s="47">
        <f t="shared" si="2"/>
        <v>0</v>
      </c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</row>
    <row r="19" spans="1:24" ht="16.5">
      <c r="A19" s="34">
        <v>14</v>
      </c>
      <c r="B19" s="5" t="s">
        <v>264</v>
      </c>
      <c r="C19" s="45">
        <v>0</v>
      </c>
      <c r="D19" s="202"/>
      <c r="E19" s="47">
        <f t="shared" si="0"/>
        <v>0</v>
      </c>
      <c r="F19" s="47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</row>
    <row r="20" spans="1:24" ht="28.5">
      <c r="A20" s="34">
        <v>15</v>
      </c>
      <c r="B20" s="14" t="s">
        <v>112</v>
      </c>
      <c r="C20" s="46">
        <f>SUM(C16:C19)</f>
        <v>10132970</v>
      </c>
      <c r="D20" s="204">
        <v>10949000</v>
      </c>
      <c r="E20" s="46">
        <f t="shared" si="0"/>
        <v>10132970</v>
      </c>
      <c r="F20" s="46">
        <f t="shared" si="2"/>
        <v>10949000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4" ht="16.5">
      <c r="A21" s="34">
        <v>16</v>
      </c>
      <c r="B21" s="5" t="s">
        <v>113</v>
      </c>
      <c r="C21" s="47">
        <v>1998420</v>
      </c>
      <c r="D21" s="203"/>
      <c r="E21" s="47">
        <f t="shared" si="0"/>
        <v>1998420</v>
      </c>
      <c r="F21" s="47">
        <f t="shared" si="2"/>
        <v>0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24" ht="28.5">
      <c r="A22" s="34">
        <v>17</v>
      </c>
      <c r="B22" s="14" t="s">
        <v>114</v>
      </c>
      <c r="C22" s="46">
        <f>C21</f>
        <v>1998420</v>
      </c>
      <c r="D22" s="204">
        <v>1998000</v>
      </c>
      <c r="E22" s="46">
        <f t="shared" si="0"/>
        <v>1998420</v>
      </c>
      <c r="F22" s="46">
        <f t="shared" si="2"/>
        <v>1998000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4" ht="16.5">
      <c r="A23" s="34">
        <v>18</v>
      </c>
      <c r="B23" s="32" t="s">
        <v>198</v>
      </c>
      <c r="C23" s="46">
        <f>C22+C20+C15+C12</f>
        <v>171876718</v>
      </c>
      <c r="D23" s="204">
        <f>D22+D20+D15+D12</f>
        <v>172956000</v>
      </c>
      <c r="E23" s="46">
        <f>E22+E20+E15+E12</f>
        <v>171876718</v>
      </c>
      <c r="F23" s="46">
        <f>F22+F20+F15+F12</f>
        <v>172956000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4"/>
      <c r="U23" s="54"/>
      <c r="V23" s="55"/>
      <c r="W23" s="55"/>
      <c r="X23" s="55"/>
    </row>
    <row r="24" spans="1:24" ht="16.5">
      <c r="A24" s="34">
        <v>19</v>
      </c>
      <c r="B24" s="34" t="s">
        <v>303</v>
      </c>
      <c r="C24" s="36">
        <v>0</v>
      </c>
      <c r="D24" s="205">
        <v>1906000</v>
      </c>
      <c r="E24" s="36">
        <v>0</v>
      </c>
      <c r="F24" s="199">
        <f>D24</f>
        <v>1906000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4" ht="16.5">
      <c r="A25" s="34">
        <v>20</v>
      </c>
      <c r="B25" s="34" t="s">
        <v>189</v>
      </c>
      <c r="D25" s="206">
        <f>SUM(D23:D24)</f>
        <v>174862000</v>
      </c>
      <c r="F25" s="86">
        <f>D25</f>
        <v>174862000</v>
      </c>
    </row>
    <row r="26" spans="1:24" ht="16.5">
      <c r="D26" s="206"/>
    </row>
  </sheetData>
  <mergeCells count="1">
    <mergeCell ref="B1:F1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B2" sqref="B2:F2"/>
    </sheetView>
  </sheetViews>
  <sheetFormatPr defaultRowHeight="12.75"/>
  <cols>
    <col min="1" max="1" width="9.140625" style="34" customWidth="1"/>
    <col min="2" max="2" width="35.85546875" style="34" customWidth="1"/>
    <col min="3" max="3" width="17.28515625" style="34" customWidth="1"/>
    <col min="4" max="4" width="18" style="200" customWidth="1"/>
    <col min="5" max="5" width="19.85546875" style="34" customWidth="1"/>
    <col min="6" max="6" width="20" style="34" customWidth="1"/>
    <col min="7" max="7" width="37.5703125" style="41" customWidth="1"/>
    <col min="8" max="8" width="12.85546875" style="34" customWidth="1"/>
    <col min="9" max="9" width="13.5703125" style="34" customWidth="1"/>
    <col min="10" max="10" width="20.7109375" style="34" customWidth="1"/>
    <col min="11" max="11" width="18" style="34" customWidth="1"/>
    <col min="12" max="16384" width="9.140625" style="34"/>
  </cols>
  <sheetData>
    <row r="1" spans="1:8">
      <c r="B1" s="59"/>
      <c r="C1" s="59"/>
      <c r="D1" s="218"/>
      <c r="E1" s="59"/>
      <c r="F1" s="59"/>
      <c r="G1" s="60"/>
      <c r="H1" s="59"/>
    </row>
    <row r="2" spans="1:8">
      <c r="B2" s="223" t="s">
        <v>316</v>
      </c>
      <c r="C2" s="223"/>
      <c r="D2" s="223"/>
      <c r="E2" s="223"/>
      <c r="F2" s="223"/>
      <c r="G2" s="60"/>
      <c r="H2" s="59"/>
    </row>
    <row r="3" spans="1:8">
      <c r="B3" s="59"/>
      <c r="C3" s="59"/>
      <c r="E3" s="59"/>
      <c r="F3" s="59"/>
      <c r="G3" s="60"/>
      <c r="H3" s="59"/>
    </row>
    <row r="4" spans="1:8" ht="20.25">
      <c r="B4" s="35" t="s">
        <v>116</v>
      </c>
      <c r="C4" s="59"/>
      <c r="E4" s="59"/>
      <c r="F4" s="59"/>
      <c r="G4" s="60"/>
      <c r="H4" s="59"/>
    </row>
    <row r="5" spans="1:8">
      <c r="B5" s="59"/>
      <c r="C5" s="59"/>
      <c r="E5" s="59"/>
      <c r="F5" s="59" t="s">
        <v>106</v>
      </c>
      <c r="G5" s="60"/>
      <c r="H5" s="59"/>
    </row>
    <row r="6" spans="1:8" ht="25.5">
      <c r="B6" s="61" t="s">
        <v>1</v>
      </c>
      <c r="C6" s="62" t="s">
        <v>119</v>
      </c>
      <c r="D6" s="219" t="s">
        <v>120</v>
      </c>
      <c r="E6" s="62" t="s">
        <v>121</v>
      </c>
      <c r="F6" s="62" t="s">
        <v>122</v>
      </c>
    </row>
    <row r="7" spans="1:8">
      <c r="B7" s="63" t="s">
        <v>6</v>
      </c>
      <c r="C7" s="63" t="s">
        <v>7</v>
      </c>
      <c r="D7" s="220" t="s">
        <v>8</v>
      </c>
      <c r="E7" s="63" t="s">
        <v>9</v>
      </c>
      <c r="F7" s="63" t="s">
        <v>10</v>
      </c>
    </row>
    <row r="8" spans="1:8" ht="50.25" customHeight="1">
      <c r="A8" s="34">
        <v>1</v>
      </c>
      <c r="B8" s="64" t="s">
        <v>271</v>
      </c>
      <c r="C8" s="65">
        <v>26676000</v>
      </c>
      <c r="D8" s="221">
        <v>29538086</v>
      </c>
      <c r="E8" s="65">
        <f>D8-C8</f>
        <v>2862086</v>
      </c>
      <c r="F8" s="67" t="s">
        <v>272</v>
      </c>
    </row>
    <row r="9" spans="1:8">
      <c r="A9" s="34">
        <v>2</v>
      </c>
      <c r="B9" s="64" t="s">
        <v>118</v>
      </c>
      <c r="C9" s="66">
        <f>SUM(C8)</f>
        <v>26676000</v>
      </c>
      <c r="D9" s="222">
        <f>SUM(D8)</f>
        <v>29538086</v>
      </c>
      <c r="E9" s="66">
        <f>D9-C9</f>
        <v>2862086</v>
      </c>
      <c r="F9" s="66"/>
    </row>
    <row r="11" spans="1:8" ht="25.5">
      <c r="C11" s="41" t="s">
        <v>310</v>
      </c>
      <c r="D11" s="200">
        <f>21429538*1.27</f>
        <v>27215513.260000002</v>
      </c>
      <c r="E11" s="213"/>
    </row>
    <row r="12" spans="1:8">
      <c r="C12" s="34" t="s">
        <v>311</v>
      </c>
      <c r="D12" s="200">
        <f>D9-D11</f>
        <v>2322572.7399999984</v>
      </c>
    </row>
  </sheetData>
  <mergeCells count="1">
    <mergeCell ref="B2:F2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83"/>
  <sheetViews>
    <sheetView zoomScale="60" zoomScaleNormal="60" workbookViewId="0">
      <selection activeCell="B1" sqref="B1:N1"/>
    </sheetView>
  </sheetViews>
  <sheetFormatPr defaultRowHeight="12.75"/>
  <cols>
    <col min="1" max="1" width="9.140625" style="34" customWidth="1"/>
    <col min="2" max="2" width="45.42578125" style="34" customWidth="1"/>
    <col min="3" max="4" width="17.140625" style="78" customWidth="1"/>
    <col min="5" max="5" width="17" style="78" customWidth="1"/>
    <col min="6" max="8" width="18.7109375" style="78" customWidth="1"/>
    <col min="9" max="9" width="17.42578125" style="78" customWidth="1"/>
    <col min="10" max="10" width="18.140625" style="78" customWidth="1"/>
    <col min="11" max="11" width="18.85546875" style="78" customWidth="1"/>
    <col min="12" max="14" width="18.140625" style="78" customWidth="1"/>
    <col min="15" max="16384" width="9.140625" style="34"/>
  </cols>
  <sheetData>
    <row r="1" spans="1:16">
      <c r="B1" s="223" t="s">
        <v>317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1:16" ht="20.25">
      <c r="B2" s="35" t="s">
        <v>123</v>
      </c>
    </row>
    <row r="4" spans="1:16">
      <c r="B4" s="57" t="s">
        <v>124</v>
      </c>
      <c r="M4" s="78" t="s">
        <v>0</v>
      </c>
    </row>
    <row r="5" spans="1:16" ht="71.25">
      <c r="B5" s="68" t="s">
        <v>1</v>
      </c>
      <c r="C5" s="2" t="s">
        <v>2</v>
      </c>
      <c r="D5" s="2" t="s">
        <v>93</v>
      </c>
      <c r="E5" s="2" t="s">
        <v>3</v>
      </c>
      <c r="F5" s="2" t="s">
        <v>130</v>
      </c>
      <c r="G5" s="2" t="s">
        <v>85</v>
      </c>
      <c r="H5" s="2" t="s">
        <v>131</v>
      </c>
      <c r="I5" s="3" t="s">
        <v>4</v>
      </c>
      <c r="J5" s="3" t="s">
        <v>5</v>
      </c>
      <c r="K5" s="3" t="s">
        <v>83</v>
      </c>
      <c r="L5" s="3" t="s">
        <v>84</v>
      </c>
      <c r="M5" s="3" t="s">
        <v>86</v>
      </c>
      <c r="N5" s="3" t="s">
        <v>87</v>
      </c>
      <c r="P5" s="59"/>
    </row>
    <row r="6" spans="1:16" ht="15">
      <c r="B6" s="69" t="s">
        <v>8</v>
      </c>
      <c r="C6" s="69" t="s">
        <v>9</v>
      </c>
      <c r="D6" s="69" t="s">
        <v>10</v>
      </c>
      <c r="E6" s="69" t="s">
        <v>11</v>
      </c>
      <c r="F6" s="69" t="s">
        <v>12</v>
      </c>
      <c r="G6" s="69" t="s">
        <v>13</v>
      </c>
      <c r="H6" s="69" t="s">
        <v>14</v>
      </c>
      <c r="I6" s="69" t="s">
        <v>15</v>
      </c>
      <c r="J6" s="69" t="s">
        <v>16</v>
      </c>
      <c r="K6" s="69" t="s">
        <v>17</v>
      </c>
      <c r="L6" s="69" t="s">
        <v>18</v>
      </c>
      <c r="M6" s="69" t="s">
        <v>91</v>
      </c>
      <c r="N6" s="69" t="s">
        <v>92</v>
      </c>
    </row>
    <row r="7" spans="1:16" ht="36">
      <c r="A7" s="34">
        <v>1</v>
      </c>
      <c r="B7" s="70" t="s">
        <v>201</v>
      </c>
      <c r="C7" s="79">
        <v>86514</v>
      </c>
      <c r="D7" s="79">
        <f>19500+192*1.27+288*1.27+200*1.27+496*1.27+49309+550*1.27+88*1.27+3287</f>
        <v>74399.779999999984</v>
      </c>
      <c r="E7" s="80"/>
      <c r="F7" s="80"/>
      <c r="G7" s="80"/>
      <c r="H7" s="80"/>
      <c r="I7" s="81">
        <f>C7+E7+G7</f>
        <v>86514</v>
      </c>
      <c r="J7" s="81">
        <f>D7+F7+H7</f>
        <v>74399.779999999984</v>
      </c>
      <c r="K7" s="81">
        <f>C7</f>
        <v>86514</v>
      </c>
      <c r="L7" s="81"/>
      <c r="M7" s="81">
        <f>J7</f>
        <v>74399.779999999984</v>
      </c>
      <c r="N7" s="81"/>
    </row>
    <row r="8" spans="1:16" ht="18">
      <c r="A8" s="34">
        <v>2</v>
      </c>
      <c r="B8" s="70" t="s">
        <v>203</v>
      </c>
      <c r="C8" s="79">
        <v>7620</v>
      </c>
      <c r="D8" s="212">
        <f>6000*1.27</f>
        <v>7620</v>
      </c>
      <c r="E8" s="80"/>
      <c r="F8" s="80"/>
      <c r="G8" s="80"/>
      <c r="H8" s="80"/>
      <c r="I8" s="81">
        <f t="shared" ref="I8:I14" si="0">C8+E8+G8</f>
        <v>7620</v>
      </c>
      <c r="J8" s="81">
        <f t="shared" ref="J8:J15" si="1">D8+F8+H8</f>
        <v>7620</v>
      </c>
      <c r="K8" s="81">
        <f t="shared" ref="K8:K14" si="2">C8</f>
        <v>7620</v>
      </c>
      <c r="L8" s="81"/>
      <c r="M8" s="81">
        <f t="shared" ref="M8:M15" si="3">J8</f>
        <v>7620</v>
      </c>
      <c r="N8" s="81"/>
    </row>
    <row r="9" spans="1:16" ht="36">
      <c r="A9" s="34">
        <v>3</v>
      </c>
      <c r="B9" s="70" t="s">
        <v>277</v>
      </c>
      <c r="C9" s="79">
        <v>3048</v>
      </c>
      <c r="D9" s="212">
        <f>2400*1.27</f>
        <v>3048</v>
      </c>
      <c r="E9" s="80"/>
      <c r="F9" s="80"/>
      <c r="G9" s="80"/>
      <c r="H9" s="80"/>
      <c r="I9" s="81">
        <f t="shared" si="0"/>
        <v>3048</v>
      </c>
      <c r="J9" s="81">
        <f t="shared" si="1"/>
        <v>3048</v>
      </c>
      <c r="K9" s="81">
        <f t="shared" si="2"/>
        <v>3048</v>
      </c>
      <c r="L9" s="81"/>
      <c r="M9" s="81">
        <f t="shared" si="3"/>
        <v>3048</v>
      </c>
      <c r="N9" s="81"/>
    </row>
    <row r="10" spans="1:16" ht="36.75" customHeight="1">
      <c r="A10" s="34">
        <v>4</v>
      </c>
      <c r="B10" s="70" t="s">
        <v>278</v>
      </c>
      <c r="C10" s="79">
        <f>100000+17000+13000</f>
        <v>130000</v>
      </c>
      <c r="D10" s="212">
        <f>102362*1.27</f>
        <v>129999.74</v>
      </c>
      <c r="E10" s="80"/>
      <c r="F10" s="80"/>
      <c r="G10" s="80"/>
      <c r="H10" s="80"/>
      <c r="I10" s="81">
        <f t="shared" si="0"/>
        <v>130000</v>
      </c>
      <c r="J10" s="81">
        <f t="shared" si="1"/>
        <v>129999.74</v>
      </c>
      <c r="K10" s="81">
        <f t="shared" si="2"/>
        <v>130000</v>
      </c>
      <c r="L10" s="81"/>
      <c r="M10" s="81">
        <f t="shared" si="3"/>
        <v>129999.74</v>
      </c>
      <c r="N10" s="81"/>
    </row>
    <row r="11" spans="1:16" ht="36">
      <c r="A11" s="34">
        <v>5</v>
      </c>
      <c r="B11" s="189" t="s">
        <v>280</v>
      </c>
      <c r="C11" s="79">
        <v>3915</v>
      </c>
      <c r="D11" s="212">
        <f>3083+416+416</f>
        <v>3915</v>
      </c>
      <c r="E11" s="80"/>
      <c r="F11" s="80"/>
      <c r="G11" s="80"/>
      <c r="H11" s="80"/>
      <c r="I11" s="81">
        <f t="shared" si="0"/>
        <v>3915</v>
      </c>
      <c r="J11" s="81">
        <f t="shared" si="1"/>
        <v>3915</v>
      </c>
      <c r="K11" s="81">
        <f t="shared" si="2"/>
        <v>3915</v>
      </c>
      <c r="L11" s="81"/>
      <c r="M11" s="81">
        <f t="shared" si="3"/>
        <v>3915</v>
      </c>
      <c r="N11" s="81"/>
    </row>
    <row r="12" spans="1:16" ht="18">
      <c r="A12" s="34">
        <v>6</v>
      </c>
      <c r="B12" s="189" t="s">
        <v>281</v>
      </c>
      <c r="C12" s="79">
        <v>1270</v>
      </c>
      <c r="D12" s="212">
        <f>209*1.27+532*1.27</f>
        <v>941.06999999999994</v>
      </c>
      <c r="E12" s="80"/>
      <c r="F12" s="80"/>
      <c r="G12" s="80"/>
      <c r="H12" s="80"/>
      <c r="I12" s="81">
        <f t="shared" si="0"/>
        <v>1270</v>
      </c>
      <c r="J12" s="81">
        <f t="shared" si="1"/>
        <v>941.06999999999994</v>
      </c>
      <c r="K12" s="81">
        <f t="shared" si="2"/>
        <v>1270</v>
      </c>
      <c r="L12" s="81"/>
      <c r="M12" s="81">
        <f t="shared" si="3"/>
        <v>941.06999999999994</v>
      </c>
      <c r="N12" s="81"/>
    </row>
    <row r="13" spans="1:16" ht="18">
      <c r="A13" s="34">
        <v>7</v>
      </c>
      <c r="B13" s="189" t="s">
        <v>282</v>
      </c>
      <c r="C13" s="79">
        <v>6985</v>
      </c>
      <c r="D13" s="212">
        <f>5500*1.27</f>
        <v>6985</v>
      </c>
      <c r="E13" s="80"/>
      <c r="F13" s="80"/>
      <c r="G13" s="80"/>
      <c r="H13" s="80"/>
      <c r="I13" s="81">
        <f t="shared" si="0"/>
        <v>6985</v>
      </c>
      <c r="J13" s="81">
        <f t="shared" si="1"/>
        <v>6985</v>
      </c>
      <c r="K13" s="81">
        <f t="shared" si="2"/>
        <v>6985</v>
      </c>
      <c r="L13" s="81"/>
      <c r="M13" s="81">
        <f t="shared" si="3"/>
        <v>6985</v>
      </c>
      <c r="N13" s="81"/>
    </row>
    <row r="14" spans="1:16" ht="18">
      <c r="A14" s="34">
        <v>8</v>
      </c>
      <c r="B14" s="70" t="s">
        <v>286</v>
      </c>
      <c r="C14" s="79">
        <v>10160</v>
      </c>
      <c r="D14" s="212">
        <f>(3461+292)*1.27</f>
        <v>4766.3100000000004</v>
      </c>
      <c r="E14" s="80"/>
      <c r="F14" s="80"/>
      <c r="G14" s="80"/>
      <c r="H14" s="80"/>
      <c r="I14" s="81">
        <f t="shared" si="0"/>
        <v>10160</v>
      </c>
      <c r="J14" s="81">
        <f t="shared" si="1"/>
        <v>4766.3100000000004</v>
      </c>
      <c r="K14" s="81">
        <f t="shared" si="2"/>
        <v>10160</v>
      </c>
      <c r="L14" s="81"/>
      <c r="M14" s="81">
        <f t="shared" si="3"/>
        <v>4766.3100000000004</v>
      </c>
      <c r="N14" s="81"/>
    </row>
    <row r="15" spans="1:16" ht="18">
      <c r="A15" s="34">
        <v>9</v>
      </c>
      <c r="B15" s="70" t="s">
        <v>299</v>
      </c>
      <c r="C15" s="79">
        <v>0</v>
      </c>
      <c r="D15" s="212">
        <f>7800*1.27</f>
        <v>9906</v>
      </c>
      <c r="E15" s="80"/>
      <c r="F15" s="80"/>
      <c r="G15" s="80"/>
      <c r="H15" s="80"/>
      <c r="I15" s="81">
        <f>C15+E15+G15</f>
        <v>0</v>
      </c>
      <c r="J15" s="81">
        <f t="shared" si="1"/>
        <v>9906</v>
      </c>
      <c r="K15" s="81">
        <f>C15</f>
        <v>0</v>
      </c>
      <c r="L15" s="81"/>
      <c r="M15" s="81">
        <f t="shared" si="3"/>
        <v>9906</v>
      </c>
      <c r="N15" s="81"/>
    </row>
    <row r="16" spans="1:16" ht="18">
      <c r="A16" s="34">
        <v>10</v>
      </c>
      <c r="B16" s="71" t="s">
        <v>118</v>
      </c>
      <c r="C16" s="81">
        <f>SUM(C7:C15)</f>
        <v>249512</v>
      </c>
      <c r="D16" s="81">
        <f t="shared" ref="D16:N16" si="4">SUM(D7:D15)</f>
        <v>241580.9</v>
      </c>
      <c r="E16" s="81">
        <f t="shared" si="4"/>
        <v>0</v>
      </c>
      <c r="F16" s="81">
        <f t="shared" si="4"/>
        <v>0</v>
      </c>
      <c r="G16" s="81">
        <f t="shared" si="4"/>
        <v>0</v>
      </c>
      <c r="H16" s="81">
        <f t="shared" si="4"/>
        <v>0</v>
      </c>
      <c r="I16" s="81">
        <f t="shared" si="4"/>
        <v>249512</v>
      </c>
      <c r="J16" s="81">
        <f t="shared" si="4"/>
        <v>241580.9</v>
      </c>
      <c r="K16" s="81">
        <f t="shared" si="4"/>
        <v>249512</v>
      </c>
      <c r="L16" s="81">
        <f t="shared" si="4"/>
        <v>0</v>
      </c>
      <c r="M16" s="81">
        <f t="shared" si="4"/>
        <v>241580.9</v>
      </c>
      <c r="N16" s="81">
        <f t="shared" si="4"/>
        <v>0</v>
      </c>
    </row>
    <row r="17" spans="1:14" ht="18">
      <c r="B17" s="186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</row>
    <row r="18" spans="1:14" ht="18">
      <c r="B18" s="186"/>
      <c r="C18" s="187"/>
      <c r="D18" s="191" t="s">
        <v>301</v>
      </c>
      <c r="E18" s="191" t="s">
        <v>300</v>
      </c>
      <c r="F18" s="81" t="s">
        <v>302</v>
      </c>
      <c r="G18" s="187"/>
      <c r="H18" s="187"/>
      <c r="I18" s="187"/>
      <c r="J18" s="187"/>
      <c r="K18" s="187"/>
      <c r="L18" s="187"/>
      <c r="M18" s="187"/>
      <c r="N18" s="187"/>
    </row>
    <row r="19" spans="1:14" ht="20.25">
      <c r="B19" s="72" t="s">
        <v>298</v>
      </c>
      <c r="D19" s="192">
        <f>(D8+D9+D10+D11+D12+D13+D14+D15)/1.27*0.27</f>
        <v>35542.44283464567</v>
      </c>
      <c r="E19" s="192">
        <f>(192+288+200+496+550+88)*0.27</f>
        <v>489.78000000000003</v>
      </c>
      <c r="F19" s="193">
        <f>SUM(D19:E19)</f>
        <v>36032.222834645669</v>
      </c>
    </row>
    <row r="20" spans="1:14" ht="20.25">
      <c r="B20" s="72" t="s">
        <v>297</v>
      </c>
      <c r="D20" s="192">
        <f>D8+D9+D10+D11+D12+D13+D14+D15-D19</f>
        <v>131638.67716535431</v>
      </c>
      <c r="E20" s="192">
        <f>19500+192+288+200+496+49309+550+88+3287</f>
        <v>73910</v>
      </c>
      <c r="F20" s="193">
        <f>SUM(D20:E20)</f>
        <v>205548.67716535431</v>
      </c>
    </row>
    <row r="21" spans="1:14" ht="20.25">
      <c r="B21" s="72"/>
      <c r="D21" s="192"/>
      <c r="E21" s="84"/>
      <c r="F21" s="194">
        <f>SUM(F19:F20)</f>
        <v>241580.89999999997</v>
      </c>
    </row>
    <row r="22" spans="1:14" ht="23.25">
      <c r="B22" s="72"/>
      <c r="D22" s="188"/>
      <c r="F22" s="190">
        <f>F21+D44</f>
        <v>247457.61999999997</v>
      </c>
    </row>
    <row r="23" spans="1:14" ht="18">
      <c r="B23" s="73" t="s">
        <v>125</v>
      </c>
    </row>
    <row r="24" spans="1:14" ht="71.25">
      <c r="B24" s="68" t="s">
        <v>1</v>
      </c>
      <c r="C24" s="2" t="s">
        <v>2</v>
      </c>
      <c r="D24" s="2" t="s">
        <v>93</v>
      </c>
      <c r="E24" s="2" t="s">
        <v>3</v>
      </c>
      <c r="F24" s="2" t="s">
        <v>130</v>
      </c>
      <c r="G24" s="2" t="s">
        <v>85</v>
      </c>
      <c r="H24" s="2" t="s">
        <v>131</v>
      </c>
      <c r="I24" s="3" t="s">
        <v>4</v>
      </c>
      <c r="J24" s="3" t="s">
        <v>5</v>
      </c>
      <c r="K24" s="3" t="s">
        <v>83</v>
      </c>
      <c r="L24" s="3" t="s">
        <v>84</v>
      </c>
      <c r="M24" s="3" t="s">
        <v>86</v>
      </c>
      <c r="N24" s="3" t="s">
        <v>87</v>
      </c>
    </row>
    <row r="25" spans="1:14" ht="15">
      <c r="B25" s="69" t="s">
        <v>8</v>
      </c>
      <c r="C25" s="69" t="s">
        <v>9</v>
      </c>
      <c r="D25" s="69" t="s">
        <v>10</v>
      </c>
      <c r="E25" s="69" t="s">
        <v>11</v>
      </c>
      <c r="F25" s="69" t="s">
        <v>12</v>
      </c>
      <c r="G25" s="69" t="s">
        <v>13</v>
      </c>
      <c r="H25" s="69" t="s">
        <v>14</v>
      </c>
      <c r="I25" s="69" t="s">
        <v>15</v>
      </c>
      <c r="J25" s="69" t="s">
        <v>16</v>
      </c>
      <c r="K25" s="69" t="s">
        <v>17</v>
      </c>
      <c r="L25" s="69" t="s">
        <v>18</v>
      </c>
      <c r="M25" s="69" t="s">
        <v>91</v>
      </c>
      <c r="N25" s="69" t="s">
        <v>92</v>
      </c>
    </row>
    <row r="26" spans="1:14" ht="18">
      <c r="A26" s="34">
        <v>1</v>
      </c>
      <c r="B26" s="70" t="s">
        <v>202</v>
      </c>
      <c r="C26" s="79">
        <v>20396</v>
      </c>
      <c r="D26" s="212">
        <f>16060*1.27</f>
        <v>20396.2</v>
      </c>
      <c r="E26" s="80"/>
      <c r="F26" s="80"/>
      <c r="G26" s="80"/>
      <c r="H26" s="80"/>
      <c r="I26" s="81">
        <f t="shared" ref="I26:I31" si="5">C26+E26+G26</f>
        <v>20396</v>
      </c>
      <c r="J26" s="81">
        <f>D26+F26+H26</f>
        <v>20396.2</v>
      </c>
      <c r="K26" s="81">
        <f>C26</f>
        <v>20396</v>
      </c>
      <c r="L26" s="81"/>
      <c r="M26" s="81">
        <f>D26</f>
        <v>20396.2</v>
      </c>
      <c r="N26" s="81"/>
    </row>
    <row r="27" spans="1:14" ht="18">
      <c r="A27" s="34">
        <v>2</v>
      </c>
      <c r="B27" s="70" t="s">
        <v>279</v>
      </c>
      <c r="C27" s="79">
        <v>20000</v>
      </c>
      <c r="D27" s="212">
        <f>15748*1.27</f>
        <v>19999.96</v>
      </c>
      <c r="E27" s="80"/>
      <c r="F27" s="80"/>
      <c r="G27" s="80"/>
      <c r="H27" s="80"/>
      <c r="I27" s="81">
        <f t="shared" si="5"/>
        <v>20000</v>
      </c>
      <c r="J27" s="81">
        <f t="shared" ref="J27:J32" si="6">D27+F27+H27</f>
        <v>19999.96</v>
      </c>
      <c r="K27" s="81">
        <f>C27</f>
        <v>20000</v>
      </c>
      <c r="L27" s="81"/>
      <c r="M27" s="81">
        <f t="shared" ref="M27:M32" si="7">D27</f>
        <v>19999.96</v>
      </c>
      <c r="N27" s="81"/>
    </row>
    <row r="28" spans="1:14" ht="18">
      <c r="A28" s="34">
        <v>3</v>
      </c>
      <c r="B28" s="70" t="s">
        <v>285</v>
      </c>
      <c r="C28" s="79">
        <v>826</v>
      </c>
      <c r="D28" s="212">
        <f>650*1.27</f>
        <v>825.5</v>
      </c>
      <c r="E28" s="80"/>
      <c r="F28" s="80"/>
      <c r="G28" s="80"/>
      <c r="H28" s="80"/>
      <c r="I28" s="81">
        <f t="shared" si="5"/>
        <v>826</v>
      </c>
      <c r="J28" s="81">
        <f t="shared" si="6"/>
        <v>825.5</v>
      </c>
      <c r="K28" s="81">
        <f>C28</f>
        <v>826</v>
      </c>
      <c r="L28" s="81"/>
      <c r="M28" s="81">
        <f t="shared" si="7"/>
        <v>825.5</v>
      </c>
      <c r="N28" s="81"/>
    </row>
    <row r="29" spans="1:14" ht="18">
      <c r="A29" s="34">
        <v>4</v>
      </c>
      <c r="B29" s="70" t="s">
        <v>288</v>
      </c>
      <c r="C29" s="79">
        <v>3175</v>
      </c>
      <c r="D29" s="212">
        <v>0</v>
      </c>
      <c r="E29" s="80"/>
      <c r="F29" s="80"/>
      <c r="G29" s="80"/>
      <c r="H29" s="80"/>
      <c r="I29" s="81">
        <f t="shared" si="5"/>
        <v>3175</v>
      </c>
      <c r="J29" s="81">
        <f t="shared" si="6"/>
        <v>0</v>
      </c>
      <c r="K29" s="81">
        <f>E29+G29+I29</f>
        <v>3175</v>
      </c>
      <c r="L29" s="81"/>
      <c r="M29" s="81">
        <f t="shared" si="7"/>
        <v>0</v>
      </c>
      <c r="N29" s="81"/>
    </row>
    <row r="30" spans="1:14" ht="18">
      <c r="A30" s="34">
        <v>5</v>
      </c>
      <c r="B30" s="70" t="s">
        <v>287</v>
      </c>
      <c r="C30" s="79">
        <v>2540</v>
      </c>
      <c r="D30" s="212">
        <f>6797*1.27</f>
        <v>8632.19</v>
      </c>
      <c r="E30" s="80"/>
      <c r="F30" s="80"/>
      <c r="G30" s="80"/>
      <c r="H30" s="80"/>
      <c r="I30" s="81">
        <f t="shared" si="5"/>
        <v>2540</v>
      </c>
      <c r="J30" s="81">
        <f t="shared" si="6"/>
        <v>8632.19</v>
      </c>
      <c r="K30" s="81">
        <f>C30</f>
        <v>2540</v>
      </c>
      <c r="L30" s="81"/>
      <c r="M30" s="81">
        <f t="shared" si="7"/>
        <v>8632.19</v>
      </c>
      <c r="N30" s="81"/>
    </row>
    <row r="31" spans="1:14" ht="60.75" customHeight="1">
      <c r="A31" s="34">
        <v>6</v>
      </c>
      <c r="B31" s="70" t="s">
        <v>291</v>
      </c>
      <c r="C31" s="79">
        <v>4699</v>
      </c>
      <c r="D31" s="212">
        <f>2351*1.27</f>
        <v>2985.77</v>
      </c>
      <c r="E31" s="80"/>
      <c r="F31" s="80"/>
      <c r="G31" s="80"/>
      <c r="H31" s="80"/>
      <c r="I31" s="81">
        <f t="shared" si="5"/>
        <v>4699</v>
      </c>
      <c r="J31" s="81">
        <f t="shared" si="6"/>
        <v>2985.77</v>
      </c>
      <c r="K31" s="81">
        <f>C31</f>
        <v>4699</v>
      </c>
      <c r="L31" s="81"/>
      <c r="M31" s="81">
        <f t="shared" si="7"/>
        <v>2985.77</v>
      </c>
      <c r="N31" s="81"/>
    </row>
    <row r="32" spans="1:14" ht="36">
      <c r="A32" s="34">
        <v>7</v>
      </c>
      <c r="B32" s="189" t="s">
        <v>289</v>
      </c>
      <c r="C32" s="79">
        <v>31115</v>
      </c>
      <c r="D32" s="212">
        <f>21430*1.27</f>
        <v>27216.100000000002</v>
      </c>
      <c r="E32" s="80"/>
      <c r="F32" s="80"/>
      <c r="G32" s="80"/>
      <c r="H32" s="80"/>
      <c r="I32" s="81">
        <f>C32+E32+G32</f>
        <v>31115</v>
      </c>
      <c r="J32" s="81">
        <f t="shared" si="6"/>
        <v>27216.100000000002</v>
      </c>
      <c r="K32" s="81">
        <f>C32</f>
        <v>31115</v>
      </c>
      <c r="L32" s="81"/>
      <c r="M32" s="81">
        <f t="shared" si="7"/>
        <v>27216.100000000002</v>
      </c>
      <c r="N32" s="81"/>
    </row>
    <row r="33" spans="1:14" ht="18">
      <c r="A33" s="34">
        <v>8</v>
      </c>
      <c r="B33" s="71" t="s">
        <v>118</v>
      </c>
      <c r="C33" s="81">
        <f>SUM(C26:C32)</f>
        <v>82751</v>
      </c>
      <c r="D33" s="81">
        <f>SUM(D26:D32)</f>
        <v>80055.72</v>
      </c>
      <c r="E33" s="81">
        <f t="shared" ref="E33:N33" si="8">SUM(E27:E30)</f>
        <v>0</v>
      </c>
      <c r="F33" s="81">
        <f t="shared" si="8"/>
        <v>0</v>
      </c>
      <c r="G33" s="81">
        <f t="shared" si="8"/>
        <v>0</v>
      </c>
      <c r="H33" s="81">
        <f t="shared" si="8"/>
        <v>0</v>
      </c>
      <c r="I33" s="81">
        <f>SUM(I26:I32)</f>
        <v>82751</v>
      </c>
      <c r="J33" s="81">
        <f>SUM(J26:J32)</f>
        <v>80055.72</v>
      </c>
      <c r="K33" s="81">
        <f>SUM(K26:K32)</f>
        <v>82751</v>
      </c>
      <c r="L33" s="81">
        <f t="shared" si="8"/>
        <v>0</v>
      </c>
      <c r="M33" s="81">
        <f>SUM(M26:M32)</f>
        <v>80055.72</v>
      </c>
      <c r="N33" s="81">
        <f t="shared" si="8"/>
        <v>0</v>
      </c>
    </row>
    <row r="34" spans="1:14" ht="18">
      <c r="B34" s="72" t="s">
        <v>298</v>
      </c>
      <c r="C34" s="82"/>
      <c r="D34" s="188">
        <f>D33/1.27*0.27</f>
        <v>17019.72</v>
      </c>
      <c r="E34" s="82"/>
      <c r="F34" s="82"/>
      <c r="G34" s="82"/>
      <c r="H34" s="82"/>
      <c r="I34" s="82"/>
      <c r="J34" s="82"/>
      <c r="K34" s="82"/>
      <c r="L34" s="82"/>
      <c r="M34" s="82"/>
      <c r="N34" s="82"/>
    </row>
    <row r="35" spans="1:14" ht="18">
      <c r="B35" s="72" t="s">
        <v>297</v>
      </c>
      <c r="D35" s="188">
        <f>D33-D34</f>
        <v>63036</v>
      </c>
    </row>
    <row r="36" spans="1:14" ht="18">
      <c r="B36" s="50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</row>
    <row r="37" spans="1:14" ht="18">
      <c r="B37" s="72" t="s">
        <v>283</v>
      </c>
    </row>
    <row r="38" spans="1:14" ht="71.25">
      <c r="B38" s="68" t="s">
        <v>1</v>
      </c>
      <c r="C38" s="2" t="s">
        <v>2</v>
      </c>
      <c r="D38" s="2" t="s">
        <v>93</v>
      </c>
      <c r="E38" s="2" t="s">
        <v>3</v>
      </c>
      <c r="F38" s="2" t="s">
        <v>130</v>
      </c>
      <c r="G38" s="2" t="s">
        <v>85</v>
      </c>
      <c r="H38" s="2" t="s">
        <v>131</v>
      </c>
      <c r="I38" s="3" t="s">
        <v>4</v>
      </c>
      <c r="J38" s="3" t="s">
        <v>5</v>
      </c>
      <c r="K38" s="3" t="s">
        <v>83</v>
      </c>
      <c r="L38" s="3" t="s">
        <v>84</v>
      </c>
      <c r="M38" s="3" t="s">
        <v>86</v>
      </c>
      <c r="N38" s="3" t="s">
        <v>87</v>
      </c>
    </row>
    <row r="39" spans="1:14" ht="15">
      <c r="B39" s="69" t="s">
        <v>8</v>
      </c>
      <c r="C39" s="69" t="s">
        <v>9</v>
      </c>
      <c r="D39" s="69" t="s">
        <v>10</v>
      </c>
      <c r="E39" s="69" t="s">
        <v>11</v>
      </c>
      <c r="F39" s="69" t="s">
        <v>12</v>
      </c>
      <c r="G39" s="69" t="s">
        <v>13</v>
      </c>
      <c r="H39" s="69" t="s">
        <v>14</v>
      </c>
      <c r="I39" s="69" t="s">
        <v>15</v>
      </c>
      <c r="J39" s="69" t="s">
        <v>16</v>
      </c>
      <c r="K39" s="69" t="s">
        <v>17</v>
      </c>
      <c r="L39" s="69" t="s">
        <v>18</v>
      </c>
      <c r="M39" s="69" t="s">
        <v>91</v>
      </c>
      <c r="N39" s="69" t="s">
        <v>92</v>
      </c>
    </row>
    <row r="40" spans="1:14" ht="55.5" customHeight="1">
      <c r="A40" s="34">
        <v>1</v>
      </c>
      <c r="B40" s="176" t="s">
        <v>284</v>
      </c>
      <c r="C40" s="178">
        <v>5436</v>
      </c>
      <c r="D40" s="195">
        <f>4336*1.27</f>
        <v>5506.72</v>
      </c>
      <c r="E40" s="177"/>
      <c r="F40" s="177"/>
      <c r="G40" s="177"/>
      <c r="H40" s="177"/>
      <c r="I40" s="81">
        <f>C40+E40+G40</f>
        <v>5436</v>
      </c>
      <c r="J40" s="192">
        <f>D40</f>
        <v>5506.72</v>
      </c>
      <c r="K40" s="81">
        <f>C40</f>
        <v>5436</v>
      </c>
      <c r="L40" s="177"/>
      <c r="M40" s="192">
        <f>D40</f>
        <v>5506.72</v>
      </c>
      <c r="N40" s="177"/>
    </row>
    <row r="41" spans="1:14" ht="55.5" customHeight="1">
      <c r="A41" s="34">
        <v>2</v>
      </c>
      <c r="B41" s="185" t="s">
        <v>295</v>
      </c>
      <c r="C41" s="178"/>
      <c r="D41" s="196">
        <f>134+36</f>
        <v>170</v>
      </c>
      <c r="E41" s="177"/>
      <c r="F41" s="177"/>
      <c r="G41" s="177"/>
      <c r="H41" s="177"/>
      <c r="I41" s="81"/>
      <c r="J41" s="177">
        <f>D41</f>
        <v>170</v>
      </c>
      <c r="K41" s="81"/>
      <c r="L41" s="177"/>
      <c r="M41" s="192">
        <f>D41</f>
        <v>170</v>
      </c>
      <c r="N41" s="177"/>
    </row>
    <row r="42" spans="1:14" ht="55.5" customHeight="1">
      <c r="A42" s="34">
        <v>3</v>
      </c>
      <c r="B42" s="185" t="s">
        <v>296</v>
      </c>
      <c r="C42" s="178"/>
      <c r="D42" s="196">
        <f>79+21</f>
        <v>100</v>
      </c>
      <c r="E42" s="177"/>
      <c r="F42" s="177"/>
      <c r="G42" s="177"/>
      <c r="H42" s="177"/>
      <c r="I42" s="81"/>
      <c r="J42" s="177">
        <f>D42</f>
        <v>100</v>
      </c>
      <c r="K42" s="81"/>
      <c r="L42" s="177"/>
      <c r="M42" s="192">
        <f>D42</f>
        <v>100</v>
      </c>
      <c r="N42" s="177"/>
    </row>
    <row r="43" spans="1:14" ht="18">
      <c r="A43" s="34">
        <v>4</v>
      </c>
      <c r="B43" s="185" t="s">
        <v>290</v>
      </c>
      <c r="C43" s="178">
        <v>165</v>
      </c>
      <c r="D43" s="196">
        <f>79+21</f>
        <v>100</v>
      </c>
      <c r="E43" s="177"/>
      <c r="F43" s="177"/>
      <c r="G43" s="177"/>
      <c r="H43" s="177"/>
      <c r="I43" s="81">
        <f>C43+E43+G43</f>
        <v>165</v>
      </c>
      <c r="J43" s="177">
        <f>D43</f>
        <v>100</v>
      </c>
      <c r="K43" s="81">
        <f>C43</f>
        <v>165</v>
      </c>
      <c r="L43" s="177"/>
      <c r="M43" s="192">
        <f>D43</f>
        <v>100</v>
      </c>
      <c r="N43" s="177"/>
    </row>
    <row r="44" spans="1:14" ht="18">
      <c r="A44" s="34">
        <v>5</v>
      </c>
      <c r="B44" s="71" t="s">
        <v>118</v>
      </c>
      <c r="C44" s="81">
        <f>SUM(C40:C43)</f>
        <v>5601</v>
      </c>
      <c r="D44" s="81">
        <f>SUM(D40:D43)</f>
        <v>5876.72</v>
      </c>
      <c r="E44" s="81">
        <f t="shared" ref="E44:N44" si="9">SUM(E39:E43)</f>
        <v>0</v>
      </c>
      <c r="F44" s="81">
        <f t="shared" si="9"/>
        <v>0</v>
      </c>
      <c r="G44" s="81">
        <f t="shared" si="9"/>
        <v>0</v>
      </c>
      <c r="H44" s="81">
        <f t="shared" si="9"/>
        <v>0</v>
      </c>
      <c r="I44" s="81">
        <f t="shared" si="9"/>
        <v>5601</v>
      </c>
      <c r="J44" s="81">
        <f t="shared" si="9"/>
        <v>5876.72</v>
      </c>
      <c r="K44" s="81">
        <f t="shared" si="9"/>
        <v>5601</v>
      </c>
      <c r="L44" s="81">
        <f t="shared" si="9"/>
        <v>0</v>
      </c>
      <c r="M44" s="81">
        <f t="shared" si="9"/>
        <v>5876.72</v>
      </c>
      <c r="N44" s="81">
        <f t="shared" si="9"/>
        <v>0</v>
      </c>
    </row>
    <row r="45" spans="1:14" ht="18">
      <c r="B45" s="72" t="s">
        <v>298</v>
      </c>
      <c r="C45" s="82"/>
      <c r="D45" s="188">
        <f>D44/1.27*0.27</f>
        <v>1249.3814173228347</v>
      </c>
      <c r="E45" s="187"/>
      <c r="F45" s="187"/>
      <c r="G45" s="187"/>
      <c r="H45" s="187"/>
      <c r="I45" s="187"/>
      <c r="J45" s="187"/>
      <c r="K45" s="187"/>
      <c r="L45" s="187"/>
      <c r="M45" s="187"/>
      <c r="N45" s="187"/>
    </row>
    <row r="46" spans="1:14" ht="18">
      <c r="B46" s="72" t="s">
        <v>297</v>
      </c>
      <c r="D46" s="188">
        <f>D44-D45</f>
        <v>4627.3385826771655</v>
      </c>
      <c r="E46" s="187"/>
      <c r="F46" s="187"/>
      <c r="G46" s="187"/>
      <c r="H46" s="187"/>
      <c r="I46" s="187"/>
      <c r="J46" s="187"/>
      <c r="K46" s="187"/>
      <c r="L46" s="187"/>
      <c r="M46" s="187"/>
      <c r="N46" s="187"/>
    </row>
    <row r="47" spans="1:14" ht="18">
      <c r="B47" s="179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</row>
    <row r="48" spans="1:14" ht="18">
      <c r="B48" s="50" t="s">
        <v>126</v>
      </c>
      <c r="C48" s="83">
        <f>C33+C44+C16</f>
        <v>337864</v>
      </c>
      <c r="D48" s="83">
        <f>D33+D44+D16</f>
        <v>327513.33999999997</v>
      </c>
      <c r="E48" s="83">
        <f t="shared" ref="E48:N48" si="10">E16+E33</f>
        <v>0</v>
      </c>
      <c r="F48" s="83">
        <f t="shared" si="10"/>
        <v>0</v>
      </c>
      <c r="G48" s="83">
        <f t="shared" si="10"/>
        <v>0</v>
      </c>
      <c r="H48" s="83">
        <f t="shared" si="10"/>
        <v>0</v>
      </c>
      <c r="I48" s="83">
        <f>I16+I33+I44</f>
        <v>337864</v>
      </c>
      <c r="J48" s="83">
        <f t="shared" si="10"/>
        <v>321636.62</v>
      </c>
      <c r="K48" s="83">
        <f>K16+K33+K44</f>
        <v>337864</v>
      </c>
      <c r="L48" s="83">
        <f t="shared" si="10"/>
        <v>0</v>
      </c>
      <c r="M48" s="83">
        <f t="shared" si="10"/>
        <v>321636.62</v>
      </c>
      <c r="N48" s="83">
        <f t="shared" si="10"/>
        <v>0</v>
      </c>
    </row>
    <row r="49" spans="2:14" ht="18">
      <c r="B49" s="50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</row>
    <row r="50" spans="2:14" ht="18">
      <c r="B50" s="50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2:14">
      <c r="B51" s="225" t="s">
        <v>292</v>
      </c>
      <c r="C51" s="225"/>
      <c r="D51" s="225"/>
      <c r="E51" s="225"/>
      <c r="F51" s="225"/>
      <c r="G51" s="225"/>
      <c r="H51" s="225"/>
      <c r="I51" s="225"/>
    </row>
    <row r="53" spans="2:14" ht="72">
      <c r="B53" s="27" t="s">
        <v>1</v>
      </c>
      <c r="C53" s="74" t="s">
        <v>127</v>
      </c>
      <c r="D53" s="74" t="s">
        <v>128</v>
      </c>
      <c r="E53" s="74" t="s">
        <v>129</v>
      </c>
      <c r="F53" s="74" t="s">
        <v>129</v>
      </c>
      <c r="G53" s="74" t="s">
        <v>129</v>
      </c>
      <c r="H53" s="74" t="s">
        <v>129</v>
      </c>
      <c r="I53" s="74" t="s">
        <v>129</v>
      </c>
      <c r="J53" s="74" t="s">
        <v>129</v>
      </c>
      <c r="K53" s="34"/>
      <c r="L53" s="34"/>
      <c r="M53" s="34"/>
      <c r="N53" s="34"/>
    </row>
    <row r="54" spans="2:14">
      <c r="B54" s="75"/>
      <c r="C54" s="84"/>
      <c r="D54" s="84"/>
      <c r="E54" s="84"/>
      <c r="F54" s="84"/>
      <c r="G54" s="84"/>
      <c r="H54" s="84"/>
      <c r="I54" s="84"/>
      <c r="J54" s="84"/>
      <c r="K54" s="34"/>
      <c r="L54" s="34"/>
      <c r="M54" s="34"/>
      <c r="N54" s="34"/>
    </row>
    <row r="55" spans="2:14" ht="15">
      <c r="B55" s="76" t="s">
        <v>117</v>
      </c>
      <c r="C55" s="84"/>
      <c r="D55" s="84"/>
      <c r="E55" s="84"/>
      <c r="F55" s="84"/>
      <c r="G55" s="84"/>
      <c r="H55" s="84"/>
      <c r="I55" s="84"/>
      <c r="J55" s="84"/>
      <c r="K55" s="34"/>
      <c r="L55" s="34"/>
      <c r="M55" s="34"/>
      <c r="N55" s="34"/>
    </row>
    <row r="58" spans="2:14" ht="15">
      <c r="B58" s="77"/>
    </row>
    <row r="68" spans="2:14" ht="18">
      <c r="B68" s="179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</row>
    <row r="69" spans="2:14" ht="18">
      <c r="B69" s="179"/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</row>
    <row r="70" spans="2:14" ht="18">
      <c r="B70" s="179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</row>
    <row r="71" spans="2:14" ht="18">
      <c r="B71" s="179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</row>
    <row r="72" spans="2:14" ht="18">
      <c r="B72" s="179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</row>
    <row r="73" spans="2:14" ht="18">
      <c r="B73" s="179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</row>
    <row r="74" spans="2:14" ht="18">
      <c r="B74" s="179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</row>
    <row r="75" spans="2:14" ht="18">
      <c r="B75" s="7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</row>
    <row r="76" spans="2:14" ht="18">
      <c r="B76" s="7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</row>
    <row r="77" spans="2:14" ht="18">
      <c r="B77" s="7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</row>
    <row r="78" spans="2:14" ht="18">
      <c r="B78" s="7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</row>
    <row r="79" spans="2:14" ht="18">
      <c r="B79" s="7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</row>
    <row r="80" spans="2:14" ht="18">
      <c r="B80" s="7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</row>
    <row r="81" spans="2:14" ht="18">
      <c r="B81" s="7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</row>
    <row r="82" spans="2:14" ht="18">
      <c r="B82" s="7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</row>
    <row r="83" spans="2:14" ht="18">
      <c r="B83" s="7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</row>
  </sheetData>
  <mergeCells count="2">
    <mergeCell ref="B51:I51"/>
    <mergeCell ref="B1:N1"/>
  </mergeCells>
  <phoneticPr fontId="42" type="noConversion"/>
  <pageMargins left="0.47244094488188981" right="0.43307086614173229" top="0.45" bottom="0.42" header="0.31496062992125984" footer="0.31496062992125984"/>
  <pageSetup paperSize="9" scale="4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X33"/>
  <sheetViews>
    <sheetView zoomScale="75" zoomScaleNormal="75" workbookViewId="0">
      <selection activeCell="E26" sqref="E26"/>
    </sheetView>
  </sheetViews>
  <sheetFormatPr defaultRowHeight="12.75"/>
  <cols>
    <col min="1" max="1" width="9.140625" style="34" customWidth="1"/>
    <col min="2" max="2" width="73.140625" style="34" customWidth="1"/>
    <col min="3" max="4" width="17.85546875" style="34" customWidth="1"/>
    <col min="5" max="8" width="21.28515625" style="34" customWidth="1"/>
    <col min="9" max="16384" width="9.140625" style="34"/>
  </cols>
  <sheetData>
    <row r="1" spans="1:24">
      <c r="B1" s="224" t="s">
        <v>318</v>
      </c>
      <c r="C1" s="224"/>
      <c r="D1" s="224"/>
      <c r="E1" s="224"/>
      <c r="F1" s="224"/>
      <c r="G1" s="224"/>
      <c r="H1" s="224"/>
    </row>
    <row r="2" spans="1:24" ht="20.25">
      <c r="B2" s="35" t="s">
        <v>134</v>
      </c>
    </row>
    <row r="3" spans="1:24" ht="20.25">
      <c r="B3" s="35"/>
      <c r="G3" s="34" t="s">
        <v>0</v>
      </c>
    </row>
    <row r="4" spans="1:24" ht="57">
      <c r="B4" s="1" t="s">
        <v>1</v>
      </c>
      <c r="C4" s="2" t="s">
        <v>2</v>
      </c>
      <c r="D4" s="2" t="s">
        <v>79</v>
      </c>
      <c r="E4" s="3" t="s">
        <v>83</v>
      </c>
      <c r="F4" s="3" t="s">
        <v>84</v>
      </c>
      <c r="G4" s="3" t="s">
        <v>86</v>
      </c>
      <c r="H4" s="3" t="s">
        <v>87</v>
      </c>
      <c r="J4" s="59"/>
    </row>
    <row r="5" spans="1:24" ht="14.25">
      <c r="B5" s="2" t="s">
        <v>6</v>
      </c>
      <c r="C5" s="2" t="s">
        <v>7</v>
      </c>
      <c r="D5" s="2" t="s">
        <v>8</v>
      </c>
      <c r="E5" s="2" t="s">
        <v>9</v>
      </c>
      <c r="F5" s="2" t="s">
        <v>99</v>
      </c>
      <c r="G5" s="2" t="s">
        <v>11</v>
      </c>
      <c r="H5" s="2" t="s">
        <v>12</v>
      </c>
    </row>
    <row r="6" spans="1:24" ht="16.5">
      <c r="A6" s="34">
        <v>1</v>
      </c>
      <c r="B6" s="5" t="s">
        <v>204</v>
      </c>
      <c r="C6" s="47">
        <v>39990</v>
      </c>
      <c r="D6" s="47">
        <v>38920</v>
      </c>
      <c r="E6" s="46"/>
      <c r="F6" s="47">
        <f>C6</f>
        <v>39990</v>
      </c>
      <c r="G6" s="47"/>
      <c r="H6" s="47">
        <f>D6</f>
        <v>38920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1:24" ht="16.5">
      <c r="A7" s="34">
        <v>2</v>
      </c>
      <c r="B7" s="5" t="s">
        <v>205</v>
      </c>
      <c r="C7" s="47">
        <v>25650</v>
      </c>
      <c r="D7" s="47">
        <v>28950</v>
      </c>
      <c r="E7" s="46"/>
      <c r="F7" s="47">
        <f>C7</f>
        <v>25650</v>
      </c>
      <c r="G7" s="47"/>
      <c r="H7" s="47">
        <f>D7</f>
        <v>28950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1:24" ht="28.5">
      <c r="A8" s="34">
        <v>3</v>
      </c>
      <c r="B8" s="5" t="s">
        <v>206</v>
      </c>
      <c r="C8" s="47">
        <v>16250</v>
      </c>
      <c r="D8" s="47">
        <v>17790</v>
      </c>
      <c r="E8" s="46"/>
      <c r="F8" s="47">
        <f>C8</f>
        <v>16250</v>
      </c>
      <c r="G8" s="47"/>
      <c r="H8" s="47">
        <f>D8</f>
        <v>17790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4" ht="16.5">
      <c r="A9" s="34">
        <v>4</v>
      </c>
      <c r="B9" s="5" t="s">
        <v>207</v>
      </c>
      <c r="C9" s="47">
        <v>900</v>
      </c>
      <c r="D9" s="47">
        <v>900</v>
      </c>
      <c r="E9" s="46"/>
      <c r="F9" s="47">
        <f>C9</f>
        <v>900</v>
      </c>
      <c r="G9" s="47"/>
      <c r="H9" s="47">
        <f>D9</f>
        <v>900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4" ht="16.5">
      <c r="A10" s="34">
        <v>5</v>
      </c>
      <c r="B10" s="5" t="s">
        <v>208</v>
      </c>
      <c r="C10" s="47">
        <v>39224</v>
      </c>
      <c r="D10" s="47">
        <v>40934</v>
      </c>
      <c r="E10" s="46"/>
      <c r="F10" s="47">
        <f>C10</f>
        <v>39224</v>
      </c>
      <c r="G10" s="47"/>
      <c r="H10" s="47">
        <f>D10</f>
        <v>40934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ht="32.25" customHeight="1">
      <c r="A11" s="34">
        <v>6</v>
      </c>
      <c r="B11" s="32" t="s">
        <v>132</v>
      </c>
      <c r="C11" s="46">
        <f t="shared" ref="C11:H11" si="0">SUM(C6:C10)</f>
        <v>122014</v>
      </c>
      <c r="D11" s="46">
        <f t="shared" si="0"/>
        <v>127494</v>
      </c>
      <c r="E11" s="46">
        <f t="shared" si="0"/>
        <v>0</v>
      </c>
      <c r="F11" s="46">
        <f t="shared" si="0"/>
        <v>122014</v>
      </c>
      <c r="G11" s="46">
        <f t="shared" si="0"/>
        <v>0</v>
      </c>
      <c r="H11" s="46">
        <f t="shared" si="0"/>
        <v>127494</v>
      </c>
      <c r="I11" s="53"/>
      <c r="J11" s="53"/>
      <c r="K11" s="53"/>
      <c r="L11" s="53"/>
      <c r="M11" s="53"/>
      <c r="N11" s="53"/>
      <c r="O11" s="53"/>
      <c r="P11" s="53"/>
      <c r="Q11" s="88"/>
      <c r="R11" s="54"/>
      <c r="S11" s="54"/>
      <c r="T11" s="54"/>
      <c r="U11" s="54"/>
      <c r="V11" s="54"/>
      <c r="W11" s="54"/>
      <c r="X11" s="54"/>
    </row>
    <row r="12" spans="1:24" ht="32.25" customHeight="1">
      <c r="B12" s="85"/>
      <c r="C12" s="86"/>
      <c r="D12" s="86"/>
      <c r="E12" s="86"/>
      <c r="F12" s="86"/>
      <c r="G12" s="86"/>
      <c r="H12" s="86"/>
      <c r="I12" s="53"/>
      <c r="J12" s="53"/>
      <c r="K12" s="53"/>
      <c r="L12" s="53"/>
      <c r="M12" s="53"/>
      <c r="N12" s="53"/>
      <c r="O12" s="53"/>
      <c r="P12" s="53"/>
      <c r="Q12" s="88"/>
      <c r="R12" s="54"/>
      <c r="S12" s="54"/>
      <c r="T12" s="54"/>
      <c r="U12" s="54"/>
      <c r="V12" s="54"/>
      <c r="W12" s="54"/>
      <c r="X12" s="54"/>
    </row>
    <row r="13" spans="1:24" ht="57">
      <c r="B13" s="1" t="s">
        <v>1</v>
      </c>
      <c r="C13" s="2" t="s">
        <v>2</v>
      </c>
      <c r="D13" s="2" t="s">
        <v>79</v>
      </c>
      <c r="E13" s="3" t="s">
        <v>83</v>
      </c>
      <c r="F13" s="3" t="s">
        <v>84</v>
      </c>
      <c r="G13" s="3" t="s">
        <v>86</v>
      </c>
      <c r="H13" s="3" t="s">
        <v>87</v>
      </c>
    </row>
    <row r="14" spans="1:24" ht="14.25">
      <c r="B14" s="1" t="s">
        <v>6</v>
      </c>
      <c r="C14" s="2" t="s">
        <v>7</v>
      </c>
      <c r="D14" s="2" t="s">
        <v>8</v>
      </c>
      <c r="E14" s="2" t="s">
        <v>9</v>
      </c>
      <c r="F14" s="2" t="s">
        <v>99</v>
      </c>
      <c r="G14" s="2" t="s">
        <v>11</v>
      </c>
      <c r="H14" s="2" t="s">
        <v>12</v>
      </c>
    </row>
    <row r="15" spans="1:24" ht="16.5">
      <c r="A15" s="34">
        <v>1</v>
      </c>
      <c r="B15" s="5" t="s">
        <v>209</v>
      </c>
      <c r="C15" s="47"/>
      <c r="D15" s="47"/>
      <c r="E15" s="46"/>
      <c r="F15" s="47">
        <f>C15</f>
        <v>0</v>
      </c>
      <c r="G15" s="47"/>
      <c r="H15" s="47">
        <f>D15</f>
        <v>0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4" ht="16.5">
      <c r="A16" s="34">
        <v>2</v>
      </c>
      <c r="B16" s="5" t="s">
        <v>210</v>
      </c>
      <c r="C16" s="47"/>
      <c r="D16" s="47"/>
      <c r="E16" s="46"/>
      <c r="F16" s="47">
        <f>C16</f>
        <v>0</v>
      </c>
      <c r="G16" s="47"/>
      <c r="H16" s="47">
        <f>D16</f>
        <v>0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4" ht="28.5">
      <c r="A17" s="34">
        <v>3</v>
      </c>
      <c r="B17" s="5" t="s">
        <v>211</v>
      </c>
      <c r="C17" s="47"/>
      <c r="D17" s="47"/>
      <c r="E17" s="46"/>
      <c r="F17" s="47">
        <f>C17</f>
        <v>0</v>
      </c>
      <c r="G17" s="47"/>
      <c r="H17" s="47">
        <f>D17</f>
        <v>0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4" ht="16.5">
      <c r="A18" s="34">
        <v>4</v>
      </c>
      <c r="B18" s="5" t="s">
        <v>212</v>
      </c>
      <c r="C18" s="47"/>
      <c r="D18" s="47"/>
      <c r="E18" s="46"/>
      <c r="F18" s="47">
        <f>C18</f>
        <v>0</v>
      </c>
      <c r="G18" s="47"/>
      <c r="H18" s="47">
        <f>D18</f>
        <v>0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4" ht="16.5">
      <c r="A19" s="34">
        <v>5</v>
      </c>
      <c r="B19" s="5" t="s">
        <v>208</v>
      </c>
      <c r="C19" s="47"/>
      <c r="D19" s="47"/>
      <c r="E19" s="46"/>
      <c r="F19" s="47">
        <f>C19</f>
        <v>0</v>
      </c>
      <c r="G19" s="47"/>
      <c r="H19" s="47">
        <f>D19</f>
        <v>0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1:24" ht="33" customHeight="1">
      <c r="A20" s="34">
        <v>6</v>
      </c>
      <c r="B20" s="32" t="s">
        <v>133</v>
      </c>
      <c r="C20" s="46">
        <f t="shared" ref="C20:H20" si="1">SUM(C15:C19)</f>
        <v>0</v>
      </c>
      <c r="D20" s="46">
        <f t="shared" si="1"/>
        <v>0</v>
      </c>
      <c r="E20" s="46">
        <f t="shared" si="1"/>
        <v>0</v>
      </c>
      <c r="F20" s="46">
        <f t="shared" si="1"/>
        <v>0</v>
      </c>
      <c r="G20" s="46">
        <f t="shared" si="1"/>
        <v>0</v>
      </c>
      <c r="H20" s="46">
        <f t="shared" si="1"/>
        <v>0</v>
      </c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89"/>
      <c r="T20" s="89"/>
      <c r="U20" s="89"/>
      <c r="V20" s="89"/>
      <c r="W20" s="89"/>
      <c r="X20" s="89"/>
    </row>
    <row r="21" spans="1:24" ht="14.25">
      <c r="B21" s="87"/>
    </row>
    <row r="22" spans="1:24" ht="14.25">
      <c r="B22" s="87"/>
    </row>
    <row r="23" spans="1:24" ht="14.25">
      <c r="B23" s="87"/>
    </row>
    <row r="24" spans="1:24" ht="14.25">
      <c r="B24" s="87"/>
    </row>
    <row r="25" spans="1:24" ht="14.25">
      <c r="B25" s="87"/>
    </row>
    <row r="26" spans="1:24" ht="14.25">
      <c r="B26" s="87"/>
    </row>
    <row r="27" spans="1:24" ht="14.25">
      <c r="B27" s="87"/>
    </row>
    <row r="28" spans="1:24" ht="14.25">
      <c r="B28" s="87"/>
    </row>
    <row r="29" spans="1:24" ht="14.25">
      <c r="B29" s="87"/>
    </row>
    <row r="30" spans="1:24" ht="14.25">
      <c r="B30" s="87"/>
    </row>
    <row r="31" spans="1:24" ht="14.25">
      <c r="B31" s="87"/>
    </row>
    <row r="32" spans="1:24" ht="14.25">
      <c r="B32" s="87"/>
    </row>
    <row r="33" spans="2:2" ht="14.25">
      <c r="B33" s="87"/>
    </row>
  </sheetData>
  <mergeCells count="1">
    <mergeCell ref="B1:H1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20"/>
  <sheetViews>
    <sheetView zoomScale="75" zoomScaleNormal="75" workbookViewId="0">
      <selection activeCell="C6" sqref="C6"/>
    </sheetView>
  </sheetViews>
  <sheetFormatPr defaultRowHeight="12.75"/>
  <cols>
    <col min="1" max="1" width="9.140625" style="34" customWidth="1"/>
    <col min="2" max="2" width="73.140625" style="34" customWidth="1"/>
    <col min="3" max="4" width="17.85546875" style="34" customWidth="1"/>
    <col min="5" max="8" width="21.28515625" style="34" customWidth="1"/>
    <col min="9" max="16384" width="9.140625" style="34"/>
  </cols>
  <sheetData>
    <row r="1" spans="1:24">
      <c r="B1" s="224" t="s">
        <v>319</v>
      </c>
      <c r="C1" s="224"/>
      <c r="D1" s="224"/>
      <c r="E1" s="224"/>
      <c r="F1" s="224"/>
      <c r="G1" s="224"/>
      <c r="H1" s="224"/>
    </row>
    <row r="2" spans="1:24" ht="20.25">
      <c r="B2" s="35" t="s">
        <v>213</v>
      </c>
    </row>
    <row r="3" spans="1:24" ht="20.25">
      <c r="B3" s="35"/>
      <c r="G3" s="34" t="s">
        <v>0</v>
      </c>
    </row>
    <row r="4" spans="1:24" ht="57">
      <c r="B4" s="1" t="s">
        <v>1</v>
      </c>
      <c r="C4" s="2" t="s">
        <v>2</v>
      </c>
      <c r="D4" s="2" t="s">
        <v>79</v>
      </c>
      <c r="E4" s="3" t="s">
        <v>83</v>
      </c>
      <c r="F4" s="3" t="s">
        <v>84</v>
      </c>
      <c r="G4" s="3" t="s">
        <v>86</v>
      </c>
      <c r="H4" s="3" t="s">
        <v>87</v>
      </c>
      <c r="J4" s="59"/>
    </row>
    <row r="5" spans="1:24" ht="14.25">
      <c r="B5" s="2" t="s">
        <v>6</v>
      </c>
      <c r="C5" s="2" t="s">
        <v>7</v>
      </c>
      <c r="D5" s="2" t="s">
        <v>8</v>
      </c>
      <c r="E5" s="2" t="s">
        <v>9</v>
      </c>
      <c r="F5" s="2" t="s">
        <v>99</v>
      </c>
      <c r="G5" s="2" t="s">
        <v>11</v>
      </c>
      <c r="H5" s="2" t="s">
        <v>12</v>
      </c>
    </row>
    <row r="6" spans="1:24" ht="16.5">
      <c r="A6" s="34">
        <v>1</v>
      </c>
      <c r="B6" s="164" t="s">
        <v>227</v>
      </c>
      <c r="C6" s="47">
        <v>280</v>
      </c>
      <c r="D6" s="47">
        <v>280</v>
      </c>
      <c r="E6" s="47">
        <f t="shared" ref="E6:E14" si="0">C6</f>
        <v>280</v>
      </c>
      <c r="F6" s="47"/>
      <c r="G6" s="47">
        <f t="shared" ref="G6:G14" si="1">D6</f>
        <v>280</v>
      </c>
      <c r="H6" s="47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1:24" ht="16.5">
      <c r="A7" s="34">
        <v>2</v>
      </c>
      <c r="B7" s="164" t="s">
        <v>228</v>
      </c>
      <c r="C7" s="47">
        <v>233</v>
      </c>
      <c r="D7" s="47">
        <v>508</v>
      </c>
      <c r="E7" s="47">
        <f t="shared" si="0"/>
        <v>233</v>
      </c>
      <c r="F7" s="47"/>
      <c r="G7" s="47">
        <f t="shared" si="1"/>
        <v>508</v>
      </c>
      <c r="H7" s="47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1:24" ht="16.5">
      <c r="A8" s="34">
        <v>3</v>
      </c>
      <c r="B8" s="164" t="s">
        <v>229</v>
      </c>
      <c r="C8" s="47">
        <v>60</v>
      </c>
      <c r="D8" s="47">
        <v>18</v>
      </c>
      <c r="E8" s="47">
        <f t="shared" si="0"/>
        <v>60</v>
      </c>
      <c r="F8" s="47"/>
      <c r="G8" s="47">
        <f t="shared" si="1"/>
        <v>18</v>
      </c>
      <c r="H8" s="47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4" ht="16.5">
      <c r="A9" s="34">
        <v>4</v>
      </c>
      <c r="B9" s="164" t="s">
        <v>230</v>
      </c>
      <c r="C9" s="47">
        <v>92</v>
      </c>
      <c r="D9" s="47">
        <v>154</v>
      </c>
      <c r="E9" s="47">
        <f t="shared" si="0"/>
        <v>92</v>
      </c>
      <c r="F9" s="47"/>
      <c r="G9" s="47">
        <f t="shared" si="1"/>
        <v>154</v>
      </c>
      <c r="H9" s="47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4" ht="16.5">
      <c r="A10" s="34">
        <v>5</v>
      </c>
      <c r="B10" s="164" t="s">
        <v>231</v>
      </c>
      <c r="C10" s="47">
        <v>1150</v>
      </c>
      <c r="D10" s="47">
        <v>1150</v>
      </c>
      <c r="E10" s="47"/>
      <c r="F10" s="47">
        <f>C10</f>
        <v>1150</v>
      </c>
      <c r="G10" s="47"/>
      <c r="H10" s="47">
        <f>D10</f>
        <v>1150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ht="16.5">
      <c r="A11" s="34">
        <v>6</v>
      </c>
      <c r="B11" s="164" t="s">
        <v>232</v>
      </c>
      <c r="C11" s="47">
        <v>1000</v>
      </c>
      <c r="D11" s="47">
        <v>1000</v>
      </c>
      <c r="E11" s="47"/>
      <c r="F11" s="47">
        <f>C11</f>
        <v>1000</v>
      </c>
      <c r="G11" s="47"/>
      <c r="H11" s="47">
        <f>D11</f>
        <v>1000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1:24" ht="16.5">
      <c r="A12" s="34">
        <v>7</v>
      </c>
      <c r="B12" s="164" t="s">
        <v>233</v>
      </c>
      <c r="C12" s="47">
        <v>1600</v>
      </c>
      <c r="D12" s="47">
        <v>1600</v>
      </c>
      <c r="E12" s="47">
        <f t="shared" si="0"/>
        <v>1600</v>
      </c>
      <c r="F12" s="46"/>
      <c r="G12" s="47">
        <f t="shared" si="1"/>
        <v>1600</v>
      </c>
      <c r="H12" s="4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1:24" ht="16.5">
      <c r="A13" s="34">
        <v>8</v>
      </c>
      <c r="B13" s="164" t="s">
        <v>234</v>
      </c>
      <c r="C13" s="47">
        <v>4</v>
      </c>
      <c r="D13" s="47">
        <v>16</v>
      </c>
      <c r="E13" s="47"/>
      <c r="F13" s="47">
        <f>C13</f>
        <v>4</v>
      </c>
      <c r="G13" s="47"/>
      <c r="H13" s="47">
        <f>D13</f>
        <v>16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1:24" ht="16.5">
      <c r="A14" s="34">
        <v>9</v>
      </c>
      <c r="B14" s="164" t="s">
        <v>235</v>
      </c>
      <c r="C14" s="47">
        <v>1000</v>
      </c>
      <c r="D14" s="47">
        <v>400</v>
      </c>
      <c r="E14" s="47">
        <f t="shared" si="0"/>
        <v>1000</v>
      </c>
      <c r="F14" s="47"/>
      <c r="G14" s="47">
        <f t="shared" si="1"/>
        <v>400</v>
      </c>
      <c r="H14" s="47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4" ht="16.5">
      <c r="A15" s="34">
        <v>10</v>
      </c>
      <c r="B15" s="164" t="s">
        <v>236</v>
      </c>
      <c r="C15" s="47">
        <v>700</v>
      </c>
      <c r="D15" s="47">
        <v>700</v>
      </c>
      <c r="E15" s="47"/>
      <c r="F15" s="47">
        <f>C15</f>
        <v>700</v>
      </c>
      <c r="G15" s="47"/>
      <c r="H15" s="47">
        <f>D15</f>
        <v>700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4" ht="16.5">
      <c r="A16" s="34">
        <v>11</v>
      </c>
      <c r="B16" s="164" t="s">
        <v>237</v>
      </c>
      <c r="C16" s="47">
        <v>1100</v>
      </c>
      <c r="D16" s="47">
        <v>600</v>
      </c>
      <c r="E16" s="47"/>
      <c r="F16" s="47">
        <f>C16</f>
        <v>1100</v>
      </c>
      <c r="G16" s="47"/>
      <c r="H16" s="47">
        <f>D16</f>
        <v>600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4" ht="25.5">
      <c r="A17" s="34">
        <v>24</v>
      </c>
      <c r="B17" s="92" t="s">
        <v>135</v>
      </c>
      <c r="C17" s="46">
        <f t="shared" ref="C17:H17" si="2">SUM(C6:C16)</f>
        <v>7219</v>
      </c>
      <c r="D17" s="46">
        <f>SUM(D6:D16)</f>
        <v>6426</v>
      </c>
      <c r="E17" s="46">
        <f t="shared" si="2"/>
        <v>3265</v>
      </c>
      <c r="F17" s="46">
        <f t="shared" si="2"/>
        <v>3954</v>
      </c>
      <c r="G17" s="46">
        <f>SUM(G6:G16)</f>
        <v>2960</v>
      </c>
      <c r="H17" s="46">
        <f t="shared" si="2"/>
        <v>3466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4" ht="14.25">
      <c r="B18" s="87"/>
    </row>
    <row r="19" spans="1:24" ht="14.25">
      <c r="B19" s="87"/>
    </row>
    <row r="20" spans="1:24" ht="14.25">
      <c r="B20" s="87"/>
    </row>
  </sheetData>
  <mergeCells count="1">
    <mergeCell ref="B1:H1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26"/>
  <sheetViews>
    <sheetView topLeftCell="B1" zoomScale="75" zoomScaleNormal="75" workbookViewId="0">
      <selection activeCell="D5" sqref="D5"/>
    </sheetView>
  </sheetViews>
  <sheetFormatPr defaultRowHeight="12.75"/>
  <cols>
    <col min="1" max="1" width="7.28515625" style="34" customWidth="1"/>
    <col min="2" max="2" width="50" style="41" customWidth="1"/>
    <col min="3" max="4" width="19.42578125" style="38" customWidth="1"/>
    <col min="5" max="6" width="19.28515625" style="38" customWidth="1"/>
    <col min="7" max="8" width="17.5703125" style="38" customWidth="1"/>
    <col min="9" max="9" width="17.28515625" style="38" customWidth="1"/>
    <col min="10" max="10" width="17.5703125" style="38" customWidth="1"/>
    <col min="11" max="11" width="19.5703125" style="38" customWidth="1"/>
    <col min="12" max="12" width="18.7109375" style="38" customWidth="1"/>
    <col min="13" max="13" width="19.42578125" style="38" customWidth="1"/>
    <col min="14" max="14" width="19.7109375" style="38" customWidth="1"/>
    <col min="15" max="15" width="19.28515625" style="38" customWidth="1"/>
    <col min="16" max="16" width="19.5703125" style="38" customWidth="1"/>
    <col min="17" max="16384" width="9.140625" style="34"/>
  </cols>
  <sheetData>
    <row r="1" spans="1:16">
      <c r="B1" s="224" t="s">
        <v>320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</row>
    <row r="2" spans="1:16" ht="27">
      <c r="B2" s="37"/>
    </row>
    <row r="3" spans="1:16" ht="20.25">
      <c r="B3" s="39" t="s">
        <v>136</v>
      </c>
    </row>
    <row r="4" spans="1:16" ht="20.25">
      <c r="B4" s="39"/>
      <c r="O4" s="38" t="s">
        <v>0</v>
      </c>
    </row>
    <row r="5" spans="1:16" ht="79.5" customHeight="1">
      <c r="B5" s="1" t="s">
        <v>1</v>
      </c>
      <c r="C5" s="2" t="s">
        <v>2</v>
      </c>
      <c r="D5" s="2" t="s">
        <v>79</v>
      </c>
      <c r="E5" s="2" t="s">
        <v>78</v>
      </c>
      <c r="F5" s="2" t="s">
        <v>80</v>
      </c>
      <c r="G5" s="2" t="s">
        <v>3</v>
      </c>
      <c r="H5" s="2" t="s">
        <v>81</v>
      </c>
      <c r="I5" s="2" t="s">
        <v>85</v>
      </c>
      <c r="J5" s="2" t="s">
        <v>82</v>
      </c>
      <c r="K5" s="3" t="s">
        <v>4</v>
      </c>
      <c r="L5" s="3" t="s">
        <v>5</v>
      </c>
      <c r="M5" s="3" t="s">
        <v>83</v>
      </c>
      <c r="N5" s="3" t="s">
        <v>84</v>
      </c>
      <c r="O5" s="3" t="s">
        <v>86</v>
      </c>
      <c r="P5" s="3" t="s">
        <v>87</v>
      </c>
    </row>
    <row r="6" spans="1:16" ht="14.25">
      <c r="B6" s="58" t="s">
        <v>6</v>
      </c>
      <c r="C6" s="2" t="s">
        <v>7</v>
      </c>
      <c r="D6" s="58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2" t="s">
        <v>17</v>
      </c>
      <c r="N6" s="2" t="s">
        <v>18</v>
      </c>
      <c r="O6" s="2" t="s">
        <v>91</v>
      </c>
      <c r="P6" s="2" t="s">
        <v>92</v>
      </c>
    </row>
    <row r="7" spans="1:16" ht="14.25">
      <c r="A7" s="34">
        <v>1</v>
      </c>
      <c r="B7" s="10" t="s">
        <v>238</v>
      </c>
      <c r="C7" s="94">
        <f>1+1+1+0.75+0.75</f>
        <v>4.5</v>
      </c>
      <c r="D7" s="94">
        <f>1+1+1+0.75+0.75</f>
        <v>4.5</v>
      </c>
      <c r="E7" s="94">
        <v>12.85</v>
      </c>
      <c r="F7" s="94">
        <f>1+1+5+3+0.75+1+1+0.75+0.44</f>
        <v>13.94</v>
      </c>
      <c r="G7" s="94">
        <v>3</v>
      </c>
      <c r="H7" s="94">
        <v>3</v>
      </c>
      <c r="I7" s="94">
        <v>7</v>
      </c>
      <c r="J7" s="94">
        <v>7</v>
      </c>
      <c r="K7" s="94">
        <f>C7+E7+G7+I7</f>
        <v>27.35</v>
      </c>
      <c r="L7" s="94">
        <f>D7+F7+H7+J7</f>
        <v>28.439999999999998</v>
      </c>
      <c r="M7" s="94">
        <f>C7+E7+G7+I7</f>
        <v>27.35</v>
      </c>
      <c r="N7" s="94">
        <v>0</v>
      </c>
      <c r="O7" s="94">
        <f>L7</f>
        <v>28.439999999999998</v>
      </c>
      <c r="P7" s="94">
        <v>0</v>
      </c>
    </row>
    <row r="8" spans="1:16" ht="14.25">
      <c r="A8" s="34">
        <v>2</v>
      </c>
      <c r="B8" s="10" t="s">
        <v>239</v>
      </c>
      <c r="C8" s="94">
        <f>3.23+1</f>
        <v>4.2300000000000004</v>
      </c>
      <c r="D8" s="94">
        <f>3.23+1</f>
        <v>4.2300000000000004</v>
      </c>
      <c r="E8" s="94"/>
      <c r="F8" s="94"/>
      <c r="G8" s="94">
        <v>16.579999999999998</v>
      </c>
      <c r="H8" s="94">
        <v>16.579999999999998</v>
      </c>
      <c r="I8" s="94">
        <v>4.25</v>
      </c>
      <c r="J8" s="94">
        <v>4.25</v>
      </c>
      <c r="K8" s="94">
        <f>C8+E8+G8+I8</f>
        <v>25.06</v>
      </c>
      <c r="L8" s="94">
        <f>D8+F8+H8+J8</f>
        <v>25.06</v>
      </c>
      <c r="M8" s="94">
        <f>C8+E8+G8+I8</f>
        <v>25.06</v>
      </c>
      <c r="N8" s="94">
        <v>0</v>
      </c>
      <c r="O8" s="94">
        <f>L8</f>
        <v>25.06</v>
      </c>
      <c r="P8" s="94">
        <v>0</v>
      </c>
    </row>
    <row r="9" spans="1:16" s="95" customFormat="1" ht="15">
      <c r="A9" s="43">
        <v>9</v>
      </c>
      <c r="B9" s="93" t="s">
        <v>137</v>
      </c>
      <c r="C9" s="96">
        <f t="shared" ref="C9:P9" si="0">SUM(C7:C8)</f>
        <v>8.73</v>
      </c>
      <c r="D9" s="96">
        <f t="shared" si="0"/>
        <v>8.73</v>
      </c>
      <c r="E9" s="96">
        <f t="shared" si="0"/>
        <v>12.85</v>
      </c>
      <c r="F9" s="96">
        <f t="shared" si="0"/>
        <v>13.94</v>
      </c>
      <c r="G9" s="96">
        <f t="shared" si="0"/>
        <v>19.579999999999998</v>
      </c>
      <c r="H9" s="96">
        <f t="shared" si="0"/>
        <v>19.579999999999998</v>
      </c>
      <c r="I9" s="96">
        <f t="shared" si="0"/>
        <v>11.25</v>
      </c>
      <c r="J9" s="96">
        <f t="shared" si="0"/>
        <v>11.25</v>
      </c>
      <c r="K9" s="96">
        <f t="shared" si="0"/>
        <v>52.41</v>
      </c>
      <c r="L9" s="96">
        <f t="shared" si="0"/>
        <v>53.5</v>
      </c>
      <c r="M9" s="96">
        <f t="shared" si="0"/>
        <v>52.41</v>
      </c>
      <c r="N9" s="96">
        <f t="shared" si="0"/>
        <v>0</v>
      </c>
      <c r="O9" s="96">
        <f>SUM(O7:O8)</f>
        <v>53.5</v>
      </c>
      <c r="P9" s="96">
        <f t="shared" si="0"/>
        <v>0</v>
      </c>
    </row>
    <row r="10" spans="1:16" s="95" customFormat="1" ht="15">
      <c r="A10" s="43"/>
      <c r="B10" s="166"/>
      <c r="C10" s="38" t="s">
        <v>242</v>
      </c>
      <c r="D10" s="38"/>
      <c r="E10" s="38" t="s">
        <v>247</v>
      </c>
      <c r="F10" s="38" t="s">
        <v>247</v>
      </c>
      <c r="G10" s="38" t="s">
        <v>257</v>
      </c>
      <c r="H10" s="38"/>
      <c r="I10" s="38" t="s">
        <v>253</v>
      </c>
      <c r="J10" s="38"/>
      <c r="K10" s="167"/>
      <c r="L10" s="167"/>
      <c r="M10" s="167"/>
      <c r="N10" s="167"/>
      <c r="O10" s="167"/>
      <c r="P10" s="167"/>
    </row>
    <row r="11" spans="1:16" s="38" customFormat="1" ht="15">
      <c r="A11" s="34"/>
      <c r="B11" s="25"/>
      <c r="C11" s="38" t="s">
        <v>240</v>
      </c>
      <c r="E11" s="38" t="s">
        <v>248</v>
      </c>
      <c r="F11" s="38" t="s">
        <v>248</v>
      </c>
      <c r="G11" s="38" t="s">
        <v>258</v>
      </c>
      <c r="I11" s="38" t="s">
        <v>255</v>
      </c>
    </row>
    <row r="12" spans="1:16" s="38" customFormat="1" ht="15">
      <c r="A12" s="34"/>
      <c r="B12" s="25"/>
      <c r="C12" s="38" t="s">
        <v>241</v>
      </c>
      <c r="E12" s="38" t="s">
        <v>273</v>
      </c>
      <c r="F12" s="38" t="s">
        <v>273</v>
      </c>
      <c r="G12" s="38" t="s">
        <v>259</v>
      </c>
      <c r="I12" s="38" t="s">
        <v>254</v>
      </c>
    </row>
    <row r="13" spans="1:16" s="38" customFormat="1" ht="15">
      <c r="A13" s="34"/>
      <c r="B13" s="25"/>
      <c r="C13" s="38" t="s">
        <v>244</v>
      </c>
      <c r="E13" s="38" t="s">
        <v>274</v>
      </c>
      <c r="F13" s="38" t="s">
        <v>305</v>
      </c>
      <c r="G13" s="38" t="s">
        <v>275</v>
      </c>
      <c r="I13" s="38" t="s">
        <v>256</v>
      </c>
    </row>
    <row r="14" spans="1:16" s="38" customFormat="1" ht="38.25">
      <c r="A14" s="34"/>
      <c r="B14" s="25"/>
      <c r="C14" s="38" t="s">
        <v>243</v>
      </c>
      <c r="E14" s="44" t="s">
        <v>249</v>
      </c>
      <c r="F14" s="44" t="s">
        <v>249</v>
      </c>
      <c r="G14" s="44" t="s">
        <v>276</v>
      </c>
    </row>
    <row r="15" spans="1:16" s="38" customFormat="1" ht="15">
      <c r="A15" s="34"/>
      <c r="B15" s="25"/>
      <c r="E15" s="38" t="s">
        <v>250</v>
      </c>
      <c r="F15" s="38" t="s">
        <v>250</v>
      </c>
    </row>
    <row r="16" spans="1:16" ht="15">
      <c r="B16" s="25"/>
      <c r="C16" s="38" t="s">
        <v>245</v>
      </c>
      <c r="E16" s="38" t="s">
        <v>251</v>
      </c>
      <c r="F16" s="38" t="s">
        <v>251</v>
      </c>
    </row>
    <row r="17" spans="2:6" ht="15">
      <c r="B17" s="25"/>
      <c r="C17" s="38" t="s">
        <v>246</v>
      </c>
      <c r="E17" s="38" t="s">
        <v>252</v>
      </c>
      <c r="F17" s="38" t="s">
        <v>252</v>
      </c>
    </row>
    <row r="18" spans="2:6" ht="15">
      <c r="B18" s="25"/>
      <c r="C18" s="44" t="s">
        <v>293</v>
      </c>
      <c r="F18" s="38" t="s">
        <v>306</v>
      </c>
    </row>
    <row r="19" spans="2:6" ht="15">
      <c r="B19" s="25"/>
      <c r="C19" s="44" t="s">
        <v>294</v>
      </c>
    </row>
    <row r="20" spans="2:6" ht="15">
      <c r="B20" s="25"/>
    </row>
    <row r="21" spans="2:6" ht="15">
      <c r="B21" s="25"/>
    </row>
    <row r="22" spans="2:6" ht="15">
      <c r="B22" s="25"/>
    </row>
    <row r="23" spans="2:6" ht="15">
      <c r="B23" s="25"/>
    </row>
    <row r="24" spans="2:6" ht="15">
      <c r="B24" s="25"/>
    </row>
    <row r="25" spans="2:6" ht="15">
      <c r="B25" s="25"/>
    </row>
    <row r="26" spans="2:6" ht="15">
      <c r="B26" s="25"/>
    </row>
  </sheetData>
  <mergeCells count="1">
    <mergeCell ref="B1:P1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4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</vt:i4>
      </vt:variant>
    </vt:vector>
  </HeadingPairs>
  <TitlesOfParts>
    <vt:vector size="14" baseType="lpstr">
      <vt:lpstr>1 bevétel-kiadás</vt:lpstr>
      <vt:lpstr>2 helyi adó bev.</vt:lpstr>
      <vt:lpstr>3 tám.ért. bev.</vt:lpstr>
      <vt:lpstr>4 ktgvetési tám. bev.</vt:lpstr>
      <vt:lpstr>5 EU-s pr. bev-kiad.</vt:lpstr>
      <vt:lpstr>6 Ber-Felúj. kiad.</vt:lpstr>
      <vt:lpstr>7 átadott pénzeszk.</vt:lpstr>
      <vt:lpstr>8 ellátotak jutt.</vt:lpstr>
      <vt:lpstr>9 létszám</vt:lpstr>
      <vt:lpstr>10 közvetett tám-ok kiad.</vt:lpstr>
      <vt:lpstr>11 ktgvetési mérleg</vt:lpstr>
      <vt:lpstr>12 EI felh.terv</vt:lpstr>
      <vt:lpstr>Munka1</vt:lpstr>
      <vt:lpstr>'1 bevétel-kiadás'!Nyomtatási_terület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pugy</dc:creator>
  <cp:lastModifiedBy>igazgatas</cp:lastModifiedBy>
  <cp:lastPrinted>2015-10-07T11:58:19Z</cp:lastPrinted>
  <dcterms:created xsi:type="dcterms:W3CDTF">2013-02-08T06:30:04Z</dcterms:created>
  <dcterms:modified xsi:type="dcterms:W3CDTF">2015-10-21T12:22:23Z</dcterms:modified>
</cp:coreProperties>
</file>